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mp;C publicaties\TWIN 2017-2023 Begroting 2019\19TwIn_Data\"/>
    </mc:Choice>
  </mc:AlternateContent>
  <bookViews>
    <workbookView xWindow="0" yWindow="0" windowWidth="24000" windowHeight="9135" activeTab="2"/>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Type" sheetId="10" r:id="rId8"/>
    <sheet name="NABS 2007" sheetId="7" r:id="rId9"/>
  </sheets>
  <externalReferences>
    <externalReference r:id="rId10"/>
  </externalReferences>
  <definedNames>
    <definedName name="_xlnm._FilterDatabase" localSheetId="3" hidden="1">'R&amp;D'!$A$3:$W$3</definedName>
    <definedName name="_xlnm.Print_Area" localSheetId="6">Fiscaal!$A$1:$I$47</definedName>
    <definedName name="_xlnm.Print_Area" localSheetId="0">Inhoud!$A$1:$B$30</definedName>
    <definedName name="_xlnm.Print_Area" localSheetId="4">Innovatie!$A$1:$L$109</definedName>
    <definedName name="_xlnm.Print_Area" localSheetId="3">'R&amp;D'!$A$1:$V$287</definedName>
    <definedName name="_xlnm.Print_Area" localSheetId="1">Toelichting!$A$1:$A$53</definedName>
    <definedName name="_xlnm.Print_Titles" localSheetId="4">Innovatie!$A:$B,Innovatie!$2:$3</definedName>
    <definedName name="_xlnm.Print_Titles" localSheetId="3">'R&amp;D'!$A:$B,'R&amp;D'!$3:$4</definedName>
    <definedName name="_xlnm.Print_Titles" localSheetId="7">Type!$A:$B,Type!$3:$4</definedName>
  </definedNames>
  <calcPr calcId="162913"/>
</workbook>
</file>

<file path=xl/calcChain.xml><?xml version="1.0" encoding="utf-8"?>
<calcChain xmlns="http://schemas.openxmlformats.org/spreadsheetml/2006/main">
  <c r="D342" i="10" l="1"/>
  <c r="E342" i="10"/>
  <c r="F342" i="10"/>
  <c r="G342" i="10"/>
  <c r="H342" i="10"/>
  <c r="I342" i="10"/>
  <c r="C342" i="10"/>
  <c r="D328" i="10"/>
  <c r="E328" i="10"/>
  <c r="F328" i="10"/>
  <c r="G328" i="10"/>
  <c r="H328" i="10"/>
  <c r="I328" i="10"/>
  <c r="C328" i="10"/>
  <c r="D314" i="10"/>
  <c r="E314" i="10"/>
  <c r="F314" i="10"/>
  <c r="G314" i="10"/>
  <c r="H314" i="10"/>
  <c r="I314" i="10"/>
  <c r="C314" i="10"/>
  <c r="D281" i="10"/>
  <c r="E281" i="10"/>
  <c r="F281" i="10"/>
  <c r="G281" i="10"/>
  <c r="H281" i="10"/>
  <c r="I281" i="10"/>
  <c r="D282" i="10"/>
  <c r="E282" i="10"/>
  <c r="F282" i="10"/>
  <c r="G282" i="10"/>
  <c r="H282" i="10"/>
  <c r="I282" i="10"/>
  <c r="C281" i="10"/>
  <c r="C282" i="10"/>
  <c r="D212" i="10"/>
  <c r="E212" i="10"/>
  <c r="F212" i="10"/>
  <c r="G212" i="10"/>
  <c r="H212" i="10"/>
  <c r="I212" i="10"/>
  <c r="C212" i="10"/>
  <c r="D237" i="10"/>
  <c r="E237" i="10"/>
  <c r="F237" i="10"/>
  <c r="G237" i="10"/>
  <c r="H237" i="10"/>
  <c r="I237" i="10"/>
  <c r="C237" i="10"/>
  <c r="D299" i="10"/>
  <c r="E299" i="10"/>
  <c r="F299" i="10"/>
  <c r="G299" i="10"/>
  <c r="H299" i="10"/>
  <c r="I299" i="10"/>
  <c r="D300" i="10"/>
  <c r="E300" i="10"/>
  <c r="F300" i="10"/>
  <c r="G300" i="10"/>
  <c r="H300" i="10"/>
  <c r="I300" i="10"/>
  <c r="C300" i="10"/>
  <c r="C299" i="10"/>
  <c r="D8" i="4" l="1"/>
  <c r="E8" i="4"/>
  <c r="F8" i="4"/>
  <c r="G8" i="4"/>
  <c r="H8" i="4"/>
  <c r="I8" i="4"/>
  <c r="C8" i="4"/>
  <c r="F21" i="4" l="1"/>
  <c r="G21" i="4" s="1"/>
  <c r="H21" i="4" s="1"/>
  <c r="I21" i="4" s="1"/>
  <c r="C24" i="7" l="1"/>
  <c r="C25" i="7"/>
  <c r="C26" i="7"/>
  <c r="C27" i="7"/>
  <c r="C28" i="7"/>
  <c r="C29" i="7"/>
  <c r="C30" i="7"/>
  <c r="D30" i="7"/>
  <c r="E30" i="7"/>
  <c r="F30" i="7"/>
  <c r="G30" i="7"/>
  <c r="H30" i="7"/>
  <c r="I30" i="7"/>
  <c r="C31" i="7"/>
  <c r="D31" i="7"/>
  <c r="E31" i="7"/>
  <c r="F31" i="7"/>
  <c r="G31" i="7"/>
  <c r="H31" i="7"/>
  <c r="I31" i="7"/>
  <c r="C32" i="7"/>
  <c r="D32" i="7"/>
  <c r="E32" i="7"/>
  <c r="F32" i="7"/>
  <c r="G32" i="7"/>
  <c r="H32" i="7"/>
  <c r="I32" i="7"/>
  <c r="C33" i="7"/>
  <c r="D33" i="7"/>
  <c r="E33" i="7"/>
  <c r="F33" i="7"/>
  <c r="G33" i="7"/>
  <c r="H33" i="7"/>
  <c r="I33" i="7"/>
  <c r="C34" i="7"/>
  <c r="D34" i="7"/>
  <c r="E34" i="7"/>
  <c r="F34" i="7"/>
  <c r="G34" i="7"/>
  <c r="H34" i="7"/>
  <c r="I34" i="7"/>
  <c r="C35" i="7"/>
  <c r="D35" i="7"/>
  <c r="E35" i="7"/>
  <c r="F35" i="7"/>
  <c r="G35" i="7"/>
  <c r="H35" i="7"/>
  <c r="I35" i="7"/>
  <c r="C36" i="7"/>
  <c r="D36" i="7"/>
  <c r="E36" i="7"/>
  <c r="F36" i="7"/>
  <c r="G36" i="7"/>
  <c r="H36" i="7"/>
  <c r="I36" i="7"/>
  <c r="D24" i="7"/>
  <c r="E24" i="7"/>
  <c r="F24" i="7"/>
  <c r="G24" i="7"/>
  <c r="H24" i="7"/>
  <c r="I24" i="7"/>
  <c r="D25" i="7"/>
  <c r="E25" i="7"/>
  <c r="F25" i="7"/>
  <c r="G25" i="7"/>
  <c r="H25" i="7"/>
  <c r="I25" i="7"/>
  <c r="D26" i="7"/>
  <c r="E26" i="7"/>
  <c r="F26" i="7"/>
  <c r="G26" i="7"/>
  <c r="H26" i="7"/>
  <c r="I26" i="7"/>
  <c r="D27" i="7"/>
  <c r="E27" i="7"/>
  <c r="F27" i="7"/>
  <c r="G27" i="7"/>
  <c r="H27" i="7"/>
  <c r="I27" i="7"/>
  <c r="D28" i="7"/>
  <c r="E28" i="7"/>
  <c r="F28" i="7"/>
  <c r="G28" i="7"/>
  <c r="H28" i="7"/>
  <c r="I28" i="7"/>
  <c r="D29" i="7"/>
  <c r="E29" i="7"/>
  <c r="F29" i="7"/>
  <c r="G29" i="7"/>
  <c r="H29" i="7"/>
  <c r="I29" i="7"/>
  <c r="D23" i="7"/>
  <c r="E23" i="7"/>
  <c r="F23" i="7"/>
  <c r="G23" i="7"/>
  <c r="H23" i="7"/>
  <c r="I23" i="7"/>
  <c r="D18" i="7"/>
  <c r="F18" i="7" l="1"/>
  <c r="I18" i="7"/>
  <c r="H18" i="7"/>
  <c r="G18" i="7"/>
  <c r="E18" i="7"/>
  <c r="C18" i="7"/>
  <c r="E64" i="1" l="1"/>
  <c r="D296" i="10" l="1"/>
  <c r="E296" i="10"/>
  <c r="F296" i="10"/>
  <c r="G296" i="10"/>
  <c r="H296" i="10"/>
  <c r="I296" i="10"/>
  <c r="C296" i="10"/>
  <c r="C50" i="10"/>
  <c r="D53" i="10"/>
  <c r="D50" i="10" s="1"/>
  <c r="E53" i="10"/>
  <c r="E50" i="10" s="1"/>
  <c r="F53" i="10"/>
  <c r="F50" i="10" s="1"/>
  <c r="G53" i="10"/>
  <c r="G50" i="10" s="1"/>
  <c r="H53" i="10"/>
  <c r="H50" i="10" s="1"/>
  <c r="I53" i="10"/>
  <c r="I50" i="10" s="1"/>
  <c r="L53" i="10" l="1"/>
  <c r="L52" i="10"/>
  <c r="F280" i="1" l="1"/>
  <c r="G280" i="1"/>
  <c r="H280" i="1"/>
  <c r="D235" i="1"/>
  <c r="D280" i="1" s="1"/>
  <c r="E235" i="1"/>
  <c r="E280" i="1" s="1"/>
  <c r="F235" i="1"/>
  <c r="G235" i="1"/>
  <c r="H235" i="1"/>
  <c r="I235" i="1"/>
  <c r="I280" i="1" s="1"/>
  <c r="C235" i="1"/>
  <c r="C280" i="1" s="1"/>
  <c r="D210" i="1"/>
  <c r="C12" i="8" s="1"/>
  <c r="E210" i="1"/>
  <c r="D12" i="8" s="1"/>
  <c r="F210" i="1"/>
  <c r="G210" i="1"/>
  <c r="F12" i="8" s="1"/>
  <c r="H210" i="1"/>
  <c r="G12" i="8" s="1"/>
  <c r="I210" i="1"/>
  <c r="H12" i="8" s="1"/>
  <c r="C210" i="1"/>
  <c r="E279" i="1" l="1"/>
  <c r="D279" i="1"/>
  <c r="C279" i="1"/>
  <c r="B12" i="8"/>
  <c r="I279" i="1"/>
  <c r="H279" i="1"/>
  <c r="F279" i="1"/>
  <c r="E12" i="8"/>
  <c r="G279" i="1"/>
  <c r="L280" i="1"/>
  <c r="K280" i="1"/>
  <c r="Q113" i="1"/>
  <c r="R113" i="1"/>
  <c r="S113" i="1"/>
  <c r="T113" i="1"/>
  <c r="U113" i="1"/>
  <c r="V113" i="1"/>
  <c r="P113" i="1"/>
  <c r="H11" i="3" l="1"/>
  <c r="G11" i="3"/>
  <c r="F11" i="3"/>
  <c r="E11" i="3"/>
  <c r="H9" i="4" l="1"/>
  <c r="F9" i="4"/>
  <c r="G9" i="4"/>
  <c r="I9" i="4"/>
  <c r="J32" i="1"/>
  <c r="G292" i="10" l="1"/>
  <c r="H292" i="10"/>
  <c r="I292" i="10"/>
  <c r="G293" i="10"/>
  <c r="H293" i="10"/>
  <c r="I293" i="10"/>
  <c r="G294" i="10"/>
  <c r="H294" i="10"/>
  <c r="I294" i="10"/>
  <c r="G295" i="10"/>
  <c r="H295" i="10"/>
  <c r="I295" i="10"/>
  <c r="G297" i="10"/>
  <c r="H297" i="10"/>
  <c r="I297" i="10"/>
  <c r="G298" i="10"/>
  <c r="H298" i="10"/>
  <c r="I298" i="10"/>
  <c r="G301" i="10"/>
  <c r="H301" i="10"/>
  <c r="I301" i="10"/>
  <c r="G302" i="10"/>
  <c r="H302" i="10"/>
  <c r="I302" i="10"/>
  <c r="E292" i="10"/>
  <c r="F292" i="10"/>
  <c r="E293" i="10"/>
  <c r="F293" i="10"/>
  <c r="E294" i="10"/>
  <c r="F294" i="10"/>
  <c r="E295" i="10"/>
  <c r="F295" i="10"/>
  <c r="E297" i="10"/>
  <c r="F297" i="10"/>
  <c r="E298" i="10"/>
  <c r="F298" i="10"/>
  <c r="E301" i="10"/>
  <c r="F301" i="10"/>
  <c r="E302" i="10"/>
  <c r="F302" i="10"/>
  <c r="D292" i="10"/>
  <c r="D293" i="10"/>
  <c r="D294" i="10"/>
  <c r="D295" i="10"/>
  <c r="D297" i="10"/>
  <c r="D298" i="10"/>
  <c r="D301" i="10"/>
  <c r="D302" i="10"/>
  <c r="D66" i="10" l="1"/>
  <c r="E66" i="10"/>
  <c r="F66" i="10"/>
  <c r="G66" i="10"/>
  <c r="H66" i="10"/>
  <c r="I66" i="10"/>
  <c r="C66" i="10"/>
  <c r="C302" i="10"/>
  <c r="C298" i="10"/>
  <c r="C297" i="10"/>
  <c r="C295" i="10"/>
  <c r="C294" i="10"/>
  <c r="C293" i="10"/>
  <c r="D74" i="10"/>
  <c r="E74" i="10"/>
  <c r="F74" i="10"/>
  <c r="G74" i="10"/>
  <c r="H74" i="10"/>
  <c r="I74" i="10"/>
  <c r="C74" i="10"/>
  <c r="D108" i="10"/>
  <c r="D280" i="10" s="1"/>
  <c r="D312" i="10" s="1"/>
  <c r="E108" i="10"/>
  <c r="F108" i="10"/>
  <c r="F280" i="10" s="1"/>
  <c r="F312" i="10" s="1"/>
  <c r="G108" i="10"/>
  <c r="G280" i="10" s="1"/>
  <c r="G312" i="10" s="1"/>
  <c r="H108" i="10"/>
  <c r="H280" i="10" s="1"/>
  <c r="H312" i="10" s="1"/>
  <c r="I108" i="10"/>
  <c r="I280" i="10" s="1"/>
  <c r="I312" i="10" s="1"/>
  <c r="C108" i="10"/>
  <c r="C280" i="10" s="1"/>
  <c r="D29" i="10"/>
  <c r="E29" i="10"/>
  <c r="F29" i="10"/>
  <c r="G29" i="10"/>
  <c r="H29" i="10"/>
  <c r="I29" i="10"/>
  <c r="D16" i="10"/>
  <c r="E16" i="10"/>
  <c r="F16" i="10"/>
  <c r="G16" i="10"/>
  <c r="H16" i="10"/>
  <c r="I16" i="10"/>
  <c r="D268" i="10"/>
  <c r="E268" i="10"/>
  <c r="F268" i="10"/>
  <c r="G268" i="10"/>
  <c r="H268" i="10"/>
  <c r="I268" i="10"/>
  <c r="D23" i="10"/>
  <c r="E23" i="10"/>
  <c r="F23" i="10"/>
  <c r="G23" i="10"/>
  <c r="H23" i="10"/>
  <c r="I23" i="10"/>
  <c r="C23" i="10"/>
  <c r="D245" i="10"/>
  <c r="E245" i="10"/>
  <c r="F245" i="10"/>
  <c r="G245" i="10"/>
  <c r="H245" i="10"/>
  <c r="I245" i="10"/>
  <c r="C245" i="10"/>
  <c r="E280" i="10"/>
  <c r="E312" i="10" s="1"/>
  <c r="C312" i="10" l="1"/>
  <c r="K280" i="10"/>
  <c r="F270" i="10"/>
  <c r="G270" i="10"/>
  <c r="E270" i="10"/>
  <c r="D270" i="10"/>
  <c r="I270" i="10"/>
  <c r="H270" i="10"/>
  <c r="C11" i="3"/>
  <c r="D9" i="4" s="1"/>
  <c r="D11" i="3"/>
  <c r="E9" i="4" s="1"/>
  <c r="B11" i="3"/>
  <c r="C9" i="4" s="1"/>
  <c r="C86" i="2" l="1"/>
  <c r="B43" i="8" s="1"/>
  <c r="P225" i="1" l="1"/>
  <c r="Q225" i="1"/>
  <c r="R225" i="1"/>
  <c r="S225" i="1"/>
  <c r="T225" i="1"/>
  <c r="U225" i="1"/>
  <c r="V225" i="1"/>
  <c r="B5" i="3"/>
  <c r="B13" i="3" s="1"/>
  <c r="H5" i="3" l="1"/>
  <c r="H13" i="3" s="1"/>
  <c r="G5" i="3"/>
  <c r="G13" i="3" s="1"/>
  <c r="F5" i="3"/>
  <c r="F13" i="3" s="1"/>
  <c r="E5" i="3"/>
  <c r="E13" i="3" s="1"/>
  <c r="D5" i="3"/>
  <c r="D13" i="3" s="1"/>
  <c r="C5" i="3"/>
  <c r="C13" i="3" s="1"/>
  <c r="P206" i="1"/>
  <c r="Q206" i="1"/>
  <c r="R206" i="1"/>
  <c r="S206" i="1"/>
  <c r="T206" i="1"/>
  <c r="U206" i="1"/>
  <c r="V206" i="1"/>
  <c r="P164" i="1" l="1"/>
  <c r="Q164" i="1"/>
  <c r="R164" i="1"/>
  <c r="S164" i="1"/>
  <c r="T164" i="1"/>
  <c r="U164" i="1"/>
  <c r="V164" i="1"/>
  <c r="P124" i="1" l="1"/>
  <c r="Q124" i="1"/>
  <c r="R124" i="1"/>
  <c r="S124" i="1"/>
  <c r="T124" i="1"/>
  <c r="U124" i="1"/>
  <c r="V124" i="1"/>
  <c r="V255" i="1" l="1"/>
  <c r="C51" i="2" l="1"/>
  <c r="D51" i="2"/>
  <c r="E51" i="2"/>
  <c r="F51" i="2"/>
  <c r="G51" i="2"/>
  <c r="H51" i="2"/>
  <c r="I51" i="2"/>
  <c r="D34" i="2" l="1"/>
  <c r="C40" i="8" s="1"/>
  <c r="E34" i="2"/>
  <c r="D40" i="8" s="1"/>
  <c r="F34" i="2"/>
  <c r="E40" i="8" s="1"/>
  <c r="G34" i="2"/>
  <c r="F40" i="8" s="1"/>
  <c r="H34" i="2"/>
  <c r="G40" i="8" s="1"/>
  <c r="I34" i="2"/>
  <c r="H40" i="8" s="1"/>
  <c r="C34" i="2"/>
  <c r="B40" i="8" s="1"/>
  <c r="B293" i="10" l="1"/>
  <c r="B307" i="10" s="1"/>
  <c r="B321" i="10" s="1"/>
  <c r="B335" i="10" s="1"/>
  <c r="B294" i="10"/>
  <c r="B308" i="10" s="1"/>
  <c r="B322" i="10" s="1"/>
  <c r="B336" i="10" s="1"/>
  <c r="B295" i="10"/>
  <c r="B309" i="10" s="1"/>
  <c r="B323" i="10" s="1"/>
  <c r="B337" i="10" s="1"/>
  <c r="B296" i="10"/>
  <c r="B310" i="10" s="1"/>
  <c r="B324" i="10" s="1"/>
  <c r="B338" i="10" s="1"/>
  <c r="B297" i="10"/>
  <c r="B311" i="10" s="1"/>
  <c r="B325" i="10" s="1"/>
  <c r="B339" i="10" s="1"/>
  <c r="B298" i="10"/>
  <c r="B312" i="10" s="1"/>
  <c r="B326" i="10" s="1"/>
  <c r="B340" i="10" s="1"/>
  <c r="B299" i="10"/>
  <c r="B313" i="10" s="1"/>
  <c r="B327" i="10" s="1"/>
  <c r="B341" i="10" s="1"/>
  <c r="B301" i="10"/>
  <c r="B315" i="10" s="1"/>
  <c r="B329" i="10" s="1"/>
  <c r="B343" i="10" s="1"/>
  <c r="B302" i="10"/>
  <c r="B316" i="10" s="1"/>
  <c r="B330" i="10" s="1"/>
  <c r="B344" i="10" s="1"/>
  <c r="B292" i="10"/>
  <c r="B306" i="10" s="1"/>
  <c r="B320" i="10" s="1"/>
  <c r="B334" i="10" s="1"/>
  <c r="A21" i="8"/>
  <c r="A36" i="8" s="1"/>
  <c r="A51" i="8" s="1"/>
  <c r="A22" i="8"/>
  <c r="A37" i="8" s="1"/>
  <c r="A52" i="8" s="1"/>
  <c r="A23" i="8"/>
  <c r="A38" i="8" s="1"/>
  <c r="A53" i="8" s="1"/>
  <c r="A24" i="8"/>
  <c r="A39" i="8" s="1"/>
  <c r="A54" i="8" s="1"/>
  <c r="A25" i="8"/>
  <c r="A40" i="8" s="1"/>
  <c r="A55" i="8" s="1"/>
  <c r="A26" i="8"/>
  <c r="A41" i="8" s="1"/>
  <c r="A56" i="8" s="1"/>
  <c r="A27" i="8"/>
  <c r="A43" i="8" s="1"/>
  <c r="A58" i="8" s="1"/>
  <c r="A29" i="8"/>
  <c r="A44" i="8" s="1"/>
  <c r="A59" i="8" s="1"/>
  <c r="A30" i="8"/>
  <c r="A45" i="8" s="1"/>
  <c r="A60" i="8" s="1"/>
  <c r="A20" i="8"/>
  <c r="A35" i="8" s="1"/>
  <c r="A50" i="8" s="1"/>
  <c r="C301" i="10" l="1"/>
  <c r="C292" i="10"/>
  <c r="F326" i="10" l="1"/>
  <c r="F340" i="10" s="1"/>
  <c r="G326" i="10"/>
  <c r="G340" i="10" s="1"/>
  <c r="D326" i="10"/>
  <c r="D340" i="10" s="1"/>
  <c r="C326" i="10"/>
  <c r="C340" i="10" s="1"/>
  <c r="E326" i="10"/>
  <c r="E340" i="10" s="1"/>
  <c r="H326" i="10"/>
  <c r="H340" i="10" s="1"/>
  <c r="I326" i="10"/>
  <c r="I340" i="10" s="1"/>
  <c r="C303" i="10"/>
  <c r="D303" i="10"/>
  <c r="H303" i="10"/>
  <c r="I303" i="10"/>
  <c r="F303" i="10"/>
  <c r="G303" i="10"/>
  <c r="E303" i="10"/>
  <c r="I284" i="10" l="1"/>
  <c r="H284" i="10"/>
  <c r="H316" i="10" s="1"/>
  <c r="H330" i="10" s="1"/>
  <c r="H344" i="10" s="1"/>
  <c r="G284" i="10"/>
  <c r="G316" i="10" s="1"/>
  <c r="G330" i="10" s="1"/>
  <c r="G344" i="10" s="1"/>
  <c r="F284" i="10"/>
  <c r="F316" i="10" s="1"/>
  <c r="F330" i="10" s="1"/>
  <c r="F344" i="10" s="1"/>
  <c r="E284" i="10"/>
  <c r="E316" i="10" s="1"/>
  <c r="E330" i="10" s="1"/>
  <c r="E344" i="10" s="1"/>
  <c r="D284" i="10"/>
  <c r="D316" i="10" s="1"/>
  <c r="D330" i="10" s="1"/>
  <c r="D344" i="10" s="1"/>
  <c r="C268" i="10"/>
  <c r="C284" i="10" s="1"/>
  <c r="C316" i="10" s="1"/>
  <c r="C330" i="10" s="1"/>
  <c r="C344" i="10" s="1"/>
  <c r="I283" i="10"/>
  <c r="H283" i="10"/>
  <c r="H315" i="10" s="1"/>
  <c r="H329" i="10" s="1"/>
  <c r="H343" i="10" s="1"/>
  <c r="G283" i="10"/>
  <c r="G315" i="10" s="1"/>
  <c r="G329" i="10" s="1"/>
  <c r="G343" i="10" s="1"/>
  <c r="F283" i="10"/>
  <c r="F315" i="10" s="1"/>
  <c r="F329" i="10" s="1"/>
  <c r="F343" i="10" s="1"/>
  <c r="E283" i="10"/>
  <c r="E315" i="10" s="1"/>
  <c r="E329" i="10" s="1"/>
  <c r="E343" i="10" s="1"/>
  <c r="D283" i="10"/>
  <c r="D315" i="10" s="1"/>
  <c r="D329" i="10" s="1"/>
  <c r="D343" i="10" s="1"/>
  <c r="C283" i="10"/>
  <c r="C315" i="10" s="1"/>
  <c r="C329" i="10" s="1"/>
  <c r="C343" i="10" s="1"/>
  <c r="H313" i="10"/>
  <c r="H327" i="10" s="1"/>
  <c r="H341" i="10" s="1"/>
  <c r="G313" i="10"/>
  <c r="G327" i="10" s="1"/>
  <c r="G341" i="10" s="1"/>
  <c r="F313" i="10"/>
  <c r="F327" i="10" s="1"/>
  <c r="F341" i="10" s="1"/>
  <c r="E313" i="10"/>
  <c r="E327" i="10" s="1"/>
  <c r="E341" i="10" s="1"/>
  <c r="D313" i="10"/>
  <c r="D327" i="10" s="1"/>
  <c r="D341" i="10" s="1"/>
  <c r="C313" i="10"/>
  <c r="C327" i="10" s="1"/>
  <c r="C341" i="10" s="1"/>
  <c r="I279" i="10"/>
  <c r="H279" i="10"/>
  <c r="H311" i="10" s="1"/>
  <c r="H325" i="10" s="1"/>
  <c r="H339" i="10" s="1"/>
  <c r="G279" i="10"/>
  <c r="G311" i="10" s="1"/>
  <c r="G325" i="10" s="1"/>
  <c r="G339" i="10" s="1"/>
  <c r="F279" i="10"/>
  <c r="F311" i="10" s="1"/>
  <c r="F325" i="10" s="1"/>
  <c r="F339" i="10" s="1"/>
  <c r="E279" i="10"/>
  <c r="E311" i="10" s="1"/>
  <c r="E325" i="10" s="1"/>
  <c r="E339" i="10" s="1"/>
  <c r="D279" i="10"/>
  <c r="D311" i="10" s="1"/>
  <c r="D325" i="10" s="1"/>
  <c r="D339" i="10" s="1"/>
  <c r="C279" i="10"/>
  <c r="C311" i="10" s="1"/>
  <c r="C325" i="10" s="1"/>
  <c r="C339" i="10" s="1"/>
  <c r="I277" i="10"/>
  <c r="I309" i="10" s="1"/>
  <c r="H277" i="10"/>
  <c r="G277" i="10"/>
  <c r="F277" i="10"/>
  <c r="E277" i="10"/>
  <c r="D277" i="10"/>
  <c r="C29" i="10"/>
  <c r="C277" i="10" s="1"/>
  <c r="I276" i="10"/>
  <c r="H276" i="10"/>
  <c r="H308" i="10" s="1"/>
  <c r="H322" i="10" s="1"/>
  <c r="H336" i="10" s="1"/>
  <c r="G276" i="10"/>
  <c r="G308" i="10" s="1"/>
  <c r="G322" i="10" s="1"/>
  <c r="G336" i="10" s="1"/>
  <c r="F276" i="10"/>
  <c r="F308" i="10" s="1"/>
  <c r="F322" i="10" s="1"/>
  <c r="F336" i="10" s="1"/>
  <c r="E276" i="10"/>
  <c r="E308" i="10" s="1"/>
  <c r="E322" i="10" s="1"/>
  <c r="E336" i="10" s="1"/>
  <c r="D276" i="10"/>
  <c r="D308" i="10" s="1"/>
  <c r="D322" i="10" s="1"/>
  <c r="D336" i="10" s="1"/>
  <c r="C276" i="10"/>
  <c r="C308" i="10" s="1"/>
  <c r="C322" i="10" s="1"/>
  <c r="C336" i="10" s="1"/>
  <c r="I275" i="10"/>
  <c r="I307" i="10" s="1"/>
  <c r="I321" i="10" s="1"/>
  <c r="I335" i="10" s="1"/>
  <c r="H275" i="10"/>
  <c r="H307" i="10" s="1"/>
  <c r="H321" i="10" s="1"/>
  <c r="H335" i="10" s="1"/>
  <c r="G275" i="10"/>
  <c r="G307" i="10" s="1"/>
  <c r="G321" i="10" s="1"/>
  <c r="G335" i="10" s="1"/>
  <c r="F275" i="10"/>
  <c r="F307" i="10" s="1"/>
  <c r="F321" i="10" s="1"/>
  <c r="F335" i="10" s="1"/>
  <c r="E275" i="10"/>
  <c r="E307" i="10" s="1"/>
  <c r="E321" i="10" s="1"/>
  <c r="E335" i="10" s="1"/>
  <c r="D275" i="10"/>
  <c r="D307" i="10" s="1"/>
  <c r="D321" i="10" s="1"/>
  <c r="D335" i="10" s="1"/>
  <c r="C16" i="10"/>
  <c r="H274" i="10"/>
  <c r="H306" i="10" s="1"/>
  <c r="G274" i="10"/>
  <c r="G306" i="10" s="1"/>
  <c r="F274" i="10"/>
  <c r="F306" i="10" s="1"/>
  <c r="E274" i="10"/>
  <c r="E306" i="10" s="1"/>
  <c r="C274" i="10"/>
  <c r="C306" i="10" s="1"/>
  <c r="I4" i="10"/>
  <c r="H4" i="10"/>
  <c r="G4" i="10"/>
  <c r="F4" i="10"/>
  <c r="E4" i="10"/>
  <c r="D4" i="10"/>
  <c r="C4" i="10"/>
  <c r="E309" i="10" l="1"/>
  <c r="E323" i="10" s="1"/>
  <c r="E337" i="10" s="1"/>
  <c r="I308" i="10"/>
  <c r="I322" i="10" s="1"/>
  <c r="I336" i="10" s="1"/>
  <c r="K276" i="10"/>
  <c r="I316" i="10"/>
  <c r="I330" i="10" s="1"/>
  <c r="I344" i="10" s="1"/>
  <c r="K284" i="10"/>
  <c r="G309" i="10"/>
  <c r="G323" i="10" s="1"/>
  <c r="G337" i="10" s="1"/>
  <c r="I313" i="10"/>
  <c r="I327" i="10" s="1"/>
  <c r="I341" i="10" s="1"/>
  <c r="K281" i="10"/>
  <c r="F309" i="10"/>
  <c r="F323" i="10" s="1"/>
  <c r="F337" i="10" s="1"/>
  <c r="I315" i="10"/>
  <c r="I329" i="10" s="1"/>
  <c r="I343" i="10" s="1"/>
  <c r="K283" i="10"/>
  <c r="H309" i="10"/>
  <c r="H323" i="10" s="1"/>
  <c r="H337" i="10" s="1"/>
  <c r="I311" i="10"/>
  <c r="I325" i="10" s="1"/>
  <c r="I339" i="10" s="1"/>
  <c r="K279" i="10"/>
  <c r="D309" i="10"/>
  <c r="D323" i="10" s="1"/>
  <c r="D337" i="10" s="1"/>
  <c r="I323" i="10"/>
  <c r="I337" i="10" s="1"/>
  <c r="K277" i="10"/>
  <c r="C309" i="10"/>
  <c r="C323" i="10" s="1"/>
  <c r="C337" i="10" s="1"/>
  <c r="C275" i="10"/>
  <c r="C307" i="10" s="1"/>
  <c r="C321" i="10" s="1"/>
  <c r="C335" i="10" s="1"/>
  <c r="G320" i="10"/>
  <c r="C320" i="10"/>
  <c r="F320" i="10"/>
  <c r="H320" i="10"/>
  <c r="E320" i="10"/>
  <c r="C273" i="10"/>
  <c r="C291" i="10"/>
  <c r="C305" i="10" s="1"/>
  <c r="C319" i="10" s="1"/>
  <c r="C333" i="10" s="1"/>
  <c r="C3" i="7"/>
  <c r="E273" i="10"/>
  <c r="E291" i="10"/>
  <c r="E305" i="10" s="1"/>
  <c r="E319" i="10" s="1"/>
  <c r="E333" i="10" s="1"/>
  <c r="E3" i="7"/>
  <c r="I273" i="10"/>
  <c r="I291" i="10"/>
  <c r="I305" i="10" s="1"/>
  <c r="I319" i="10" s="1"/>
  <c r="I333" i="10" s="1"/>
  <c r="I3" i="7"/>
  <c r="F291" i="10"/>
  <c r="F305" i="10" s="1"/>
  <c r="F319" i="10" s="1"/>
  <c r="F333" i="10" s="1"/>
  <c r="F3" i="7"/>
  <c r="G273" i="10"/>
  <c r="G3" i="7"/>
  <c r="G291" i="10"/>
  <c r="G305" i="10" s="1"/>
  <c r="G319" i="10" s="1"/>
  <c r="G333" i="10" s="1"/>
  <c r="D273" i="10"/>
  <c r="D3" i="7"/>
  <c r="D291" i="10"/>
  <c r="D305" i="10" s="1"/>
  <c r="D319" i="10" s="1"/>
  <c r="D333" i="10" s="1"/>
  <c r="H273" i="10"/>
  <c r="H3" i="7"/>
  <c r="H291" i="10"/>
  <c r="H305" i="10" s="1"/>
  <c r="H319" i="10" s="1"/>
  <c r="H333" i="10" s="1"/>
  <c r="D278" i="10"/>
  <c r="D310" i="10" s="1"/>
  <c r="D324" i="10" s="1"/>
  <c r="D338" i="10" s="1"/>
  <c r="E278" i="10"/>
  <c r="F278" i="10"/>
  <c r="G278" i="10"/>
  <c r="H278" i="10"/>
  <c r="L276" i="10"/>
  <c r="C278" i="10"/>
  <c r="C310" i="10" s="1"/>
  <c r="C324" i="10" s="1"/>
  <c r="C338" i="10" s="1"/>
  <c r="D274" i="10"/>
  <c r="D306" i="10" s="1"/>
  <c r="L284" i="10"/>
  <c r="I274" i="10"/>
  <c r="I306" i="10" s="1"/>
  <c r="L283" i="10"/>
  <c r="F273" i="10"/>
  <c r="I278" i="10"/>
  <c r="I310" i="10" s="1"/>
  <c r="I324" i="10" s="1"/>
  <c r="I338" i="10" s="1"/>
  <c r="L280" i="10"/>
  <c r="L281" i="10"/>
  <c r="L275" i="10"/>
  <c r="L277" i="10"/>
  <c r="L279" i="10"/>
  <c r="O39" i="1"/>
  <c r="O38" i="1"/>
  <c r="H285" i="10" l="1"/>
  <c r="H310" i="10"/>
  <c r="G285" i="10"/>
  <c r="G310" i="10"/>
  <c r="F285" i="10"/>
  <c r="F310" i="10"/>
  <c r="E285" i="10"/>
  <c r="E310" i="10"/>
  <c r="K278" i="10"/>
  <c r="C270" i="10"/>
  <c r="K275" i="10"/>
  <c r="C285" i="10"/>
  <c r="C317" i="10"/>
  <c r="I320" i="10"/>
  <c r="I317" i="10"/>
  <c r="F334" i="10"/>
  <c r="D317" i="10"/>
  <c r="D320" i="10"/>
  <c r="H334" i="10"/>
  <c r="C334" i="10"/>
  <c r="C331" i="10"/>
  <c r="C345" i="10" s="1"/>
  <c r="E334" i="10"/>
  <c r="G334" i="10"/>
  <c r="D285" i="10"/>
  <c r="L278" i="10"/>
  <c r="K274" i="10"/>
  <c r="I285" i="10"/>
  <c r="L274" i="10"/>
  <c r="E324" i="10" l="1"/>
  <c r="E317" i="10"/>
  <c r="F324" i="10"/>
  <c r="F317" i="10"/>
  <c r="G324" i="10"/>
  <c r="G317" i="10"/>
  <c r="H324" i="10"/>
  <c r="H317" i="10"/>
  <c r="K285" i="10"/>
  <c r="D334" i="10"/>
  <c r="D331" i="10"/>
  <c r="D345" i="10" s="1"/>
  <c r="I334" i="10"/>
  <c r="I331" i="10"/>
  <c r="I345" i="10" s="1"/>
  <c r="L285" i="10"/>
  <c r="H338" i="10" l="1"/>
  <c r="H331" i="10"/>
  <c r="H345" i="10" s="1"/>
  <c r="G338" i="10"/>
  <c r="G331" i="10"/>
  <c r="G345" i="10" s="1"/>
  <c r="F338" i="10"/>
  <c r="F331" i="10"/>
  <c r="F345" i="10" s="1"/>
  <c r="E338" i="10"/>
  <c r="E331" i="10"/>
  <c r="E345" i="10" s="1"/>
  <c r="V177" i="1"/>
  <c r="U177" i="1"/>
  <c r="T177" i="1"/>
  <c r="S177" i="1"/>
  <c r="R177" i="1"/>
  <c r="Q177" i="1"/>
  <c r="P177" i="1"/>
  <c r="V176" i="1"/>
  <c r="U176" i="1"/>
  <c r="T176" i="1"/>
  <c r="S176" i="1"/>
  <c r="R176" i="1"/>
  <c r="Q176" i="1"/>
  <c r="P176" i="1"/>
  <c r="V155" i="1" l="1"/>
  <c r="U155" i="1"/>
  <c r="T155" i="1"/>
  <c r="S155" i="1"/>
  <c r="R155" i="1"/>
  <c r="Q155" i="1"/>
  <c r="P155" i="1"/>
  <c r="V154" i="1"/>
  <c r="U154" i="1"/>
  <c r="T154" i="1"/>
  <c r="S154" i="1"/>
  <c r="R154" i="1"/>
  <c r="Q154" i="1"/>
  <c r="P154" i="1"/>
  <c r="V232" i="1"/>
  <c r="U232" i="1"/>
  <c r="T232" i="1"/>
  <c r="S232" i="1"/>
  <c r="R232" i="1"/>
  <c r="Q232" i="1"/>
  <c r="V231" i="1"/>
  <c r="U231" i="1"/>
  <c r="T231" i="1"/>
  <c r="S231" i="1"/>
  <c r="R231" i="1"/>
  <c r="Q231" i="1"/>
  <c r="V230" i="1"/>
  <c r="U230" i="1"/>
  <c r="T230" i="1"/>
  <c r="S230" i="1"/>
  <c r="R230" i="1"/>
  <c r="Q230" i="1"/>
  <c r="V229" i="1"/>
  <c r="U229" i="1"/>
  <c r="T229" i="1"/>
  <c r="S229" i="1"/>
  <c r="R229" i="1"/>
  <c r="Q229" i="1"/>
  <c r="V228" i="1"/>
  <c r="U228" i="1"/>
  <c r="T228" i="1"/>
  <c r="S228" i="1"/>
  <c r="R228" i="1"/>
  <c r="Q228" i="1"/>
  <c r="V227" i="1"/>
  <c r="U227" i="1"/>
  <c r="T227" i="1"/>
  <c r="S227" i="1"/>
  <c r="R227" i="1"/>
  <c r="Q227" i="1"/>
  <c r="V226" i="1"/>
  <c r="U226" i="1"/>
  <c r="T226" i="1"/>
  <c r="S226" i="1"/>
  <c r="R226" i="1"/>
  <c r="Q226" i="1"/>
  <c r="V224" i="1"/>
  <c r="U224" i="1"/>
  <c r="T224" i="1"/>
  <c r="S224" i="1"/>
  <c r="R224" i="1"/>
  <c r="Q224" i="1"/>
  <c r="V223" i="1"/>
  <c r="U223" i="1"/>
  <c r="T223" i="1"/>
  <c r="S223" i="1"/>
  <c r="R223" i="1"/>
  <c r="Q223" i="1"/>
  <c r="P232" i="1"/>
  <c r="P231" i="1"/>
  <c r="P230" i="1"/>
  <c r="P229" i="1"/>
  <c r="P228" i="1"/>
  <c r="P227" i="1"/>
  <c r="P226" i="1"/>
  <c r="P224" i="1"/>
  <c r="P223" i="1"/>
  <c r="V219" i="1"/>
  <c r="T219" i="1"/>
  <c r="R219" i="1"/>
  <c r="P219" i="1"/>
  <c r="U219" i="1"/>
  <c r="S219" i="1"/>
  <c r="Q219" i="1"/>
  <c r="P217" i="1"/>
  <c r="U215" i="1"/>
  <c r="T215" i="1"/>
  <c r="S215" i="1"/>
  <c r="R215" i="1"/>
  <c r="Q215" i="1"/>
  <c r="P215" i="1"/>
  <c r="I94" i="2"/>
  <c r="H42" i="8" s="1"/>
  <c r="H57" i="8" s="1"/>
  <c r="H94" i="2"/>
  <c r="G42" i="8" s="1"/>
  <c r="G57" i="8" s="1"/>
  <c r="G94" i="2"/>
  <c r="F42" i="8" s="1"/>
  <c r="F57" i="8" s="1"/>
  <c r="F94" i="2"/>
  <c r="E42" i="8" s="1"/>
  <c r="E57" i="8" s="1"/>
  <c r="E94" i="2"/>
  <c r="D42" i="8" s="1"/>
  <c r="D57" i="8" s="1"/>
  <c r="D94" i="2"/>
  <c r="C42" i="8" s="1"/>
  <c r="C57" i="8" s="1"/>
  <c r="C94" i="2"/>
  <c r="B42" i="8" s="1"/>
  <c r="B57" i="8" s="1"/>
  <c r="V207" i="1"/>
  <c r="U207" i="1"/>
  <c r="T207" i="1"/>
  <c r="S207" i="1"/>
  <c r="R207" i="1"/>
  <c r="Q207" i="1"/>
  <c r="P207" i="1"/>
  <c r="V204" i="1"/>
  <c r="U204" i="1"/>
  <c r="R204" i="1"/>
  <c r="Q204" i="1"/>
  <c r="T204" i="1"/>
  <c r="S204" i="1"/>
  <c r="P204" i="1"/>
  <c r="V193" i="1"/>
  <c r="U193" i="1"/>
  <c r="T193" i="1"/>
  <c r="S193" i="1"/>
  <c r="R193" i="1"/>
  <c r="Q193" i="1"/>
  <c r="P193" i="1"/>
  <c r="V192" i="1"/>
  <c r="U192" i="1"/>
  <c r="T192" i="1"/>
  <c r="S192" i="1"/>
  <c r="R192" i="1"/>
  <c r="Q192" i="1"/>
  <c r="P192" i="1"/>
  <c r="V191" i="1"/>
  <c r="U191" i="1"/>
  <c r="T191" i="1"/>
  <c r="S191" i="1"/>
  <c r="R191" i="1"/>
  <c r="Q191" i="1"/>
  <c r="P191" i="1"/>
  <c r="V190" i="1"/>
  <c r="U190" i="1"/>
  <c r="T190" i="1"/>
  <c r="S190" i="1"/>
  <c r="R190" i="1"/>
  <c r="Q190" i="1"/>
  <c r="P190" i="1"/>
  <c r="V189" i="1"/>
  <c r="U189" i="1"/>
  <c r="T189" i="1"/>
  <c r="S189" i="1"/>
  <c r="R189" i="1"/>
  <c r="Q189" i="1"/>
  <c r="P189" i="1"/>
  <c r="V187" i="1"/>
  <c r="U187" i="1"/>
  <c r="T187" i="1"/>
  <c r="S187" i="1"/>
  <c r="R187" i="1"/>
  <c r="Q187" i="1"/>
  <c r="P187" i="1"/>
  <c r="V185" i="1"/>
  <c r="T185" i="1"/>
  <c r="R185" i="1"/>
  <c r="Q185" i="1"/>
  <c r="P185" i="1"/>
  <c r="U185" i="1"/>
  <c r="S185" i="1"/>
  <c r="V182" i="1"/>
  <c r="U182" i="1"/>
  <c r="T182" i="1"/>
  <c r="S182" i="1"/>
  <c r="R182" i="1"/>
  <c r="Q182" i="1"/>
  <c r="P182" i="1"/>
  <c r="V181" i="1"/>
  <c r="U181" i="1"/>
  <c r="T181" i="1"/>
  <c r="S181" i="1"/>
  <c r="R181" i="1"/>
  <c r="Q181" i="1"/>
  <c r="P181" i="1"/>
  <c r="V180" i="1"/>
  <c r="U180" i="1"/>
  <c r="T180" i="1"/>
  <c r="S180" i="1"/>
  <c r="R180" i="1"/>
  <c r="Q180" i="1"/>
  <c r="P180" i="1"/>
  <c r="T179" i="1"/>
  <c r="S179" i="1"/>
  <c r="P179" i="1"/>
  <c r="V179" i="1"/>
  <c r="U179" i="1"/>
  <c r="R179" i="1"/>
  <c r="Q179" i="1"/>
  <c r="V175" i="1" l="1"/>
  <c r="U175" i="1"/>
  <c r="T175" i="1"/>
  <c r="R175" i="1"/>
  <c r="P175" i="1"/>
  <c r="S175" i="1"/>
  <c r="Q175" i="1"/>
  <c r="V174" i="1"/>
  <c r="U174" i="1"/>
  <c r="R174" i="1"/>
  <c r="P174" i="1"/>
  <c r="T174" i="1"/>
  <c r="S174" i="1"/>
  <c r="Q174" i="1"/>
  <c r="V145" i="1"/>
  <c r="U145" i="1"/>
  <c r="T145" i="1"/>
  <c r="S145" i="1"/>
  <c r="R145" i="1"/>
  <c r="Q145" i="1"/>
  <c r="P145" i="1"/>
  <c r="V144" i="1"/>
  <c r="U144" i="1"/>
  <c r="T144" i="1"/>
  <c r="S144" i="1"/>
  <c r="R144" i="1"/>
  <c r="Q144" i="1"/>
  <c r="P144" i="1"/>
  <c r="V143" i="1"/>
  <c r="U143" i="1"/>
  <c r="T143" i="1"/>
  <c r="S143" i="1"/>
  <c r="R143" i="1"/>
  <c r="Q143" i="1"/>
  <c r="P143" i="1"/>
  <c r="V142" i="1"/>
  <c r="U142" i="1"/>
  <c r="T142" i="1"/>
  <c r="S142" i="1"/>
  <c r="R142" i="1"/>
  <c r="Q142" i="1"/>
  <c r="P142" i="1"/>
  <c r="V141" i="1"/>
  <c r="U141" i="1"/>
  <c r="T141" i="1"/>
  <c r="S141" i="1"/>
  <c r="R141" i="1"/>
  <c r="Q141" i="1"/>
  <c r="P141" i="1"/>
  <c r="V140" i="1"/>
  <c r="U140" i="1"/>
  <c r="T140" i="1"/>
  <c r="S140" i="1"/>
  <c r="R140" i="1"/>
  <c r="Q140" i="1"/>
  <c r="P140" i="1"/>
  <c r="V139" i="1"/>
  <c r="U139" i="1"/>
  <c r="T139" i="1"/>
  <c r="S139" i="1"/>
  <c r="R139" i="1"/>
  <c r="Q139" i="1"/>
  <c r="P139" i="1"/>
  <c r="V138" i="1"/>
  <c r="U138" i="1"/>
  <c r="T138" i="1"/>
  <c r="S138" i="1"/>
  <c r="R138" i="1"/>
  <c r="Q138" i="1"/>
  <c r="P138" i="1"/>
  <c r="P146" i="1"/>
  <c r="Q146" i="1"/>
  <c r="R146" i="1"/>
  <c r="S146" i="1"/>
  <c r="T146" i="1"/>
  <c r="U146" i="1"/>
  <c r="V146" i="1"/>
  <c r="P147" i="1"/>
  <c r="Q147" i="1"/>
  <c r="R147" i="1"/>
  <c r="S147" i="1"/>
  <c r="T147" i="1"/>
  <c r="U147" i="1"/>
  <c r="V147" i="1"/>
  <c r="P148" i="1"/>
  <c r="Q148" i="1"/>
  <c r="R148" i="1"/>
  <c r="S148" i="1"/>
  <c r="T148" i="1"/>
  <c r="U148" i="1"/>
  <c r="V148" i="1"/>
  <c r="P149" i="1"/>
  <c r="Q149" i="1"/>
  <c r="R149" i="1"/>
  <c r="S149" i="1"/>
  <c r="T149" i="1"/>
  <c r="U149" i="1"/>
  <c r="V149" i="1"/>
  <c r="V137" i="1"/>
  <c r="U137" i="1"/>
  <c r="T137" i="1"/>
  <c r="S137" i="1"/>
  <c r="R137" i="1"/>
  <c r="Q137" i="1"/>
  <c r="P137" i="1"/>
  <c r="V133" i="1" l="1"/>
  <c r="U133" i="1"/>
  <c r="R133" i="1"/>
  <c r="Q133" i="1"/>
  <c r="T133" i="1"/>
  <c r="S133" i="1"/>
  <c r="P133" i="1"/>
  <c r="V132" i="1"/>
  <c r="T132" i="1"/>
  <c r="S132" i="1"/>
  <c r="R132" i="1"/>
  <c r="P132" i="1"/>
  <c r="U132" i="1"/>
  <c r="Q132" i="1"/>
  <c r="V123" i="1"/>
  <c r="U123" i="1"/>
  <c r="T123" i="1"/>
  <c r="S123" i="1"/>
  <c r="R123" i="1"/>
  <c r="Q123" i="1"/>
  <c r="P123" i="1"/>
  <c r="V122" i="1"/>
  <c r="U122" i="1"/>
  <c r="T122" i="1"/>
  <c r="S122" i="1"/>
  <c r="R122" i="1"/>
  <c r="Q122" i="1"/>
  <c r="P122" i="1"/>
  <c r="P121" i="1"/>
  <c r="Q121" i="1"/>
  <c r="R121" i="1"/>
  <c r="S121" i="1"/>
  <c r="T121" i="1"/>
  <c r="U121" i="1"/>
  <c r="V121" i="1"/>
  <c r="P125" i="1"/>
  <c r="Q125" i="1"/>
  <c r="R125" i="1"/>
  <c r="S125" i="1"/>
  <c r="T125" i="1"/>
  <c r="U125" i="1"/>
  <c r="V125" i="1"/>
  <c r="D64" i="1" l="1"/>
  <c r="F64" i="1"/>
  <c r="G64" i="1"/>
  <c r="H64" i="1"/>
  <c r="I64" i="1"/>
  <c r="C64" i="1"/>
  <c r="D266" i="1" l="1"/>
  <c r="E266" i="1"/>
  <c r="F266" i="1"/>
  <c r="G266" i="1"/>
  <c r="H266" i="1"/>
  <c r="I266" i="1"/>
  <c r="C266" i="1"/>
  <c r="D30" i="2" l="1"/>
  <c r="E30" i="2"/>
  <c r="F30" i="2"/>
  <c r="G30" i="2"/>
  <c r="H30" i="2"/>
  <c r="I30" i="2"/>
  <c r="C30" i="2"/>
  <c r="C39" i="8" l="1"/>
  <c r="D39" i="8"/>
  <c r="E39" i="8"/>
  <c r="F39" i="8"/>
  <c r="G39" i="8"/>
  <c r="H39" i="8"/>
  <c r="B39" i="8"/>
  <c r="C29" i="8"/>
  <c r="D29" i="8"/>
  <c r="E29" i="8"/>
  <c r="F29" i="8"/>
  <c r="G29" i="8"/>
  <c r="H29" i="8"/>
  <c r="B29" i="8"/>
  <c r="C21" i="8"/>
  <c r="D21" i="8"/>
  <c r="E21" i="8"/>
  <c r="F21" i="8"/>
  <c r="G21" i="8"/>
  <c r="H21" i="8"/>
  <c r="B21" i="8"/>
  <c r="C20" i="8"/>
  <c r="D20" i="8"/>
  <c r="E20" i="8"/>
  <c r="F20" i="8"/>
  <c r="G20" i="8"/>
  <c r="H20" i="8"/>
  <c r="B20" i="8"/>
  <c r="Q186" i="1" l="1"/>
  <c r="R186" i="1"/>
  <c r="S186" i="1"/>
  <c r="T186" i="1"/>
  <c r="U186" i="1"/>
  <c r="V186" i="1"/>
  <c r="P186" i="1"/>
  <c r="D106" i="1" l="1"/>
  <c r="E106" i="1"/>
  <c r="F106" i="1"/>
  <c r="G106" i="1"/>
  <c r="H106" i="1"/>
  <c r="I106" i="1"/>
  <c r="C106" i="1"/>
  <c r="F11" i="8" l="1"/>
  <c r="H11" i="8"/>
  <c r="E11" i="8"/>
  <c r="D11" i="8"/>
  <c r="B11" i="8"/>
  <c r="G11" i="8"/>
  <c r="C11" i="8"/>
  <c r="F86" i="2"/>
  <c r="E43" i="8" s="1"/>
  <c r="D2" i="2"/>
  <c r="E2" i="2"/>
  <c r="F2" i="2"/>
  <c r="C2" i="2"/>
  <c r="P216" i="1"/>
  <c r="U214" i="1"/>
  <c r="T214" i="1"/>
  <c r="S214" i="1"/>
  <c r="R214" i="1"/>
  <c r="Q214" i="1"/>
  <c r="P214" i="1"/>
  <c r="G86" i="2" l="1"/>
  <c r="F43" i="8" s="1"/>
  <c r="I86" i="2"/>
  <c r="H43" i="8" s="1"/>
  <c r="D86" i="2"/>
  <c r="C43" i="8" s="1"/>
  <c r="E86" i="2"/>
  <c r="D43" i="8" s="1"/>
  <c r="H86" i="2"/>
  <c r="G43" i="8" s="1"/>
  <c r="V209" i="1"/>
  <c r="U209" i="1"/>
  <c r="T209" i="1"/>
  <c r="S209" i="1"/>
  <c r="R209" i="1"/>
  <c r="Q209" i="1"/>
  <c r="P209" i="1"/>
  <c r="P205" i="1"/>
  <c r="Q205" i="1"/>
  <c r="R205" i="1"/>
  <c r="S205" i="1"/>
  <c r="T205" i="1"/>
  <c r="U205" i="1"/>
  <c r="V205" i="1"/>
  <c r="V203" i="1"/>
  <c r="U203" i="1"/>
  <c r="T203" i="1"/>
  <c r="S203" i="1"/>
  <c r="R203" i="1"/>
  <c r="Q203" i="1"/>
  <c r="P203" i="1"/>
  <c r="P194" i="1"/>
  <c r="Q194" i="1"/>
  <c r="R194" i="1"/>
  <c r="S194" i="1"/>
  <c r="T194" i="1"/>
  <c r="U194" i="1"/>
  <c r="V194" i="1"/>
  <c r="V178" i="1"/>
  <c r="U178" i="1"/>
  <c r="T178" i="1"/>
  <c r="S178" i="1"/>
  <c r="R178" i="1"/>
  <c r="Q178" i="1"/>
  <c r="P178" i="1"/>
  <c r="T173" i="1"/>
  <c r="S173" i="1"/>
  <c r="Q173" i="1"/>
  <c r="V173" i="1"/>
  <c r="U173" i="1"/>
  <c r="R173" i="1"/>
  <c r="P173" i="1"/>
  <c r="V172" i="1"/>
  <c r="U172" i="1"/>
  <c r="T172" i="1"/>
  <c r="S172" i="1"/>
  <c r="R172" i="1"/>
  <c r="Q172" i="1"/>
  <c r="P172" i="1"/>
  <c r="V170" i="1"/>
  <c r="U170" i="1"/>
  <c r="T170" i="1"/>
  <c r="S170" i="1"/>
  <c r="R170" i="1"/>
  <c r="Q170" i="1"/>
  <c r="P170" i="1"/>
  <c r="V169" i="1"/>
  <c r="U169" i="1"/>
  <c r="T169" i="1"/>
  <c r="S169" i="1"/>
  <c r="R169" i="1"/>
  <c r="Q169" i="1"/>
  <c r="P169" i="1"/>
  <c r="V168" i="1"/>
  <c r="U168" i="1"/>
  <c r="T168" i="1"/>
  <c r="S168" i="1"/>
  <c r="R168" i="1"/>
  <c r="Q168" i="1"/>
  <c r="P168" i="1"/>
  <c r="V166" i="1"/>
  <c r="U166" i="1"/>
  <c r="T166" i="1"/>
  <c r="S166" i="1"/>
  <c r="R166" i="1"/>
  <c r="Q166" i="1"/>
  <c r="P166" i="1"/>
  <c r="V165" i="1"/>
  <c r="U165" i="1"/>
  <c r="T165" i="1"/>
  <c r="S165" i="1"/>
  <c r="R165" i="1"/>
  <c r="Q165" i="1"/>
  <c r="P165" i="1"/>
  <c r="V161" i="1"/>
  <c r="U161" i="1"/>
  <c r="T161" i="1"/>
  <c r="S161" i="1"/>
  <c r="R161" i="1"/>
  <c r="Q161" i="1"/>
  <c r="P161" i="1"/>
  <c r="Q167" i="1" l="1"/>
  <c r="U167" i="1"/>
  <c r="V167" i="1"/>
  <c r="P167" i="1"/>
  <c r="T167" i="1"/>
  <c r="R167" i="1"/>
  <c r="S167" i="1"/>
  <c r="V153" i="1" l="1"/>
  <c r="U153" i="1"/>
  <c r="T153" i="1"/>
  <c r="S153" i="1"/>
  <c r="R153" i="1"/>
  <c r="Q153" i="1"/>
  <c r="F13" i="8" l="1"/>
  <c r="F58" i="8" s="1"/>
  <c r="B13" i="8"/>
  <c r="B58" i="8" s="1"/>
  <c r="E13" i="8"/>
  <c r="E58" i="8" s="1"/>
  <c r="C13" i="8"/>
  <c r="C58" i="8" s="1"/>
  <c r="H13" i="8"/>
  <c r="H58" i="8" s="1"/>
  <c r="D13" i="8" l="1"/>
  <c r="D58" i="8" s="1"/>
  <c r="G13" i="8"/>
  <c r="G58" i="8" s="1"/>
  <c r="D100" i="2"/>
  <c r="E100" i="2"/>
  <c r="F100" i="2"/>
  <c r="G100" i="2"/>
  <c r="H100" i="2"/>
  <c r="I100" i="2"/>
  <c r="C100" i="2"/>
  <c r="D243" i="1"/>
  <c r="C14" i="8" s="1"/>
  <c r="E243" i="1"/>
  <c r="D14" i="8" s="1"/>
  <c r="F243" i="1"/>
  <c r="E14" i="8" s="1"/>
  <c r="G243" i="1"/>
  <c r="F14" i="8" s="1"/>
  <c r="H243" i="1"/>
  <c r="G14" i="8" s="1"/>
  <c r="I243" i="1"/>
  <c r="H14" i="8" s="1"/>
  <c r="C243" i="1"/>
  <c r="B14" i="8" s="1"/>
  <c r="D4" i="1"/>
  <c r="E4" i="1"/>
  <c r="R4" i="1" s="1"/>
  <c r="F4" i="1"/>
  <c r="S4" i="1" s="1"/>
  <c r="G4" i="1"/>
  <c r="H4" i="1"/>
  <c r="I4" i="1"/>
  <c r="V4" i="1" s="1"/>
  <c r="C4" i="1"/>
  <c r="P4" i="1" s="1"/>
  <c r="D14" i="4"/>
  <c r="E14" i="4"/>
  <c r="F14" i="4"/>
  <c r="G14" i="4"/>
  <c r="H14" i="4"/>
  <c r="I14" i="4"/>
  <c r="C14" i="4"/>
  <c r="H44" i="8" l="1"/>
  <c r="H59" i="8" s="1"/>
  <c r="F44" i="8"/>
  <c r="F59" i="8" s="1"/>
  <c r="D44" i="8"/>
  <c r="D59" i="8" s="1"/>
  <c r="G44" i="8"/>
  <c r="G59" i="8" s="1"/>
  <c r="E44" i="8"/>
  <c r="E59" i="8" s="1"/>
  <c r="C44" i="8"/>
  <c r="C59" i="8" s="1"/>
  <c r="B44" i="8"/>
  <c r="B59" i="8" s="1"/>
  <c r="H3" i="2"/>
  <c r="G4" i="3" s="1"/>
  <c r="G8" i="3" s="1"/>
  <c r="U4" i="1"/>
  <c r="D3" i="2"/>
  <c r="C4" i="8" s="1"/>
  <c r="C19" i="8" s="1"/>
  <c r="Q4" i="1"/>
  <c r="G3" i="2"/>
  <c r="F4" i="8" s="1"/>
  <c r="F19" i="8" s="1"/>
  <c r="T4" i="1"/>
  <c r="F271" i="1"/>
  <c r="S271" i="1" s="1"/>
  <c r="F3" i="2"/>
  <c r="E3" i="2"/>
  <c r="C271" i="1"/>
  <c r="P271" i="1" s="1"/>
  <c r="C3" i="2"/>
  <c r="I3" i="2"/>
  <c r="I271" i="1"/>
  <c r="V271" i="1" s="1"/>
  <c r="G271" i="1"/>
  <c r="T271" i="1" s="1"/>
  <c r="E271" i="1"/>
  <c r="R271" i="1" s="1"/>
  <c r="H271" i="1"/>
  <c r="U271" i="1" s="1"/>
  <c r="D271" i="1"/>
  <c r="Q271" i="1" s="1"/>
  <c r="G4" i="8" l="1"/>
  <c r="G19" i="8" s="1"/>
  <c r="F4" i="3"/>
  <c r="F8" i="3" s="1"/>
  <c r="C4" i="3"/>
  <c r="C8" i="3" s="1"/>
  <c r="B4" i="3"/>
  <c r="B8" i="3" s="1"/>
  <c r="B4" i="8"/>
  <c r="B19" i="8" s="1"/>
  <c r="D4" i="3"/>
  <c r="D8" i="3" s="1"/>
  <c r="D4" i="8"/>
  <c r="D19" i="8" s="1"/>
  <c r="H4" i="3"/>
  <c r="H8" i="3" s="1"/>
  <c r="H4" i="8"/>
  <c r="H19" i="8" s="1"/>
  <c r="E4" i="3"/>
  <c r="E8" i="3" s="1"/>
  <c r="E4" i="8"/>
  <c r="E19" i="8" s="1"/>
  <c r="H22" i="7"/>
  <c r="D22" i="7" l="1"/>
  <c r="G22" i="7"/>
  <c r="C22" i="7"/>
  <c r="F22" i="7"/>
  <c r="I22" i="7"/>
  <c r="E22" i="7"/>
  <c r="C23" i="7"/>
  <c r="E9" i="8" l="1"/>
  <c r="E54" i="8" s="1"/>
  <c r="F9" i="8"/>
  <c r="F54" i="8" s="1"/>
  <c r="G9" i="8"/>
  <c r="G54" i="8" s="1"/>
  <c r="I278" i="1"/>
  <c r="H278" i="1"/>
  <c r="G278" i="1"/>
  <c r="D278" i="1"/>
  <c r="C278" i="1"/>
  <c r="C49" i="8"/>
  <c r="D49" i="8"/>
  <c r="E49" i="8"/>
  <c r="F49" i="8"/>
  <c r="G49" i="8"/>
  <c r="H49" i="8"/>
  <c r="B49" i="8"/>
  <c r="C34" i="8"/>
  <c r="D34" i="8"/>
  <c r="E34" i="8"/>
  <c r="F34" i="8"/>
  <c r="G34" i="8"/>
  <c r="H34" i="8"/>
  <c r="B34" i="8"/>
  <c r="F276" i="1"/>
  <c r="D281" i="1"/>
  <c r="E281" i="1"/>
  <c r="F281" i="1"/>
  <c r="G281" i="1"/>
  <c r="H281" i="1"/>
  <c r="I281" i="1"/>
  <c r="C281" i="1"/>
  <c r="E278" i="1"/>
  <c r="F278" i="1"/>
  <c r="D72" i="1"/>
  <c r="E72" i="1"/>
  <c r="F72" i="1"/>
  <c r="G72" i="1"/>
  <c r="H72" i="1"/>
  <c r="I72" i="1"/>
  <c r="C72" i="1"/>
  <c r="D29" i="1"/>
  <c r="E29" i="1"/>
  <c r="F29" i="1"/>
  <c r="G29" i="1"/>
  <c r="H29" i="1"/>
  <c r="I29" i="1"/>
  <c r="C29" i="1"/>
  <c r="D23" i="1"/>
  <c r="E23" i="1"/>
  <c r="D7" i="8" s="1"/>
  <c r="D52" i="8" s="1"/>
  <c r="F23" i="1"/>
  <c r="G23" i="1"/>
  <c r="H23" i="1"/>
  <c r="I23" i="1"/>
  <c r="C23" i="1"/>
  <c r="D8" i="1"/>
  <c r="E8" i="1"/>
  <c r="F8" i="1"/>
  <c r="F268" i="1" s="1"/>
  <c r="G8" i="1"/>
  <c r="H8" i="1"/>
  <c r="I8" i="1"/>
  <c r="C8" i="1"/>
  <c r="D16" i="1"/>
  <c r="C6" i="8" s="1"/>
  <c r="C51" i="8" s="1"/>
  <c r="E16" i="1"/>
  <c r="D6" i="8" s="1"/>
  <c r="D51" i="8" s="1"/>
  <c r="F16" i="1"/>
  <c r="E6" i="8" s="1"/>
  <c r="E51" i="8" s="1"/>
  <c r="G16" i="1"/>
  <c r="F6" i="8" s="1"/>
  <c r="F51" i="8" s="1"/>
  <c r="H16" i="1"/>
  <c r="G6" i="8" s="1"/>
  <c r="G51" i="8" s="1"/>
  <c r="I16" i="1"/>
  <c r="H6" i="8" s="1"/>
  <c r="H51" i="8" s="1"/>
  <c r="C16" i="1"/>
  <c r="B6" i="8" s="1"/>
  <c r="B51" i="8" s="1"/>
  <c r="B44" i="2"/>
  <c r="B43" i="2"/>
  <c r="B42" i="2"/>
  <c r="B41" i="2"/>
  <c r="B40" i="2"/>
  <c r="B41" i="8"/>
  <c r="B56" i="8" s="1"/>
  <c r="Q152" i="1"/>
  <c r="R152" i="1"/>
  <c r="S152" i="1"/>
  <c r="U152" i="1"/>
  <c r="V152" i="1"/>
  <c r="P152" i="1"/>
  <c r="T152" i="1"/>
  <c r="Q127" i="1"/>
  <c r="R127" i="1"/>
  <c r="S127" i="1"/>
  <c r="T127" i="1"/>
  <c r="U127" i="1"/>
  <c r="V127" i="1"/>
  <c r="P127" i="1"/>
  <c r="R71" i="1"/>
  <c r="S71" i="1"/>
  <c r="T71" i="1"/>
  <c r="U71" i="1"/>
  <c r="V71" i="1"/>
  <c r="Q71" i="1"/>
  <c r="P71" i="1"/>
  <c r="P27" i="1"/>
  <c r="Q27" i="1"/>
  <c r="R27" i="1"/>
  <c r="S27" i="1"/>
  <c r="T27" i="1"/>
  <c r="U27" i="1"/>
  <c r="V27" i="1"/>
  <c r="P28" i="1"/>
  <c r="Q28" i="1"/>
  <c r="R28" i="1"/>
  <c r="S28" i="1"/>
  <c r="T28" i="1"/>
  <c r="U28" i="1"/>
  <c r="V28" i="1"/>
  <c r="R26" i="1"/>
  <c r="S26" i="1"/>
  <c r="T26" i="1"/>
  <c r="U26" i="1"/>
  <c r="V26" i="1"/>
  <c r="Q26" i="1"/>
  <c r="P26" i="1"/>
  <c r="P218" i="1"/>
  <c r="Q218" i="1"/>
  <c r="R218" i="1"/>
  <c r="R235" i="1" s="1"/>
  <c r="S218" i="1"/>
  <c r="S235" i="1" s="1"/>
  <c r="T218" i="1"/>
  <c r="T235" i="1" s="1"/>
  <c r="U218" i="1"/>
  <c r="V218" i="1"/>
  <c r="P220" i="1"/>
  <c r="Q220" i="1"/>
  <c r="R220" i="1"/>
  <c r="S220" i="1"/>
  <c r="T220" i="1"/>
  <c r="U220" i="1"/>
  <c r="V220" i="1"/>
  <c r="P221" i="1"/>
  <c r="Q221" i="1"/>
  <c r="R221" i="1"/>
  <c r="S221" i="1"/>
  <c r="T221" i="1"/>
  <c r="U221" i="1"/>
  <c r="V221" i="1"/>
  <c r="P222" i="1"/>
  <c r="Q222" i="1"/>
  <c r="R222" i="1"/>
  <c r="S222" i="1"/>
  <c r="T222" i="1"/>
  <c r="U222" i="1"/>
  <c r="V222" i="1"/>
  <c r="V202" i="1"/>
  <c r="U202" i="1"/>
  <c r="T202" i="1"/>
  <c r="S202" i="1"/>
  <c r="R202" i="1"/>
  <c r="Q202" i="1"/>
  <c r="P202" i="1"/>
  <c r="V201" i="1"/>
  <c r="U201" i="1"/>
  <c r="T201" i="1"/>
  <c r="S201" i="1"/>
  <c r="R201" i="1"/>
  <c r="Q201" i="1"/>
  <c r="P201" i="1"/>
  <c r="V196" i="1"/>
  <c r="U196" i="1"/>
  <c r="T196" i="1"/>
  <c r="S196" i="1"/>
  <c r="R196" i="1"/>
  <c r="Q196" i="1"/>
  <c r="P196" i="1"/>
  <c r="V195" i="1"/>
  <c r="U195" i="1"/>
  <c r="T195" i="1"/>
  <c r="S195" i="1"/>
  <c r="R195" i="1"/>
  <c r="Q195" i="1"/>
  <c r="P195" i="1"/>
  <c r="V188" i="1"/>
  <c r="U188" i="1"/>
  <c r="T188" i="1"/>
  <c r="S188" i="1"/>
  <c r="R188" i="1"/>
  <c r="Q188" i="1"/>
  <c r="P188" i="1"/>
  <c r="V184" i="1"/>
  <c r="U184" i="1"/>
  <c r="T184" i="1"/>
  <c r="S184" i="1"/>
  <c r="R184" i="1"/>
  <c r="Q184" i="1"/>
  <c r="P184" i="1"/>
  <c r="V163" i="1"/>
  <c r="U163" i="1"/>
  <c r="T163" i="1"/>
  <c r="S163" i="1"/>
  <c r="R163" i="1"/>
  <c r="Q163" i="1"/>
  <c r="P163" i="1"/>
  <c r="V162" i="1"/>
  <c r="U162" i="1"/>
  <c r="T162" i="1"/>
  <c r="S162" i="1"/>
  <c r="R162" i="1"/>
  <c r="P153" i="1"/>
  <c r="V151" i="1"/>
  <c r="U151" i="1"/>
  <c r="T151" i="1"/>
  <c r="S151" i="1"/>
  <c r="R151" i="1"/>
  <c r="Q151" i="1"/>
  <c r="P151" i="1"/>
  <c r="V150" i="1"/>
  <c r="U150" i="1"/>
  <c r="T150" i="1"/>
  <c r="S150" i="1"/>
  <c r="R150" i="1"/>
  <c r="Q150" i="1"/>
  <c r="P150" i="1"/>
  <c r="V136" i="1"/>
  <c r="U136" i="1"/>
  <c r="T136" i="1"/>
  <c r="S136" i="1"/>
  <c r="R136" i="1"/>
  <c r="Q136" i="1"/>
  <c r="P136" i="1"/>
  <c r="V135" i="1"/>
  <c r="U135" i="1"/>
  <c r="T135" i="1"/>
  <c r="S135" i="1"/>
  <c r="R135" i="1"/>
  <c r="Q135" i="1"/>
  <c r="P135" i="1"/>
  <c r="V134" i="1"/>
  <c r="U134" i="1"/>
  <c r="T134" i="1"/>
  <c r="S134" i="1"/>
  <c r="R134" i="1"/>
  <c r="Q134" i="1"/>
  <c r="P134" i="1"/>
  <c r="V131" i="1"/>
  <c r="U131" i="1"/>
  <c r="T131" i="1"/>
  <c r="S131" i="1"/>
  <c r="R131" i="1"/>
  <c r="Q131" i="1"/>
  <c r="P131" i="1"/>
  <c r="V130" i="1"/>
  <c r="U130" i="1"/>
  <c r="T130" i="1"/>
  <c r="S130" i="1"/>
  <c r="R130" i="1"/>
  <c r="Q130" i="1"/>
  <c r="P130" i="1"/>
  <c r="V129" i="1"/>
  <c r="U129" i="1"/>
  <c r="T129" i="1"/>
  <c r="S129" i="1"/>
  <c r="R129" i="1"/>
  <c r="Q129" i="1"/>
  <c r="P129" i="1"/>
  <c r="V128" i="1"/>
  <c r="U128" i="1"/>
  <c r="T128" i="1"/>
  <c r="S128" i="1"/>
  <c r="R128" i="1"/>
  <c r="Q128" i="1"/>
  <c r="P128" i="1"/>
  <c r="V126" i="1"/>
  <c r="U126" i="1"/>
  <c r="T126" i="1"/>
  <c r="S126" i="1"/>
  <c r="R126" i="1"/>
  <c r="Q126" i="1"/>
  <c r="P126" i="1"/>
  <c r="V120" i="1"/>
  <c r="U120" i="1"/>
  <c r="T120" i="1"/>
  <c r="S120" i="1"/>
  <c r="R120" i="1"/>
  <c r="Q120" i="1"/>
  <c r="P120" i="1"/>
  <c r="V119" i="1"/>
  <c r="U119" i="1"/>
  <c r="T119" i="1"/>
  <c r="S119" i="1"/>
  <c r="R119" i="1"/>
  <c r="Q119" i="1"/>
  <c r="P119" i="1"/>
  <c r="V118" i="1"/>
  <c r="U118" i="1"/>
  <c r="T118" i="1"/>
  <c r="S118" i="1"/>
  <c r="R118" i="1"/>
  <c r="Q118" i="1"/>
  <c r="P118" i="1"/>
  <c r="V117" i="1"/>
  <c r="U117" i="1"/>
  <c r="T117" i="1"/>
  <c r="S117" i="1"/>
  <c r="R117" i="1"/>
  <c r="Q117" i="1"/>
  <c r="P117" i="1"/>
  <c r="P114" i="1"/>
  <c r="Q114" i="1"/>
  <c r="R114" i="1"/>
  <c r="S114" i="1"/>
  <c r="T114" i="1"/>
  <c r="U114" i="1"/>
  <c r="V114" i="1"/>
  <c r="V234" i="1"/>
  <c r="V233" i="1" s="1"/>
  <c r="U234" i="1"/>
  <c r="U233" i="1" s="1"/>
  <c r="T234" i="1"/>
  <c r="T233" i="1" s="1"/>
  <c r="S234" i="1"/>
  <c r="S233" i="1" s="1"/>
  <c r="R234" i="1"/>
  <c r="R233" i="1" s="1"/>
  <c r="Q234" i="1"/>
  <c r="Q233" i="1" s="1"/>
  <c r="P234" i="1"/>
  <c r="P233" i="1" s="1"/>
  <c r="Q246" i="1"/>
  <c r="R246" i="1"/>
  <c r="S246" i="1"/>
  <c r="T246" i="1"/>
  <c r="U246" i="1"/>
  <c r="V246" i="1"/>
  <c r="Q249" i="1"/>
  <c r="R249" i="1"/>
  <c r="S249" i="1"/>
  <c r="T249" i="1"/>
  <c r="U249" i="1"/>
  <c r="V249" i="1"/>
  <c r="Q251" i="1"/>
  <c r="R251" i="1"/>
  <c r="S251" i="1"/>
  <c r="T251" i="1"/>
  <c r="U251" i="1"/>
  <c r="V251" i="1"/>
  <c r="Q253" i="1"/>
  <c r="R253" i="1"/>
  <c r="S253" i="1"/>
  <c r="T253" i="1"/>
  <c r="U253" i="1"/>
  <c r="V253" i="1"/>
  <c r="Q255" i="1"/>
  <c r="R255" i="1"/>
  <c r="S255" i="1"/>
  <c r="T255" i="1"/>
  <c r="U255" i="1"/>
  <c r="Q258" i="1"/>
  <c r="R258" i="1"/>
  <c r="S258" i="1"/>
  <c r="T258" i="1"/>
  <c r="U258" i="1"/>
  <c r="V258" i="1"/>
  <c r="P258" i="1"/>
  <c r="P255" i="1"/>
  <c r="P253" i="1"/>
  <c r="P251" i="1"/>
  <c r="P249" i="1"/>
  <c r="P246" i="1"/>
  <c r="V99" i="1"/>
  <c r="U99" i="1"/>
  <c r="T99" i="1"/>
  <c r="S99" i="1"/>
  <c r="R99" i="1"/>
  <c r="Q99" i="1"/>
  <c r="P99" i="1"/>
  <c r="V100" i="1"/>
  <c r="U100" i="1"/>
  <c r="T100" i="1"/>
  <c r="S100" i="1"/>
  <c r="R100" i="1"/>
  <c r="Q100" i="1"/>
  <c r="P100" i="1"/>
  <c r="T64" i="1"/>
  <c r="F24" i="8" s="1"/>
  <c r="V64" i="1"/>
  <c r="H24" i="8" s="1"/>
  <c r="U64" i="1"/>
  <c r="G24" i="8" s="1"/>
  <c r="S64" i="1"/>
  <c r="E24" i="8" s="1"/>
  <c r="R64" i="1"/>
  <c r="D24" i="8" s="1"/>
  <c r="Q64" i="1"/>
  <c r="C24" i="8" s="1"/>
  <c r="P64" i="1"/>
  <c r="B24" i="8" s="1"/>
  <c r="Q162" i="1"/>
  <c r="P162" i="1"/>
  <c r="D107" i="2"/>
  <c r="D7" i="4"/>
  <c r="E107" i="2"/>
  <c r="F107" i="2"/>
  <c r="F7" i="4"/>
  <c r="G107" i="2"/>
  <c r="G7" i="4"/>
  <c r="H107" i="2"/>
  <c r="H7" i="4"/>
  <c r="I107" i="2"/>
  <c r="I7" i="4"/>
  <c r="C107" i="2"/>
  <c r="C7" i="4"/>
  <c r="C17" i="4" s="1"/>
  <c r="Q272" i="1"/>
  <c r="R272" i="1"/>
  <c r="S272" i="1"/>
  <c r="T272" i="1"/>
  <c r="U272" i="1"/>
  <c r="V272" i="1"/>
  <c r="Q273" i="1"/>
  <c r="R273" i="1"/>
  <c r="S273" i="1"/>
  <c r="T273" i="1"/>
  <c r="U273" i="1"/>
  <c r="V273" i="1"/>
  <c r="Q281" i="1"/>
  <c r="R281" i="1"/>
  <c r="S281" i="1"/>
  <c r="T281" i="1"/>
  <c r="U281" i="1"/>
  <c r="V281" i="1"/>
  <c r="P281" i="1"/>
  <c r="P273" i="1"/>
  <c r="P272" i="1"/>
  <c r="Q67" i="1"/>
  <c r="R67" i="1"/>
  <c r="S67" i="1"/>
  <c r="T67" i="1"/>
  <c r="U67" i="1"/>
  <c r="V67" i="1"/>
  <c r="Q68" i="1"/>
  <c r="R68" i="1"/>
  <c r="S68" i="1"/>
  <c r="T68" i="1"/>
  <c r="U68" i="1"/>
  <c r="V68" i="1"/>
  <c r="Q69" i="1"/>
  <c r="R69" i="1"/>
  <c r="S69" i="1"/>
  <c r="T69" i="1"/>
  <c r="U69" i="1"/>
  <c r="V69" i="1"/>
  <c r="Q70" i="1"/>
  <c r="R70" i="1"/>
  <c r="S70" i="1"/>
  <c r="T70" i="1"/>
  <c r="U70" i="1"/>
  <c r="V70" i="1"/>
  <c r="P70" i="1"/>
  <c r="P69" i="1"/>
  <c r="P68" i="1"/>
  <c r="P67" i="1"/>
  <c r="Q22" i="1"/>
  <c r="R22" i="1"/>
  <c r="S22" i="1"/>
  <c r="T22" i="1"/>
  <c r="U22" i="1"/>
  <c r="V22" i="1"/>
  <c r="V23" i="1" s="1"/>
  <c r="P22" i="1"/>
  <c r="I268" i="1" l="1"/>
  <c r="T280" i="1"/>
  <c r="F28" i="8"/>
  <c r="S280" i="1"/>
  <c r="E28" i="8"/>
  <c r="D268" i="1"/>
  <c r="D4" i="4" s="1"/>
  <c r="V235" i="1"/>
  <c r="H268" i="1"/>
  <c r="E268" i="1"/>
  <c r="E4" i="4" s="1"/>
  <c r="R280" i="1"/>
  <c r="D28" i="8"/>
  <c r="Q235" i="1"/>
  <c r="P235" i="1"/>
  <c r="U235" i="1"/>
  <c r="G268" i="1"/>
  <c r="G4" i="4" s="1"/>
  <c r="C45" i="8"/>
  <c r="D109" i="2"/>
  <c r="E45" i="8"/>
  <c r="F109" i="2"/>
  <c r="D45" i="8"/>
  <c r="E109" i="2"/>
  <c r="G45" i="8"/>
  <c r="H109" i="2"/>
  <c r="F45" i="8"/>
  <c r="G109" i="2"/>
  <c r="B45" i="8"/>
  <c r="C109" i="2"/>
  <c r="C6" i="4" s="1"/>
  <c r="H45" i="8"/>
  <c r="I109" i="2"/>
  <c r="C268" i="1"/>
  <c r="C4" i="4" s="1"/>
  <c r="H5" i="8"/>
  <c r="H50" i="8" s="1"/>
  <c r="P106" i="1"/>
  <c r="B26" i="8" s="1"/>
  <c r="F41" i="8"/>
  <c r="F56" i="8" s="1"/>
  <c r="E41" i="8"/>
  <c r="E56" i="8" s="1"/>
  <c r="C41" i="8"/>
  <c r="C56" i="8" s="1"/>
  <c r="G41" i="8"/>
  <c r="G56" i="8" s="1"/>
  <c r="H41" i="8"/>
  <c r="H56" i="8" s="1"/>
  <c r="T106" i="1"/>
  <c r="F26" i="8" s="1"/>
  <c r="D41" i="8"/>
  <c r="D56" i="8" s="1"/>
  <c r="E7" i="4"/>
  <c r="D37" i="7"/>
  <c r="E37" i="7"/>
  <c r="C37" i="7"/>
  <c r="G37" i="7"/>
  <c r="H37" i="7"/>
  <c r="I37" i="7"/>
  <c r="S106" i="1"/>
  <c r="E26" i="8" s="1"/>
  <c r="R106" i="1"/>
  <c r="D26" i="8" s="1"/>
  <c r="V106" i="1"/>
  <c r="H26" i="8" s="1"/>
  <c r="C272" i="1"/>
  <c r="B5" i="8"/>
  <c r="B50" i="8" s="1"/>
  <c r="F272" i="1"/>
  <c r="E5" i="8"/>
  <c r="E50" i="8" s="1"/>
  <c r="I274" i="1"/>
  <c r="H7" i="8"/>
  <c r="H52" i="8" s="1"/>
  <c r="H275" i="1"/>
  <c r="G8" i="8"/>
  <c r="G53" i="8" s="1"/>
  <c r="D275" i="1"/>
  <c r="C8" i="8"/>
  <c r="C53" i="8" s="1"/>
  <c r="G277" i="1"/>
  <c r="F10" i="8"/>
  <c r="F55" i="8" s="1"/>
  <c r="C282" i="1"/>
  <c r="B15" i="8"/>
  <c r="B60" i="8" s="1"/>
  <c r="F282" i="1"/>
  <c r="E15" i="8"/>
  <c r="H274" i="1"/>
  <c r="G7" i="8"/>
  <c r="G52" i="8" s="1"/>
  <c r="G275" i="1"/>
  <c r="F8" i="8"/>
  <c r="F53" i="8" s="1"/>
  <c r="C277" i="1"/>
  <c r="B10" i="8"/>
  <c r="B55" i="8" s="1"/>
  <c r="E282" i="1"/>
  <c r="D15" i="8"/>
  <c r="H272" i="1"/>
  <c r="G5" i="8"/>
  <c r="G50" i="8" s="1"/>
  <c r="D272" i="1"/>
  <c r="C5" i="8"/>
  <c r="C50" i="8" s="1"/>
  <c r="G274" i="1"/>
  <c r="F7" i="8"/>
  <c r="F52" i="8" s="1"/>
  <c r="C275" i="1"/>
  <c r="B8" i="8"/>
  <c r="B53" i="8" s="1"/>
  <c r="F275" i="1"/>
  <c r="E8" i="8"/>
  <c r="E53" i="8" s="1"/>
  <c r="I277" i="1"/>
  <c r="H10" i="8"/>
  <c r="H55" i="8" s="1"/>
  <c r="E277" i="1"/>
  <c r="D10" i="8"/>
  <c r="D55" i="8" s="1"/>
  <c r="H282" i="1"/>
  <c r="G15" i="8"/>
  <c r="D282" i="1"/>
  <c r="C15" i="8"/>
  <c r="E272" i="1"/>
  <c r="D5" i="8"/>
  <c r="D50" i="8" s="1"/>
  <c r="D274" i="1"/>
  <c r="C7" i="8"/>
  <c r="C52" i="8" s="1"/>
  <c r="F277" i="1"/>
  <c r="E10" i="8"/>
  <c r="E55" i="8" s="1"/>
  <c r="I282" i="1"/>
  <c r="H15" i="8"/>
  <c r="V274" i="1"/>
  <c r="H22" i="8"/>
  <c r="Q106" i="1"/>
  <c r="C26" i="8" s="1"/>
  <c r="U106" i="1"/>
  <c r="G26" i="8" s="1"/>
  <c r="G272" i="1"/>
  <c r="F5" i="8"/>
  <c r="F50" i="8" s="1"/>
  <c r="C274" i="1"/>
  <c r="B7" i="8"/>
  <c r="B52" i="8" s="1"/>
  <c r="F274" i="1"/>
  <c r="E7" i="8"/>
  <c r="E52" i="8" s="1"/>
  <c r="I275" i="1"/>
  <c r="H8" i="8"/>
  <c r="H53" i="8" s="1"/>
  <c r="E275" i="1"/>
  <c r="D8" i="8"/>
  <c r="D53" i="8" s="1"/>
  <c r="H277" i="1"/>
  <c r="G10" i="8"/>
  <c r="G55" i="8" s="1"/>
  <c r="D277" i="1"/>
  <c r="C10" i="8"/>
  <c r="C55" i="8" s="1"/>
  <c r="G282" i="1"/>
  <c r="F15" i="8"/>
  <c r="I276" i="1"/>
  <c r="H9" i="8"/>
  <c r="H54" i="8" s="1"/>
  <c r="E276" i="1"/>
  <c r="D9" i="8"/>
  <c r="D54" i="8" s="1"/>
  <c r="D276" i="1"/>
  <c r="C9" i="8"/>
  <c r="C54" i="8" s="1"/>
  <c r="C276" i="1"/>
  <c r="B9" i="8"/>
  <c r="B54" i="8" s="1"/>
  <c r="G273" i="1"/>
  <c r="C273" i="1"/>
  <c r="F273" i="1"/>
  <c r="F4" i="4"/>
  <c r="I273" i="1"/>
  <c r="E273" i="1"/>
  <c r="H273" i="1"/>
  <c r="H4" i="4"/>
  <c r="D273" i="1"/>
  <c r="V276" i="1"/>
  <c r="U276" i="1"/>
  <c r="T276" i="1"/>
  <c r="S276" i="1"/>
  <c r="R276" i="1"/>
  <c r="Q276" i="1"/>
  <c r="P276" i="1"/>
  <c r="K278" i="1"/>
  <c r="P183" i="1"/>
  <c r="T183" i="1"/>
  <c r="Q183" i="1"/>
  <c r="U183" i="1"/>
  <c r="R183" i="1"/>
  <c r="V183" i="1"/>
  <c r="S183" i="1"/>
  <c r="P116" i="1"/>
  <c r="T266" i="1"/>
  <c r="S266" i="1"/>
  <c r="T116" i="1"/>
  <c r="Q116" i="1"/>
  <c r="U116" i="1"/>
  <c r="R116" i="1"/>
  <c r="V116" i="1"/>
  <c r="S116" i="1"/>
  <c r="R23" i="1"/>
  <c r="U23" i="1"/>
  <c r="Q23" i="1"/>
  <c r="T109" i="1"/>
  <c r="T210" i="1" s="1"/>
  <c r="Q266" i="1"/>
  <c r="P23" i="1"/>
  <c r="L279" i="1"/>
  <c r="E274" i="1"/>
  <c r="P266" i="1"/>
  <c r="V266" i="1"/>
  <c r="R266" i="1"/>
  <c r="U109" i="1"/>
  <c r="U210" i="1" s="1"/>
  <c r="S23" i="1"/>
  <c r="U266" i="1"/>
  <c r="R109" i="1"/>
  <c r="R210" i="1" s="1"/>
  <c r="V29" i="1"/>
  <c r="V275" i="1" s="1"/>
  <c r="R29" i="1"/>
  <c r="R275" i="1" s="1"/>
  <c r="D23" i="8" s="1"/>
  <c r="T23" i="1"/>
  <c r="K279" i="1"/>
  <c r="P72" i="1"/>
  <c r="I272" i="1"/>
  <c r="V109" i="1"/>
  <c r="L281" i="1"/>
  <c r="Q72" i="1"/>
  <c r="L278" i="1"/>
  <c r="K281" i="1"/>
  <c r="P109" i="1"/>
  <c r="P210" i="1" s="1"/>
  <c r="S109" i="1"/>
  <c r="S210" i="1" s="1"/>
  <c r="Q109" i="1"/>
  <c r="Q29" i="1"/>
  <c r="Q275" i="1" s="1"/>
  <c r="C23" i="8" s="1"/>
  <c r="U72" i="1"/>
  <c r="S72" i="1"/>
  <c r="V72" i="1"/>
  <c r="T72" i="1"/>
  <c r="R72" i="1"/>
  <c r="D25" i="8" s="1"/>
  <c r="U29" i="1"/>
  <c r="T29" i="1"/>
  <c r="T275" i="1" s="1"/>
  <c r="P29" i="1"/>
  <c r="P275" i="1" s="1"/>
  <c r="S29" i="1"/>
  <c r="S275" i="1" s="1"/>
  <c r="F37" i="7"/>
  <c r="D17" i="4"/>
  <c r="H17" i="4"/>
  <c r="G17" i="4"/>
  <c r="F17" i="4"/>
  <c r="H276" i="1"/>
  <c r="G276" i="1"/>
  <c r="D60" i="8" l="1"/>
  <c r="G60" i="8"/>
  <c r="E60" i="8"/>
  <c r="F60" i="8"/>
  <c r="H60" i="8"/>
  <c r="C60" i="8"/>
  <c r="U279" i="1"/>
  <c r="G27" i="8"/>
  <c r="V280" i="1"/>
  <c r="H28" i="8"/>
  <c r="Q268" i="1"/>
  <c r="T268" i="1"/>
  <c r="R279" i="1"/>
  <c r="D27" i="8"/>
  <c r="S279" i="1"/>
  <c r="E27" i="8"/>
  <c r="T279" i="1"/>
  <c r="F27" i="8"/>
  <c r="U268" i="1"/>
  <c r="R268" i="1"/>
  <c r="Q280" i="1"/>
  <c r="C28" i="8"/>
  <c r="V210" i="1"/>
  <c r="P268" i="1"/>
  <c r="P279" i="1"/>
  <c r="B27" i="8"/>
  <c r="U280" i="1"/>
  <c r="G28" i="8"/>
  <c r="P280" i="1"/>
  <c r="B28" i="8"/>
  <c r="Q210" i="1"/>
  <c r="S268" i="1"/>
  <c r="D15" i="4"/>
  <c r="E15" i="4"/>
  <c r="F15" i="4"/>
  <c r="G15" i="4"/>
  <c r="H15" i="4"/>
  <c r="C15" i="4"/>
  <c r="V278" i="1"/>
  <c r="I4" i="4"/>
  <c r="U278" i="1"/>
  <c r="P278" i="1"/>
  <c r="K282" i="1"/>
  <c r="T278" i="1"/>
  <c r="S278" i="1"/>
  <c r="K273" i="1"/>
  <c r="R278" i="1"/>
  <c r="K275" i="1"/>
  <c r="K277" i="1"/>
  <c r="L276" i="1"/>
  <c r="E17" i="4"/>
  <c r="F283" i="1"/>
  <c r="F6" i="4"/>
  <c r="I6" i="4"/>
  <c r="F46" i="8"/>
  <c r="B46" i="8"/>
  <c r="L273" i="1"/>
  <c r="U277" i="1"/>
  <c r="G25" i="8"/>
  <c r="P277" i="1"/>
  <c r="B25" i="8"/>
  <c r="S274" i="1"/>
  <c r="E22" i="8"/>
  <c r="R274" i="1"/>
  <c r="D22" i="8"/>
  <c r="C283" i="1"/>
  <c r="L277" i="1"/>
  <c r="K274" i="1"/>
  <c r="T274" i="1"/>
  <c r="F22" i="8"/>
  <c r="U282" i="1"/>
  <c r="G30" i="8"/>
  <c r="L274" i="1"/>
  <c r="S277" i="1"/>
  <c r="E25" i="8"/>
  <c r="Q277" i="1"/>
  <c r="C25" i="8"/>
  <c r="Q278" i="1"/>
  <c r="V282" i="1"/>
  <c r="H30" i="8"/>
  <c r="P274" i="1"/>
  <c r="B22" i="8"/>
  <c r="U274" i="1"/>
  <c r="G22" i="8"/>
  <c r="S282" i="1"/>
  <c r="E30" i="8"/>
  <c r="L275" i="1"/>
  <c r="T277" i="1"/>
  <c r="F25" i="8"/>
  <c r="L282" i="1"/>
  <c r="T282" i="1"/>
  <c r="F30" i="8"/>
  <c r="P282" i="1"/>
  <c r="B30" i="8"/>
  <c r="Q282" i="1"/>
  <c r="C30" i="8"/>
  <c r="V277" i="1"/>
  <c r="H25" i="8"/>
  <c r="R282" i="1"/>
  <c r="D30" i="8"/>
  <c r="Q274" i="1"/>
  <c r="C22" i="8"/>
  <c r="K276" i="1"/>
  <c r="D283" i="1"/>
  <c r="E16" i="8"/>
  <c r="H6" i="4"/>
  <c r="H10" i="4" s="1"/>
  <c r="D6" i="4"/>
  <c r="D10" i="4" s="1"/>
  <c r="G6" i="4"/>
  <c r="G16" i="4" s="1"/>
  <c r="E6" i="4"/>
  <c r="E10" i="4" s="1"/>
  <c r="E283" i="1"/>
  <c r="M279" i="1" s="1"/>
  <c r="D16" i="8"/>
  <c r="K272" i="1"/>
  <c r="L272" i="1"/>
  <c r="I283" i="1"/>
  <c r="U275" i="1"/>
  <c r="G23" i="8" s="1"/>
  <c r="R277" i="1"/>
  <c r="H16" i="8"/>
  <c r="E23" i="8"/>
  <c r="H23" i="8"/>
  <c r="F23" i="8"/>
  <c r="B23" i="8"/>
  <c r="I17" i="4"/>
  <c r="H283" i="1"/>
  <c r="G283" i="1"/>
  <c r="C16" i="8"/>
  <c r="B16" i="8"/>
  <c r="Q279" i="1" l="1"/>
  <c r="C27" i="8"/>
  <c r="V279" i="1"/>
  <c r="H27" i="8"/>
  <c r="V268" i="1"/>
  <c r="I5" i="4" s="1"/>
  <c r="M276" i="1"/>
  <c r="E18" i="4"/>
  <c r="I15" i="4"/>
  <c r="G46" i="8"/>
  <c r="C46" i="8"/>
  <c r="B61" i="8"/>
  <c r="E46" i="8"/>
  <c r="D46" i="8"/>
  <c r="H46" i="8"/>
  <c r="H61" i="8"/>
  <c r="C61" i="8"/>
  <c r="H18" i="4"/>
  <c r="D18" i="4"/>
  <c r="D61" i="8"/>
  <c r="E61" i="8"/>
  <c r="I16" i="4"/>
  <c r="I10" i="4"/>
  <c r="F16" i="4"/>
  <c r="F10" i="4"/>
  <c r="C10" i="4"/>
  <c r="C16" i="4"/>
  <c r="L283" i="1"/>
  <c r="U283" i="1"/>
  <c r="G31" i="8"/>
  <c r="R283" i="1"/>
  <c r="D31" i="8"/>
  <c r="H5" i="4"/>
  <c r="P283" i="1"/>
  <c r="B31" i="8"/>
  <c r="Q283" i="1"/>
  <c r="C31" i="8"/>
  <c r="S283" i="1"/>
  <c r="E31" i="8"/>
  <c r="T283" i="1"/>
  <c r="F31" i="8"/>
  <c r="F5" i="4"/>
  <c r="E5" i="4"/>
  <c r="C5" i="4"/>
  <c r="H16" i="4"/>
  <c r="G10" i="4"/>
  <c r="D16" i="4"/>
  <c r="E16" i="4"/>
  <c r="G5" i="4"/>
  <c r="D5" i="4"/>
  <c r="K283" i="1"/>
  <c r="G16" i="8"/>
  <c r="G61" i="8"/>
  <c r="F16" i="8"/>
  <c r="F11" i="4" l="1"/>
  <c r="F19" i="4" s="1"/>
  <c r="I11" i="4"/>
  <c r="I12" i="4" s="1"/>
  <c r="I18" i="4"/>
  <c r="D11" i="4"/>
  <c r="D19" i="4" s="1"/>
  <c r="C11" i="4"/>
  <c r="C19" i="4" s="1"/>
  <c r="C18" i="4"/>
  <c r="G11" i="4"/>
  <c r="G19" i="4" s="1"/>
  <c r="E11" i="4"/>
  <c r="E19" i="4" s="1"/>
  <c r="H11" i="4"/>
  <c r="H19" i="4" s="1"/>
  <c r="G18" i="4"/>
  <c r="F18" i="4"/>
  <c r="H31" i="8"/>
  <c r="F61" i="8"/>
  <c r="V283" i="1"/>
  <c r="F12" i="4" l="1"/>
  <c r="E12" i="4"/>
  <c r="C12" i="4"/>
  <c r="H12" i="4"/>
  <c r="I19" i="4"/>
  <c r="D12" i="4"/>
  <c r="G12" i="4"/>
</calcChain>
</file>

<file path=xl/comments1.xml><?xml version="1.0" encoding="utf-8"?>
<comments xmlns="http://schemas.openxmlformats.org/spreadsheetml/2006/main">
  <authors>
    <author>Alexandra Vennekens</author>
    <author>Lionne Koens</author>
    <author>Robine Hofman</author>
  </authors>
  <commentList>
    <comment ref="B10" authorId="0" shapeId="0">
      <text>
        <r>
          <rPr>
            <b/>
            <sz val="9"/>
            <color indexed="81"/>
            <rFont val="Tahoma"/>
            <family val="2"/>
          </rPr>
          <t>Alexandra Vennekens:</t>
        </r>
        <r>
          <rPr>
            <sz val="9"/>
            <color indexed="81"/>
            <rFont val="Tahoma"/>
            <family val="2"/>
          </rPr>
          <t xml:space="preserve">
Meerjarencijfers BuZa obv extrapolatie ivm PM wijzigingen na Regeerakkoord</t>
        </r>
      </text>
    </comment>
    <comment ref="B25" authorId="0" shapeId="0">
      <text>
        <r>
          <rPr>
            <b/>
            <sz val="9"/>
            <color indexed="81"/>
            <rFont val="Tahoma"/>
            <family val="2"/>
          </rPr>
          <t>Alexandra Vennekens:</t>
        </r>
        <r>
          <rPr>
            <sz val="9"/>
            <color indexed="81"/>
            <rFont val="Tahoma"/>
            <family val="2"/>
          </rPr>
          <t xml:space="preserve">
Begroting van WenR is opgeheven en artikelen zijn vanaf 2018 opgenomen in BZK begroting</t>
        </r>
      </text>
    </comment>
    <comment ref="P38" authorId="0" shapeId="0">
      <text>
        <r>
          <rPr>
            <b/>
            <sz val="9"/>
            <color indexed="81"/>
            <rFont val="Tahoma"/>
            <family val="2"/>
          </rPr>
          <t>Alexandra Vennekens:</t>
        </r>
        <r>
          <rPr>
            <sz val="9"/>
            <color indexed="81"/>
            <rFont val="Tahoma"/>
            <family val="2"/>
          </rPr>
          <t xml:space="preserve">
Topsectoren. Kennis en innovatiecontract 2018/2019. Appendix 1</t>
        </r>
      </text>
    </comment>
    <comment ref="P39" authorId="0" shapeId="0">
      <text>
        <r>
          <rPr>
            <b/>
            <sz val="9"/>
            <color indexed="81"/>
            <rFont val="Tahoma"/>
            <family val="2"/>
          </rPr>
          <t>Alexandra Vennekens:</t>
        </r>
        <r>
          <rPr>
            <sz val="9"/>
            <color indexed="81"/>
            <rFont val="Tahoma"/>
            <family val="2"/>
          </rPr>
          <t xml:space="preserve">
Topsectoren, zie voor 2017 JV &amp; website NWO Topsectoren / Kennis en innovatiecontract 2018/2019</t>
        </r>
      </text>
    </comment>
    <comment ref="B102" authorId="1" shapeId="0">
      <text>
        <r>
          <rPr>
            <b/>
            <sz val="9"/>
            <color indexed="81"/>
            <rFont val="Tahoma"/>
            <family val="2"/>
          </rPr>
          <t>Lionne Koens:</t>
        </r>
        <r>
          <rPr>
            <sz val="9"/>
            <color indexed="81"/>
            <rFont val="Tahoma"/>
            <family val="2"/>
          </rPr>
          <t xml:space="preserve">
was hWS - Deltares</t>
        </r>
      </text>
    </comment>
    <comment ref="B113" authorId="1" shapeId="0">
      <text>
        <r>
          <rPr>
            <b/>
            <sz val="9"/>
            <color indexed="81"/>
            <rFont val="Tahoma"/>
            <family val="2"/>
          </rPr>
          <t>Lionne Koens:</t>
        </r>
        <r>
          <rPr>
            <sz val="9"/>
            <color indexed="81"/>
            <rFont val="Tahoma"/>
            <family val="2"/>
          </rPr>
          <t xml:space="preserve">
Nieuw</t>
        </r>
      </text>
    </comment>
    <comment ref="K119" authorId="2" shapeId="0">
      <text>
        <r>
          <rPr>
            <b/>
            <sz val="9"/>
            <color indexed="81"/>
            <rFont val="Tahoma"/>
            <family val="2"/>
          </rPr>
          <t>Robine Hofman/Lionne Koens:</t>
        </r>
        <r>
          <rPr>
            <sz val="9"/>
            <color indexed="81"/>
            <rFont val="Tahoma"/>
            <family val="2"/>
          </rPr>
          <t xml:space="preserve">
was in 2015 nog 6</t>
        </r>
      </text>
    </comment>
    <comment ref="B121" authorId="1" shapeId="0">
      <text>
        <r>
          <rPr>
            <b/>
            <sz val="9"/>
            <color indexed="81"/>
            <rFont val="Tahoma"/>
            <family val="2"/>
          </rPr>
          <t>Lionne Koens:</t>
        </r>
        <r>
          <rPr>
            <sz val="9"/>
            <color indexed="81"/>
            <rFont val="Tahoma"/>
            <family val="2"/>
          </rPr>
          <t xml:space="preserve">
overig was Eurostars</t>
        </r>
      </text>
    </comment>
    <comment ref="A124" authorId="1" shapeId="0">
      <text>
        <r>
          <rPr>
            <b/>
            <sz val="9"/>
            <color indexed="81"/>
            <rFont val="Tahoma"/>
            <family val="2"/>
          </rPr>
          <t>Lionne Koens:</t>
        </r>
        <r>
          <rPr>
            <sz val="9"/>
            <color indexed="81"/>
            <rFont val="Tahoma"/>
            <family val="2"/>
          </rPr>
          <t xml:space="preserve">
nieuw</t>
        </r>
      </text>
    </comment>
    <comment ref="B164" authorId="1" shapeId="0">
      <text>
        <r>
          <rPr>
            <b/>
            <sz val="9"/>
            <color indexed="81"/>
            <rFont val="Tahoma"/>
            <family val="2"/>
          </rPr>
          <t>Lionne Koens:</t>
        </r>
        <r>
          <rPr>
            <sz val="9"/>
            <color indexed="81"/>
            <rFont val="Tahoma"/>
            <family val="2"/>
          </rPr>
          <t xml:space="preserve">
Nieuw</t>
        </r>
      </text>
    </comment>
    <comment ref="D202" authorId="0" shapeId="0">
      <text>
        <r>
          <rPr>
            <b/>
            <sz val="9"/>
            <color indexed="81"/>
            <rFont val="Tahoma"/>
            <family val="2"/>
          </rPr>
          <t>Alexandra Vennekens:</t>
        </r>
        <r>
          <rPr>
            <sz val="9"/>
            <color indexed="81"/>
            <rFont val="Tahoma"/>
            <family val="2"/>
          </rPr>
          <t xml:space="preserve">
incl. eenmalige bijdrage aan ECN van 117 mln. euro</t>
        </r>
      </text>
    </comment>
    <comment ref="K218" authorId="1" shapeId="0">
      <text>
        <r>
          <rPr>
            <b/>
            <sz val="9"/>
            <color indexed="81"/>
            <rFont val="Tahoma"/>
            <family val="2"/>
          </rPr>
          <t>Lionne Koens:</t>
        </r>
        <r>
          <rPr>
            <sz val="9"/>
            <color indexed="81"/>
            <rFont val="Tahoma"/>
            <family val="2"/>
          </rPr>
          <t xml:space="preserve">
was 13.4</t>
        </r>
      </text>
    </comment>
    <comment ref="K219" authorId="1" shapeId="0">
      <text>
        <r>
          <rPr>
            <b/>
            <sz val="9"/>
            <color indexed="81"/>
            <rFont val="Tahoma"/>
            <family val="2"/>
          </rPr>
          <t>Lionne Koens:</t>
        </r>
        <r>
          <rPr>
            <sz val="9"/>
            <color indexed="81"/>
            <rFont val="Tahoma"/>
            <family val="2"/>
          </rPr>
          <t xml:space="preserve">
was 13.4</t>
        </r>
      </text>
    </comment>
    <comment ref="K220" authorId="1" shapeId="0">
      <text>
        <r>
          <rPr>
            <b/>
            <sz val="9"/>
            <color indexed="81"/>
            <rFont val="Tahoma"/>
            <family val="2"/>
          </rPr>
          <t>Lionne Koens:</t>
        </r>
        <r>
          <rPr>
            <sz val="9"/>
            <color indexed="81"/>
            <rFont val="Tahoma"/>
            <family val="2"/>
          </rPr>
          <t xml:space="preserve">
was 13.4</t>
        </r>
      </text>
    </comment>
    <comment ref="A225" authorId="1" shapeId="0">
      <text>
        <r>
          <rPr>
            <b/>
            <sz val="9"/>
            <color indexed="81"/>
            <rFont val="Tahoma"/>
            <family val="2"/>
          </rPr>
          <t>Lionne Koens:</t>
        </r>
        <r>
          <rPr>
            <sz val="9"/>
            <color indexed="81"/>
            <rFont val="Tahoma"/>
            <family val="2"/>
          </rPr>
          <t xml:space="preserve">
Nieuw</t>
        </r>
      </text>
    </comment>
    <comment ref="B237" authorId="0" shapeId="0">
      <text>
        <r>
          <rPr>
            <b/>
            <sz val="9"/>
            <color indexed="81"/>
            <rFont val="Tahoma"/>
            <family val="2"/>
          </rPr>
          <t>Alexandra Vennekens:</t>
        </r>
        <r>
          <rPr>
            <sz val="9"/>
            <color indexed="81"/>
            <rFont val="Tahoma"/>
            <family val="2"/>
          </rPr>
          <t xml:space="preserve">
SZW heeft n.a.v. TWIN-bijeenkomst in oktober 2016 extra aandacht besteed aan identificatie van uitgaven aan R&amp;D en innovatie. Dit heeft geleid tot een forse verhoging t.o.v. voorgaande jaren. </t>
        </r>
      </text>
    </comment>
    <comment ref="A247" authorId="1" shapeId="0">
      <text>
        <r>
          <rPr>
            <b/>
            <sz val="9"/>
            <color indexed="81"/>
            <rFont val="Tahoma"/>
            <family val="2"/>
          </rPr>
          <t>Lionne Koens:</t>
        </r>
        <r>
          <rPr>
            <sz val="9"/>
            <color indexed="81"/>
            <rFont val="Tahoma"/>
            <family val="2"/>
          </rPr>
          <t xml:space="preserve">
NIEUW</t>
        </r>
      </text>
    </comment>
    <comment ref="M252" authorId="1" shapeId="0">
      <text>
        <r>
          <rPr>
            <b/>
            <sz val="9"/>
            <color indexed="81"/>
            <rFont val="Tahoma"/>
            <family val="2"/>
          </rPr>
          <t>Lionne Koens:</t>
        </r>
        <r>
          <rPr>
            <sz val="9"/>
            <color indexed="81"/>
            <rFont val="Tahoma"/>
            <family val="2"/>
          </rPr>
          <t xml:space="preserve">
stond: NKI</t>
        </r>
      </text>
    </comment>
    <comment ref="B258" authorId="1" shapeId="0">
      <text>
        <r>
          <rPr>
            <b/>
            <sz val="9"/>
            <color indexed="81"/>
            <rFont val="Tahoma"/>
            <family val="2"/>
          </rPr>
          <t>Lionne Koens:</t>
        </r>
        <r>
          <rPr>
            <sz val="9"/>
            <color indexed="81"/>
            <rFont val="Tahoma"/>
            <family val="2"/>
          </rPr>
          <t xml:space="preserve">
ZonMW was topsectoren</t>
        </r>
      </text>
    </comment>
    <comment ref="B259" authorId="1" shapeId="0">
      <text>
        <r>
          <rPr>
            <b/>
            <sz val="9"/>
            <color indexed="81"/>
            <rFont val="Tahoma"/>
            <family val="2"/>
          </rPr>
          <t>Lionne Koens:</t>
        </r>
        <r>
          <rPr>
            <sz val="9"/>
            <color indexed="81"/>
            <rFont val="Tahoma"/>
            <family val="2"/>
          </rPr>
          <t xml:space="preserve">
Nieuw</t>
        </r>
      </text>
    </comment>
    <comment ref="B260" authorId="1" shapeId="0">
      <text>
        <r>
          <rPr>
            <b/>
            <sz val="9"/>
            <color indexed="81"/>
            <rFont val="Tahoma"/>
            <family val="2"/>
          </rPr>
          <t>Lionne Koens:</t>
        </r>
        <r>
          <rPr>
            <sz val="9"/>
            <color indexed="81"/>
            <rFont val="Tahoma"/>
            <family val="2"/>
          </rPr>
          <t xml:space="preserve">
Nieuw</t>
        </r>
      </text>
    </comment>
    <comment ref="M264" authorId="1" shapeId="0">
      <text>
        <r>
          <rPr>
            <b/>
            <sz val="9"/>
            <color indexed="81"/>
            <rFont val="Tahoma"/>
            <family val="2"/>
          </rPr>
          <t>Lionne Koens:</t>
        </r>
        <r>
          <rPr>
            <sz val="9"/>
            <color indexed="81"/>
            <rFont val="Tahoma"/>
            <family val="2"/>
          </rPr>
          <t xml:space="preserve">
klopt niet met omschrijving in document levering VWS. </t>
        </r>
      </text>
    </comment>
  </commentList>
</comments>
</file>

<file path=xl/comments2.xml><?xml version="1.0" encoding="utf-8"?>
<comments xmlns="http://schemas.openxmlformats.org/spreadsheetml/2006/main">
  <authors>
    <author>Lionne Koens</author>
  </authors>
  <commentList>
    <comment ref="B47" authorId="0" shapeId="0">
      <text>
        <r>
          <rPr>
            <b/>
            <sz val="9"/>
            <color indexed="81"/>
            <rFont val="Tahoma"/>
            <family val="2"/>
          </rPr>
          <t>Lionne Koens:</t>
        </r>
        <r>
          <rPr>
            <sz val="9"/>
            <color indexed="81"/>
            <rFont val="Tahoma"/>
            <family val="2"/>
          </rPr>
          <t xml:space="preserve">
Nieuw, wordt ook aangegeven dat deze nieuw is. geen begrotingsnummer gegeven</t>
        </r>
      </text>
    </comment>
    <comment ref="B49" authorId="0" shapeId="0">
      <text>
        <r>
          <rPr>
            <b/>
            <sz val="9"/>
            <color indexed="81"/>
            <rFont val="Tahoma"/>
            <family val="2"/>
          </rPr>
          <t>Lionne Koens:</t>
        </r>
        <r>
          <rPr>
            <sz val="9"/>
            <color indexed="81"/>
            <rFont val="Tahoma"/>
            <family val="2"/>
          </rPr>
          <t xml:space="preserve">
stond vorig jaar er niet in, maar was vorige levering ook allemaal 0.</t>
        </r>
      </text>
    </comment>
    <comment ref="B50" authorId="0" shapeId="0">
      <text>
        <r>
          <rPr>
            <b/>
            <sz val="9"/>
            <color indexed="81"/>
            <rFont val="Tahoma"/>
            <family val="2"/>
          </rPr>
          <t>Lionne Koens:</t>
        </r>
        <r>
          <rPr>
            <sz val="9"/>
            <color indexed="81"/>
            <rFont val="Tahoma"/>
            <family val="2"/>
          </rPr>
          <t xml:space="preserve">
Nieuw</t>
        </r>
      </text>
    </comment>
    <comment ref="B106" authorId="0" shapeId="0">
      <text>
        <r>
          <rPr>
            <b/>
            <sz val="9"/>
            <color indexed="81"/>
            <rFont val="Tahoma"/>
            <family val="2"/>
          </rPr>
          <t>Lionne Koens:</t>
        </r>
        <r>
          <rPr>
            <sz val="9"/>
            <color indexed="81"/>
            <rFont val="Tahoma"/>
            <family val="2"/>
          </rPr>
          <t xml:space="preserve">
was: kwaliteit en veiligheid:...</t>
        </r>
      </text>
    </comment>
  </commentList>
</comments>
</file>

<file path=xl/comments3.xml><?xml version="1.0" encoding="utf-8"?>
<comments xmlns="http://schemas.openxmlformats.org/spreadsheetml/2006/main">
  <authors>
    <author>Lionne Koens</author>
  </authors>
  <commentList>
    <comment ref="E5" authorId="0" shapeId="0">
      <text>
        <r>
          <rPr>
            <b/>
            <sz val="9"/>
            <color indexed="81"/>
            <rFont val="Tahoma"/>
            <family val="2"/>
          </rPr>
          <t>Lionne Koens:</t>
        </r>
        <r>
          <rPr>
            <sz val="9"/>
            <color indexed="81"/>
            <rFont val="Tahoma"/>
            <family val="2"/>
          </rPr>
          <t xml:space="preserve">
Vanaf hier incl. €76 miljoen afdrachtsvermindering die nog moet worden toegevoegd aan begroting (op grond van kamerstuk 35000, nr.72). </t>
        </r>
      </text>
    </comment>
  </commentList>
</comments>
</file>

<file path=xl/comments4.xml><?xml version="1.0" encoding="utf-8"?>
<comments xmlns="http://schemas.openxmlformats.org/spreadsheetml/2006/main">
  <authors>
    <author>Lionne Koens</author>
    <author>Robine Hofman</author>
  </authors>
  <commentList>
    <comment ref="B104" authorId="0" shapeId="0">
      <text>
        <r>
          <rPr>
            <b/>
            <sz val="9"/>
            <color indexed="81"/>
            <rFont val="Tahoma"/>
            <family val="2"/>
          </rPr>
          <t>Lionne Koens:</t>
        </r>
        <r>
          <rPr>
            <sz val="9"/>
            <color indexed="81"/>
            <rFont val="Tahoma"/>
            <family val="2"/>
          </rPr>
          <t xml:space="preserve">
was hWS - Deltares</t>
        </r>
      </text>
    </comment>
    <comment ref="B117" authorId="0" shapeId="0">
      <text>
        <r>
          <rPr>
            <b/>
            <sz val="9"/>
            <color indexed="81"/>
            <rFont val="Tahoma"/>
            <family val="2"/>
          </rPr>
          <t>Lionne Koens:</t>
        </r>
        <r>
          <rPr>
            <sz val="9"/>
            <color indexed="81"/>
            <rFont val="Tahoma"/>
            <family val="2"/>
          </rPr>
          <t xml:space="preserve">
Nieuw</t>
        </r>
      </text>
    </comment>
    <comment ref="B119" authorId="0" shapeId="0">
      <text>
        <r>
          <rPr>
            <b/>
            <sz val="9"/>
            <color indexed="81"/>
            <rFont val="Tahoma"/>
            <family val="2"/>
          </rPr>
          <t>Lionne Koens:</t>
        </r>
        <r>
          <rPr>
            <sz val="9"/>
            <color indexed="81"/>
            <rFont val="Tahoma"/>
            <family val="2"/>
          </rPr>
          <t xml:space="preserve">
overig was Eurostars</t>
        </r>
      </text>
    </comment>
    <comment ref="K130" authorId="1" shapeId="0">
      <text>
        <r>
          <rPr>
            <b/>
            <sz val="9"/>
            <color indexed="81"/>
            <rFont val="Tahoma"/>
            <family val="2"/>
          </rPr>
          <t>Robine Hofman/Lionne Koens:</t>
        </r>
        <r>
          <rPr>
            <sz val="9"/>
            <color indexed="81"/>
            <rFont val="Tahoma"/>
            <family val="2"/>
          </rPr>
          <t xml:space="preserve">
was in 2015 nog 6</t>
        </r>
      </text>
    </comment>
    <comment ref="A133" authorId="0" shapeId="0">
      <text>
        <r>
          <rPr>
            <b/>
            <sz val="9"/>
            <color indexed="81"/>
            <rFont val="Tahoma"/>
            <family val="2"/>
          </rPr>
          <t>Lionne Koens:</t>
        </r>
        <r>
          <rPr>
            <sz val="9"/>
            <color indexed="81"/>
            <rFont val="Tahoma"/>
            <family val="2"/>
          </rPr>
          <t xml:space="preserve">
nieuw</t>
        </r>
      </text>
    </comment>
    <comment ref="B166" authorId="0" shapeId="0">
      <text>
        <r>
          <rPr>
            <b/>
            <sz val="9"/>
            <color indexed="81"/>
            <rFont val="Tahoma"/>
            <family val="2"/>
          </rPr>
          <t>Lionne Koens:</t>
        </r>
        <r>
          <rPr>
            <sz val="9"/>
            <color indexed="81"/>
            <rFont val="Tahoma"/>
            <family val="2"/>
          </rPr>
          <t xml:space="preserve">
Nieuw</t>
        </r>
      </text>
    </comment>
    <comment ref="A227" authorId="0" shapeId="0">
      <text>
        <r>
          <rPr>
            <b/>
            <sz val="9"/>
            <color indexed="81"/>
            <rFont val="Tahoma"/>
            <family val="2"/>
          </rPr>
          <t>Lionne Koens:</t>
        </r>
        <r>
          <rPr>
            <sz val="9"/>
            <color indexed="81"/>
            <rFont val="Tahoma"/>
            <family val="2"/>
          </rPr>
          <t xml:space="preserve">
Nieuw</t>
        </r>
      </text>
    </comment>
  </commentList>
</comments>
</file>

<file path=xl/sharedStrings.xml><?xml version="1.0" encoding="utf-8"?>
<sst xmlns="http://schemas.openxmlformats.org/spreadsheetml/2006/main" count="2734" uniqueCount="701">
  <si>
    <t>Best.</t>
  </si>
  <si>
    <t>Type</t>
  </si>
  <si>
    <t>Goed functionerende economie en markten</t>
  </si>
  <si>
    <t>Onderzoek &amp; opdrachten</t>
  </si>
  <si>
    <t>R/O</t>
  </si>
  <si>
    <t>R/SO/O</t>
  </si>
  <si>
    <t>Bijdrage Metrologie (Nmi)</t>
  </si>
  <si>
    <t>SO</t>
  </si>
  <si>
    <t>Bijdrage aan het CBS</t>
  </si>
  <si>
    <t>R</t>
  </si>
  <si>
    <t>IO</t>
  </si>
  <si>
    <t>O</t>
  </si>
  <si>
    <t>12.01.04</t>
  </si>
  <si>
    <t>12.01.05</t>
  </si>
  <si>
    <t>U/TNO/DLO/SO/O</t>
  </si>
  <si>
    <t>12.01.06</t>
  </si>
  <si>
    <t>TNO</t>
  </si>
  <si>
    <t>12.10.01</t>
  </si>
  <si>
    <t>12.10.02</t>
  </si>
  <si>
    <t>12.10.03</t>
  </si>
  <si>
    <t>NWO</t>
  </si>
  <si>
    <t>TNO/DLO/SO/NWO</t>
  </si>
  <si>
    <t>O/U/TNO</t>
  </si>
  <si>
    <t>SO/O</t>
  </si>
  <si>
    <t>Een doelmatige en duurzame energievoorziening</t>
  </si>
  <si>
    <t>Carbon Capture and Storage</t>
  </si>
  <si>
    <t>HFR/NRG</t>
  </si>
  <si>
    <t>RIVM</t>
  </si>
  <si>
    <t>Pallas</t>
  </si>
  <si>
    <t>Bijdrage aan ECN</t>
  </si>
  <si>
    <t>ECN</t>
  </si>
  <si>
    <t>Concurrerende, duurzame, veilige agro-, visserij- en voedselketens</t>
  </si>
  <si>
    <t>DLO</t>
  </si>
  <si>
    <t>Topsectoren</t>
  </si>
  <si>
    <t>ZonMW</t>
  </si>
  <si>
    <t>Apparaat</t>
  </si>
  <si>
    <t>Centraal Plan Bureau</t>
  </si>
  <si>
    <t>12.01.02</t>
  </si>
  <si>
    <t>12.01.03</t>
  </si>
  <si>
    <t>13.10.04</t>
  </si>
  <si>
    <t>Inst.</t>
  </si>
  <si>
    <t>Proj.</t>
  </si>
  <si>
    <t>X Defensie</t>
  </si>
  <si>
    <t>III Algemene Zaken</t>
  </si>
  <si>
    <t>V Buitenlandse Zaken</t>
  </si>
  <si>
    <t>VIII Onderwijs, Cultuur en Wetenschap</t>
  </si>
  <si>
    <t>Bijdrage aan TNO</t>
  </si>
  <si>
    <t>Internationaal Innoveren</t>
  </si>
  <si>
    <t>Grote Technologische Instituten (MARIN)</t>
  </si>
  <si>
    <t>Grote Technologische Instituten (Deltares)</t>
  </si>
  <si>
    <t>Grote Technologische Instituten (NLR)</t>
  </si>
  <si>
    <t>NABS</t>
  </si>
  <si>
    <t>Totaal generaal</t>
  </si>
  <si>
    <t>U0604</t>
  </si>
  <si>
    <t>Defensie</t>
  </si>
  <si>
    <t>NLR-programmafinanciering</t>
  </si>
  <si>
    <t>TOTAAL DEFENSIE</t>
  </si>
  <si>
    <t>Bevorderen van de eenheid van het algemeen regeringsbeleid: wetenschappelijke studies</t>
  </si>
  <si>
    <t>Politieke en soc. systemen, structuren/processen</t>
  </si>
  <si>
    <t>0.1</t>
  </si>
  <si>
    <t>Art. 40</t>
  </si>
  <si>
    <t>TOTAAL ALGEMENE ZAKEN</t>
  </si>
  <si>
    <t>TOTAAL BUITENLANDSE ZAKEN</t>
  </si>
  <si>
    <t>TOTAAL VEILIGHEID EN JUSTITIE</t>
  </si>
  <si>
    <t>TOTAAL ONDERWIJS, CULTUUR EN WETENSCHAP</t>
  </si>
  <si>
    <t>VII Binnenlandse Zaken en Koninkrijksrelaties</t>
  </si>
  <si>
    <t>TOTAAL BINNENLANDSE ZAKEN EN KONINKRIJKSRELATIES</t>
  </si>
  <si>
    <t>91</t>
  </si>
  <si>
    <t>Cultuur, recreatie, religie en massamedia</t>
  </si>
  <si>
    <t>U</t>
  </si>
  <si>
    <t>13.3</t>
  </si>
  <si>
    <t>Nederlands Forensisch Instituut</t>
  </si>
  <si>
    <t>Artikelnr.</t>
  </si>
  <si>
    <t>Begrotingsartikel</t>
  </si>
  <si>
    <t xml:space="preserve">stand begr. </t>
  </si>
  <si>
    <t>ontwerp</t>
  </si>
  <si>
    <t>meerjarencijfers</t>
  </si>
  <si>
    <t>Nabscode</t>
  </si>
  <si>
    <t>XV Sociale Zaken en Werkgelegenheid</t>
  </si>
  <si>
    <t>XVI Volksgezondheid, Welzijn en Sport</t>
  </si>
  <si>
    <t>TOTAAL GENERAAL</t>
  </si>
  <si>
    <t>TOTAAL SOCIALE ZAKEN EN WERKGELEGENHEID</t>
  </si>
  <si>
    <t>TOTAAL VOLKSGEZONDHEID, WELZIJN EN SPORT</t>
  </si>
  <si>
    <t>Universiteiten</t>
  </si>
  <si>
    <t xml:space="preserve">Onderzoek UMC's </t>
  </si>
  <si>
    <t>NUFFIC</t>
  </si>
  <si>
    <t>UNU-MERIT</t>
  </si>
  <si>
    <t>13.5</t>
  </si>
  <si>
    <t>Sociale wetenschappen</t>
  </si>
  <si>
    <t>KNAW</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</si>
  <si>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</si>
  <si>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</si>
  <si>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</si>
  <si>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</si>
  <si>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</si>
  <si>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</si>
  <si>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</si>
  <si>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</si>
  <si>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</si>
  <si>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</si>
  <si>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</si>
  <si>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</si>
  <si>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</si>
  <si>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</si>
  <si>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</si>
  <si>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</si>
  <si>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</si>
  <si>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</si>
  <si>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</si>
  <si>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</si>
  <si>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</si>
  <si>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</si>
  <si>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Bilaterale samenwerking</t>
  </si>
  <si>
    <t>14.4</t>
  </si>
  <si>
    <t>Rijksbureau voor Kunsthistorisch onderzoek (RKD)</t>
  </si>
  <si>
    <t>Culturele zaken: onderzoek</t>
  </si>
  <si>
    <t>Subsidie Boekmanstichting</t>
  </si>
  <si>
    <t>Algemeen</t>
  </si>
  <si>
    <t>Centrum Ondergronds Bouwen</t>
  </si>
  <si>
    <t>COB</t>
  </si>
  <si>
    <t>PianOo</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</si>
  <si>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</si>
  <si>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</si>
  <si>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</si>
  <si>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</si>
  <si>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</si>
  <si>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</si>
  <si>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</si>
  <si>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</si>
  <si>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</si>
  <si>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</si>
  <si>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</si>
  <si>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</si>
  <si>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</si>
  <si>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</si>
  <si>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</si>
  <si>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(Basis)financiering CUR</t>
  </si>
  <si>
    <t>CUR</t>
  </si>
  <si>
    <t>IF 12.06.02</t>
  </si>
  <si>
    <t>Doorontwikkeling kennismanagement HWN</t>
  </si>
  <si>
    <t>Integraal waterbeleid</t>
  </si>
  <si>
    <t>Deltares.</t>
  </si>
  <si>
    <t>Innovatie HWBP2</t>
  </si>
  <si>
    <t>HWBP 3: Overige programmakosten  (innovatie)</t>
  </si>
  <si>
    <t>6501U</t>
  </si>
  <si>
    <t>WBSO</t>
  </si>
  <si>
    <t>RDA</t>
  </si>
  <si>
    <t>Totaal</t>
  </si>
  <si>
    <t>Overige uitgaven voor innovatie, niet zijnde R&amp;D, in miljoenen euro</t>
  </si>
  <si>
    <t>Algemene Zaken</t>
  </si>
  <si>
    <t xml:space="preserve">Buitenlandse Zaken </t>
  </si>
  <si>
    <t>Binnenlandse Zaken en Koninkrijksrelaties</t>
  </si>
  <si>
    <t>Onderwijs, Cultuur en Wetenschap</t>
  </si>
  <si>
    <t>Sociale Zaken en Werkgelegenheid</t>
  </si>
  <si>
    <t>Volksgezondheid, Welzijn en Sport</t>
  </si>
  <si>
    <t>Fiscale instrumenten voor R&amp;D en innovatie</t>
  </si>
  <si>
    <t>Uitgaven voor R&amp;D</t>
  </si>
  <si>
    <t>Overzicht per departement</t>
  </si>
  <si>
    <t>- waarvan innovatierelevant</t>
  </si>
  <si>
    <t>Uitgaven voor innovatie, niet zijnde R&amp;D</t>
  </si>
  <si>
    <t>Stichting Instituut Clingendael</t>
  </si>
  <si>
    <t>Onderzoeksprogramma</t>
  </si>
  <si>
    <t xml:space="preserve"> </t>
  </si>
  <si>
    <t>AZ</t>
  </si>
  <si>
    <t>BuZa</t>
  </si>
  <si>
    <t>BZK</t>
  </si>
  <si>
    <t>OCW</t>
  </si>
  <si>
    <t>Def</t>
  </si>
  <si>
    <t>SZW</t>
  </si>
  <si>
    <t>VWS</t>
  </si>
  <si>
    <t>Landbouwwetenschappen</t>
  </si>
  <si>
    <t>Wettelijke onderzoekstaken</t>
  </si>
  <si>
    <t xml:space="preserve">Landbouw </t>
  </si>
  <si>
    <t>Energie</t>
  </si>
  <si>
    <t>Industriële productie en technologie</t>
  </si>
  <si>
    <t>4.3</t>
  </si>
  <si>
    <t>ZonMw</t>
  </si>
  <si>
    <t>1.2</t>
  </si>
  <si>
    <t>SCP</t>
  </si>
  <si>
    <t>Kwaliteit, transparantie en kennisontwikkeling</t>
  </si>
  <si>
    <t>2.1</t>
  </si>
  <si>
    <t>NKI</t>
  </si>
  <si>
    <t>Proj</t>
  </si>
  <si>
    <t>Netwerkplatform innovatie overheid</t>
  </si>
  <si>
    <t>Health toepassingen in de zorg</t>
  </si>
  <si>
    <t>Overgangssubsidie anonieme e-mental health</t>
  </si>
  <si>
    <t>Contributie aan internationale organisaties</t>
  </si>
  <si>
    <t>Projectfinanciering</t>
  </si>
  <si>
    <t>Totaal projectfinanciering</t>
  </si>
  <si>
    <t>Institutionele financiering</t>
  </si>
  <si>
    <t>Totaal institutionele financiering</t>
  </si>
  <si>
    <t>Project- en institutionele financiering</t>
  </si>
  <si>
    <t>Aandeel 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</si>
  <si>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</si>
  <si>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</si>
  <si>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</si>
  <si>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</si>
  <si>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</si>
  <si>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</si>
  <si>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</si>
  <si>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</si>
  <si>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</si>
  <si>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</si>
  <si>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</si>
  <si>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</si>
  <si>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</si>
  <si>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</si>
  <si>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</si>
  <si>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</si>
  <si>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</si>
  <si>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</si>
  <si>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</si>
  <si>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</si>
  <si>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</si>
  <si>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</si>
  <si>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</si>
  <si>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</si>
  <si>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</si>
  <si>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</si>
  <si>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Landbouw</t>
  </si>
  <si>
    <t>Politieke en sociale systemen, structuren en processen</t>
  </si>
  <si>
    <t>Niet-toepassingsgericht onderzoek: Onderzoek gefinancierd uit algemene universitaire fondsen (1ste geldstroom)</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</si>
  <si>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</si>
  <si>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</si>
  <si>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</si>
  <si>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</si>
  <si>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</si>
  <si>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</si>
  <si>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</si>
  <si>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</si>
  <si>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</si>
  <si>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9.3</t>
  </si>
  <si>
    <t>in %</t>
  </si>
  <si>
    <t>Beschikbaarheidsbijdrage academische zorg</t>
  </si>
  <si>
    <t>- Toelichting</t>
  </si>
  <si>
    <t>INHOUD VAN HET DOCUMENT</t>
  </si>
  <si>
    <t>Strategisch onderzoek RIVM</t>
  </si>
  <si>
    <t>realisatie</t>
  </si>
  <si>
    <t>Pieken in de Delta</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</si>
  <si>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</si>
  <si>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</si>
  <si>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</si>
  <si>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</si>
  <si>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</si>
  <si>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</si>
  <si>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 innovatie-</t>
  </si>
  <si>
    <t>relevant</t>
  </si>
  <si>
    <t>Inst+Proj.</t>
  </si>
  <si>
    <t>NWO STW</t>
  </si>
  <si>
    <t>NWO Grootschalige researchinfrastructuur</t>
  </si>
  <si>
    <t>NWO Regieorgaan onderwijsonderzoek</t>
  </si>
  <si>
    <t>Rijksdienst voor het Cultureel Erfgoed (RCE)</t>
  </si>
  <si>
    <t>Programmafinanciering TNO (totaal)</t>
  </si>
  <si>
    <t>BKZ</t>
  </si>
  <si>
    <t>Ziektepreventie (FES RSV)</t>
  </si>
  <si>
    <t>Kwaliteit en veiligheid (FES Lifelines)</t>
  </si>
  <si>
    <t>Kwaliteit en veiligheid (FES LSH)</t>
  </si>
  <si>
    <t>Kwaliteit en Veiligheid / Instellingssubsidie Nictiz</t>
  </si>
  <si>
    <t>18.10</t>
  </si>
  <si>
    <t>Co-financiering EFRO en Interreg</t>
  </si>
  <si>
    <t>Innovatiefonds: risicokapitaal Seed</t>
  </si>
  <si>
    <t>MKB-Innovatiestimulering Topsectoren (MIT)</t>
  </si>
  <si>
    <t>Innovatiefonds: Fund to Fund</t>
  </si>
  <si>
    <t>Landenspecifieke sectorale samenwerking</t>
  </si>
  <si>
    <t>Thematische samenwerking</t>
  </si>
  <si>
    <t>Speciale activiteiten</t>
  </si>
  <si>
    <t>13.01.09</t>
  </si>
  <si>
    <t>Kamers van Koophandel / ondernemerspleinen</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</si>
  <si>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</si>
  <si>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</si>
  <si>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</si>
  <si>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</si>
  <si>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</si>
  <si>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</si>
  <si>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</si>
  <si>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in procenten van het BBP</t>
  </si>
  <si>
    <t>in miljoenen euro</t>
  </si>
  <si>
    <t>Hoge Flux Reactor</t>
  </si>
  <si>
    <t>waarvan innovatierelevante R&amp;D-uitgaven, miljoenen euro</t>
  </si>
  <si>
    <t>Overzicht per departement van de R&amp;D-uitgaven, die innovatierelevant zijn</t>
  </si>
  <si>
    <t>R&amp;D-uitgaven van de overheid naar doelstelling volgens de NABS-classificatie 2007, in miljoenen euro's</t>
  </si>
  <si>
    <t>TOELICHTING</t>
  </si>
  <si>
    <t>Afdrachten CROW</t>
  </si>
  <si>
    <t xml:space="preserve">NEN </t>
  </si>
  <si>
    <t>Kennisontwikkeling (allianties) universiteiten</t>
  </si>
  <si>
    <t>98.02.18</t>
  </si>
  <si>
    <t>Meteorologie, seismologie en Aardobservatie</t>
  </si>
  <si>
    <t>23.01</t>
  </si>
  <si>
    <t>Subsidies KIS</t>
  </si>
  <si>
    <t>1297U01020003</t>
  </si>
  <si>
    <t>Onderzoek / Kennis (KIS)</t>
  </si>
  <si>
    <t>1297U01010005</t>
  </si>
  <si>
    <t>1297U01010009</t>
  </si>
  <si>
    <t>1214U02020003</t>
  </si>
  <si>
    <t>1220u01070001</t>
  </si>
  <si>
    <t>Traffic Quest</t>
  </si>
  <si>
    <t>DF 5.01</t>
  </si>
  <si>
    <t>DF 01</t>
  </si>
  <si>
    <t>Topsectoren overig (NWO)</t>
  </si>
  <si>
    <t>4,6,8</t>
  </si>
  <si>
    <t>proj.</t>
  </si>
  <si>
    <t>Regionaal investeringsfonds (pps in het mbo)</t>
  </si>
  <si>
    <t xml:space="preserve">6501U </t>
  </si>
  <si>
    <t>5515u</t>
  </si>
  <si>
    <t>Subsidies Zeehaveninnovatieproject (ZIP)</t>
  </si>
  <si>
    <t>1217U</t>
  </si>
  <si>
    <t>1218U</t>
  </si>
  <si>
    <t>KLM</t>
  </si>
  <si>
    <t>via Connekt en (onderzoeks-)projecten</t>
  </si>
  <si>
    <t>via NWO en TKI</t>
  </si>
  <si>
    <t>via STICHTING PROJECTEN BINNENVAART</t>
  </si>
  <si>
    <t>Publiek/Privaat Projectfinanciering</t>
  </si>
  <si>
    <t>Topsectoren overig: TKI Click</t>
  </si>
  <si>
    <t>Uitfinanciering subsidies: Innovatieregeling Scheepsbouw</t>
  </si>
  <si>
    <t>19.15.05</t>
  </si>
  <si>
    <t>Innovatiefonds: ROM's</t>
  </si>
  <si>
    <t>TUD/TUE e.a.</t>
  </si>
  <si>
    <t>Per 2016 is de Research &amp; Development Aftrek (RDA) samengevoegd met de WBSO</t>
  </si>
  <si>
    <t>in procenten van het totaal</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</si>
  <si>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</si>
  <si>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</si>
  <si>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</si>
  <si>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Transport, telecommunicatie en ov. infrastructuren</t>
  </si>
  <si>
    <t>Transport, telecommunicatie en overige infrastructuren</t>
  </si>
  <si>
    <t>Arbeidsmarkt</t>
  </si>
  <si>
    <t>Integratie en maatschappelijke samenhang</t>
  </si>
  <si>
    <t>Integratie en Maatschappelijke samenhang</t>
  </si>
  <si>
    <t>Bijstand, Participatiewet en Toeslagenwet</t>
  </si>
  <si>
    <t>10.2</t>
  </si>
  <si>
    <t>Kwaliteit en veiligheid: Zorg voor innoveren</t>
  </si>
  <si>
    <t>Kwaliteit en Veiligheid: Health monitor Nictiz/NIVEL</t>
  </si>
  <si>
    <t>Toegankelijkheid en betaalbaarheid: e-mental health</t>
  </si>
  <si>
    <t>U/R/SO/O</t>
  </si>
  <si>
    <t>12.10</t>
  </si>
  <si>
    <t>Small Business Innovation Research</t>
  </si>
  <si>
    <t>Art. 1</t>
  </si>
  <si>
    <t>Art. 2</t>
  </si>
  <si>
    <t>Art. 3</t>
  </si>
  <si>
    <t>Bedrijvenbeleid: innovatief en duurzaam ondernemen</t>
  </si>
  <si>
    <t>Toekomstfonds</t>
  </si>
  <si>
    <t>U/HBO/TNO/SO/O/GTI</t>
  </si>
  <si>
    <t>12.01.07</t>
  </si>
  <si>
    <t>Art.4</t>
  </si>
  <si>
    <t>14.01</t>
  </si>
  <si>
    <t>14.06</t>
  </si>
  <si>
    <t>14.10</t>
  </si>
  <si>
    <t>14.08</t>
  </si>
  <si>
    <t>Bijdrage TNO bodembeheer</t>
  </si>
  <si>
    <t>Meerjarenprogramma Nationaal Coördinator Groningen</t>
  </si>
  <si>
    <t>Art. 5</t>
  </si>
  <si>
    <t>Onderzoek NCG</t>
  </si>
  <si>
    <t>15.06</t>
  </si>
  <si>
    <t>Div.</t>
  </si>
  <si>
    <t>Art. 6</t>
  </si>
  <si>
    <t>16.06</t>
  </si>
  <si>
    <t>13.4</t>
  </si>
  <si>
    <t>16.40</t>
  </si>
  <si>
    <t>Opdrachtverlening via RIVM</t>
  </si>
  <si>
    <t>11.06</t>
  </si>
  <si>
    <t>11.08</t>
  </si>
  <si>
    <t>%</t>
  </si>
  <si>
    <t>KIRE (CPB)</t>
  </si>
  <si>
    <t>Veiligheid en mobiliteit Universiteit Utrecht Rijvaardiheid cat III medicijnen</t>
  </si>
  <si>
    <t>1214U02010001</t>
  </si>
  <si>
    <t>1219U02010001</t>
  </si>
  <si>
    <t>Aandeel Kennisvragen in opdracht - RIVM</t>
  </si>
  <si>
    <t>Onderzoek / Kennis (KiM)</t>
  </si>
  <si>
    <t>KIS</t>
  </si>
  <si>
    <t>pm</t>
  </si>
  <si>
    <t>DF 02</t>
  </si>
  <si>
    <t>DF 07</t>
  </si>
  <si>
    <t>Bron: TWIN-database Rathenau Instituut</t>
  </si>
  <si>
    <t>VO: CITO (digitale examens)</t>
  </si>
  <si>
    <t>VO: CvTE (digitale examens)</t>
  </si>
  <si>
    <t>VO: CITO/CvTE (rekentoets)</t>
  </si>
  <si>
    <t>VO: DUO (FACET)</t>
  </si>
  <si>
    <t>VO: CITO/CvTE (DTT)</t>
  </si>
  <si>
    <t>VO: Verschillende universiteiten (DTT)</t>
  </si>
  <si>
    <t>PO: Doorbraak ICT: PO-Raad</t>
  </si>
  <si>
    <t>PO: Doorbraak ICT-Kennisnet</t>
  </si>
  <si>
    <t>PO: Onderwijs 2032</t>
  </si>
  <si>
    <t>PO: Lerarenontwikkelfonds (LOF)-DUSi</t>
  </si>
  <si>
    <t>PO: Kennisrotonde - NRO</t>
  </si>
  <si>
    <t>PO: Pilot werkplaatsen Onderwijsonderzoek - NRO</t>
  </si>
  <si>
    <t>PO: Academische werkplaatsen - NRO</t>
  </si>
  <si>
    <t>PO: Innovatiecentra VVE</t>
  </si>
  <si>
    <t>PO: Evaluatie tweetalig PO - ITS</t>
  </si>
  <si>
    <t>HBO: Comeniusbeurs</t>
  </si>
  <si>
    <t>incl. uitvoeringskosten NRO</t>
  </si>
  <si>
    <t>WO: Comeniusbeurs</t>
  </si>
  <si>
    <t xml:space="preserve">HO: Subsidieregeling open en online onderwijs </t>
  </si>
  <si>
    <t>incl. uitvoeringskosten SURF</t>
  </si>
  <si>
    <t>NWO: Praktijkgericht onderzoek hbo</t>
  </si>
  <si>
    <t>Nationaal Archief tbv Archief Innovatie</t>
  </si>
  <si>
    <t>Stimuleringsfonds voor de Journalistiek</t>
  </si>
  <si>
    <t>Naturalis - Biodiversity center</t>
  </si>
  <si>
    <t>TNO/MARIN</t>
  </si>
  <si>
    <t>TNO/GTI/DGI</t>
  </si>
  <si>
    <t xml:space="preserve">Caribisch Nederland </t>
  </si>
  <si>
    <t>12 div.</t>
  </si>
  <si>
    <t>NWO Talentenontwikkeling (o.a. VI)</t>
  </si>
  <si>
    <t>- waarvan (relevante) uitgaven voor innovatie</t>
  </si>
  <si>
    <t>- (relevante) uitgaven voor innovatie</t>
  </si>
  <si>
    <t>Onderwijsonderzoek</t>
  </si>
  <si>
    <t>Emancipatie</t>
  </si>
  <si>
    <t>6/7</t>
  </si>
  <si>
    <t>Diverse</t>
  </si>
  <si>
    <t>% R&amp;D van (sub)-artikel</t>
  </si>
  <si>
    <t>Aandeel innovatie in % van (sub-)artikel</t>
  </si>
  <si>
    <t>% R&amp;D van (sub-)artikel</t>
  </si>
  <si>
    <t>Bewerking R&amp;D-cijfers begroting 2018, naar type financiering</t>
  </si>
  <si>
    <t>33.3</t>
  </si>
  <si>
    <t>7;18</t>
  </si>
  <si>
    <t>Ziektepreventie (vaccinonderzoek RIVM en InTraVacc)</t>
  </si>
  <si>
    <t>Kwaliteit en veiligheid (onderzoek Onco XL)</t>
  </si>
  <si>
    <t>XI Infrastructuur en Waterstaat</t>
  </si>
  <si>
    <t>TOTAAL INFRASTRUCTUUR EN WATERSTAAT</t>
  </si>
  <si>
    <t>1214u</t>
  </si>
  <si>
    <t>Talking Traffic</t>
  </si>
  <si>
    <t>ITS uitgaven Beter Benutten</t>
  </si>
  <si>
    <t>ontwikkeling software</t>
  </si>
  <si>
    <t>publiek projectfinanciering</t>
  </si>
  <si>
    <t>TNO/RIVM</t>
  </si>
  <si>
    <t>Netspar</t>
  </si>
  <si>
    <t>Bouwagenda</t>
  </si>
  <si>
    <t>Bouwcampus</t>
  </si>
  <si>
    <t>DF 65.05.01</t>
  </si>
  <si>
    <t>Kennisontwikkeling (allianties) universiteiten (HWS)</t>
  </si>
  <si>
    <t>Beleidsvoorbereiding en evaluaties Veiligheid en Frequenties: frequenties</t>
  </si>
  <si>
    <t>Beleidsvoorbereiding en evaluaties Veiligheid en Frequenties:bemiddelingsdienst voor doven en slechtzienden</t>
  </si>
  <si>
    <t>Lucht- en Ruimtevaart: nat. Prog. luchtvaart</t>
  </si>
  <si>
    <t>Eurostars: Eurostars</t>
  </si>
  <si>
    <t>Overig (NABS 6): innovatie prestatie contracten</t>
  </si>
  <si>
    <t>Overig: smartmix</t>
  </si>
  <si>
    <t>Overig: Eureka/GL RVO</t>
  </si>
  <si>
    <t>Overig: opkomende markten HGIS</t>
  </si>
  <si>
    <t>Overig: innovatie prestatie contracten</t>
  </si>
  <si>
    <t>TKI toeslag: organiserend vermogen TKI's</t>
  </si>
  <si>
    <t>TKI toeslag: TKI toeslag</t>
  </si>
  <si>
    <t>TKI toeslag: TTI transitie TKI</t>
  </si>
  <si>
    <t>Grote Technologische Instituten (NWO-TTW)</t>
  </si>
  <si>
    <t>Grote Technologische Instituten (Innowator)</t>
  </si>
  <si>
    <t>Grote Technologische Instituten (TIFN)</t>
  </si>
  <si>
    <t>Grote Technologische Instituten (Food and nutrition delta)</t>
  </si>
  <si>
    <t>Grote Technologische Instituten (Innovatieprogramma Maritiem)</t>
  </si>
  <si>
    <t>Grote Technologische Instituten (HTSM)</t>
  </si>
  <si>
    <t>Grote Technologische Instituten (Comict)</t>
  </si>
  <si>
    <t>Grote Technologische Instituten (Holst centrum)</t>
  </si>
  <si>
    <t>Grote Technologische Instituten (Innovatieprogramma's algemeen)</t>
  </si>
  <si>
    <t>I/O/TNO</t>
  </si>
  <si>
    <t>Topsectoren overig (phase 2)</t>
  </si>
  <si>
    <t>Topsectoren overig (innovatieprogramma life sciences and health)</t>
  </si>
  <si>
    <t>Topsectoren overig (BE basic)</t>
  </si>
  <si>
    <t>Topsectoren overig (innovatieprogramma logistiek)</t>
  </si>
  <si>
    <t>Topsectoren overig (TKI CLICK)</t>
  </si>
  <si>
    <t>U/O/TNO</t>
  </si>
  <si>
    <t>UO</t>
  </si>
  <si>
    <t>Topsectoren overig (innovatieprogramma materialen M2i)</t>
  </si>
  <si>
    <t>12.10.05</t>
  </si>
  <si>
    <t>Uitfinanciering subsidies (ICT beleid; prima RVO)</t>
  </si>
  <si>
    <t>Uitfinanciering subsidies (ICT beleid; flankerend beleid en adm. lasten)</t>
  </si>
  <si>
    <t>Uitfinanciering subsidies: ICT-beleid (flankerend beleid en adm. Lasten</t>
  </si>
  <si>
    <t>Innovatiefonds: Innovatiekrediet technische ontwikkeling</t>
  </si>
  <si>
    <t>Innovatiefonds: Innovatiekrediet klinische ontwikkeling</t>
  </si>
  <si>
    <t>U/HBO/TNO/SO/O</t>
  </si>
  <si>
    <t>UMC/SO</t>
  </si>
  <si>
    <t>Innovatiefonds: Investeringen in fundamenteel en toegepast onderzoek; Onco research</t>
  </si>
  <si>
    <t>Co-investment venture capital instrument/EIF</t>
  </si>
  <si>
    <t xml:space="preserve">NL-Californië duurzaam E-mobility fund </t>
  </si>
  <si>
    <t>Innovatiefonds: vroege fase / informal investors: RVO</t>
  </si>
  <si>
    <t>Innovatiefonds: vroege fase / informal investors: STW</t>
  </si>
  <si>
    <t>12.01.08</t>
  </si>
  <si>
    <t>Innovatiefonds: vroege fase / informal investors: haalbaarheidsstudies STW</t>
  </si>
  <si>
    <t>Smart industry (subsidies)</t>
  </si>
  <si>
    <t>Smart industry (leningen)</t>
  </si>
  <si>
    <t xml:space="preserve">Topsectoren energie: energie-innovatie tenderregeling </t>
  </si>
  <si>
    <t>Topsectoren energie: SDE+projecten topsectoren energie</t>
  </si>
  <si>
    <t>Energie-Akkoord SER: RVO demonstratieregeling Energie innovatie DEI (E&amp;I)</t>
  </si>
  <si>
    <t>Energie-Akkoord SER: RVO subsidieregeling duurzame scheepsbouw (SDS)</t>
  </si>
  <si>
    <t>Energie-innovatie (IA) - O: meerjarenafspraken energie (MJA-E)</t>
  </si>
  <si>
    <t>Energie-innovatie (IA) - O: RVO smart grids</t>
  </si>
  <si>
    <t>Energie-innovatie (IA) - O: duurzame elektriciteitsvoorziening</t>
  </si>
  <si>
    <t>Energie-innovatie (IA) - O: innovatieagenda wind op zee</t>
  </si>
  <si>
    <t>Energie-innovatie (IA) - O: innovatieagenda nieuw gas</t>
  </si>
  <si>
    <t>Energie-innovatie (IA) - O: duurzaamheid energiebesparing UKR</t>
  </si>
  <si>
    <t>Overige subsidies: transitiemanagement</t>
  </si>
  <si>
    <t>O&amp;O bodembeheer: projecten bodembeheer</t>
  </si>
  <si>
    <t xml:space="preserve">O&amp;O bodembeheer: onderzoeksprojecten bodembeweging </t>
  </si>
  <si>
    <t>O&amp;O bodembeheer: SodM onderzoeksbudget mijnbouw</t>
  </si>
  <si>
    <t>O&amp;O bodembeheer: beleidsbudget secretariaten mijraad/TCBB</t>
  </si>
  <si>
    <t>Onderzoek &amp; opdrachten: onderzoeksprojecten ETM algemeen</t>
  </si>
  <si>
    <t>Onderzoek &amp; opdrachten: onderzoeksprojecten ETM (E&amp;I)</t>
  </si>
  <si>
    <t>15.08</t>
  </si>
  <si>
    <t>SodM onderzoek TNO</t>
  </si>
  <si>
    <t>Regeling duurzame stallen (PAS)</t>
  </si>
  <si>
    <t>Projecten fijnstofmaatregelen</t>
  </si>
  <si>
    <t>16.01</t>
  </si>
  <si>
    <t>Duurzame veehouderij: projecten intensieve veehouderij (UDV)</t>
  </si>
  <si>
    <t>Plantaardige productie: Energie efficientie en hernieuwbare energie glastuinbouw (EHG)</t>
  </si>
  <si>
    <t>Plantaardige productie: MEI</t>
  </si>
  <si>
    <t>Plantaardige productie: project energietransitie</t>
  </si>
  <si>
    <t>Plantaardige productie: FES innovatieprogramma energie</t>
  </si>
  <si>
    <t>Dierenwelzijn: dierproeven</t>
  </si>
  <si>
    <t>Dierenwelzijn: project dierenwelzijn landbouwhuisd.</t>
  </si>
  <si>
    <t>Kennisbasis: kennisbasis</t>
  </si>
  <si>
    <t>Kennisbasis: autonome bijdragen</t>
  </si>
  <si>
    <t>Onderzoeksprogrammering</t>
  </si>
  <si>
    <t>Bijdrage aan ZonMw voor dierproeven</t>
  </si>
  <si>
    <t>Agrokennis: onderzoeksprojecten</t>
  </si>
  <si>
    <t>Agrokennis: innovatieprojecten</t>
  </si>
  <si>
    <t>Agrokennis: basisfinanciering overige kennisinstellingen</t>
  </si>
  <si>
    <t>Agrokennis: vernieuwen onderzoeksinfrastructuur</t>
  </si>
  <si>
    <t>Agrokennis: RVO vernieuwen onderzoeksinfrastructuur</t>
  </si>
  <si>
    <t>Agrokennis: ontwikkelen kennisbeleid</t>
  </si>
  <si>
    <t>Agrokennis: innovatienetwerk kpl. 290100</t>
  </si>
  <si>
    <t>Ruimtevaart (ESA): ruimtevaart</t>
  </si>
  <si>
    <t>Ruimtevaart (ESA): nationaal programma ruimtevaart</t>
  </si>
  <si>
    <t>Ruimtevaart (ESA): ESA programma NSO</t>
  </si>
  <si>
    <t>13.10</t>
  </si>
  <si>
    <t>Onderzoek: innovatie DG B&amp;I</t>
  </si>
  <si>
    <t>Onderzoek: vernieuwingsprogramma's DGB&amp;I</t>
  </si>
  <si>
    <t>Onderzoek: ondernemingsklimaat</t>
  </si>
  <si>
    <t>Onderzoek: onderzoeksbudget regio</t>
  </si>
  <si>
    <t>Koninklijke Bibliotheek (hoofdbekostiging, zie ook art. 14)</t>
  </si>
  <si>
    <t>Koninklijke Bibliotheek (Stelsel Openbare Bibliotheek voorzieningen, zie ook art. 16)</t>
  </si>
  <si>
    <t>Creatieve industrie</t>
  </si>
  <si>
    <t>Stimuleringsfonds creatieve industrie</t>
  </si>
  <si>
    <t>4,5,6,7,8,10</t>
  </si>
  <si>
    <t>4,5,6,7</t>
  </si>
  <si>
    <t>1,2,4-10</t>
  </si>
  <si>
    <t>Afdrachtsvermindering speur- en ontwikkelingswerk WBSO (incl. RDA)</t>
  </si>
  <si>
    <t>Waar het bij de WBSO gaat om belastingvoordelen over uitgaven aan R&amp;D en innovatie, gaat het bij de innovatiebox om een lager belastingtarief</t>
  </si>
  <si>
    <t>Medisch</t>
  </si>
  <si>
    <t>Justitie en Veiligheid</t>
  </si>
  <si>
    <t>Infrastructuur en Waterstaat</t>
  </si>
  <si>
    <t>Economische Zaken en Klimaat</t>
  </si>
  <si>
    <t>JenV</t>
  </si>
  <si>
    <t>I&amp;W</t>
  </si>
  <si>
    <t>EZK</t>
  </si>
  <si>
    <t>VI Justitie en Veiligheid</t>
  </si>
  <si>
    <t>XIII Economische Zaken en Klimaat</t>
  </si>
  <si>
    <t>TOTAAL ECONOMISCHE ZAKEN EN KLIMAAT</t>
  </si>
  <si>
    <t xml:space="preserve">Justitie en Veiligheid </t>
  </si>
  <si>
    <t>Ministerie van Economische Zaken en Klimaat</t>
  </si>
  <si>
    <t>TOTAAL JUSTITIE EN VEILIGHEID</t>
  </si>
  <si>
    <t xml:space="preserve">- De cijfers van EZK zijn vanaf 2011 inclusief de bijdragen van de ministeries van OCW, I&amp;M, SZW en VWS voor de vraagfinanciering TNO. </t>
  </si>
  <si>
    <t xml:space="preserve">activiteiten (technologisch, organisatorisch, commercieel) die primair gericht zijn op en de intentie hebben om vernieuwing </t>
  </si>
  <si>
    <t>in zowel de private als de publieke sector tot stand te brengen, leidend tot:</t>
  </si>
  <si>
    <t>Het gaat om afgebakende overheidsinitiatieven of -interventies waar uit het doel duidelijk blijkt dat ze innovatie of</t>
  </si>
  <si>
    <t>innovatiegerelateerde activiteiten bevorderen in de betreffende sector.</t>
  </si>
  <si>
    <t xml:space="preserve">Onderzoek (en ontwikkeling) omvat systematisch verrichte, creatieve activiteiten, gebaseerd op wetenschappelijke methoden en </t>
  </si>
  <si>
    <t>gericht op het vergroten van wetenschappelijke kennis en op het ontwikkelen van toepassingen van die kennis.</t>
  </si>
  <si>
    <t>Absolute bedragen innovatierelevant</t>
  </si>
  <si>
    <t>Onderzoek uit algemene universitaire fondsen</t>
  </si>
  <si>
    <t>Eventuele toelichting</t>
  </si>
  <si>
    <t>In de internationale statistieken worden de met de innovatiebox vergelijkbare "patent boxes" om die reden ook niet meegenomen bij de fiscale steun voor</t>
  </si>
  <si>
    <t>beperkt tot een bepaald budget, zodat het kan meelopen met economische ontwikkelingen. Bij de introductie van de innovatiebox werd de jaarlijkse derving</t>
  </si>
  <si>
    <t>voor de structurele situatie geraamd op €625 miljoen. Tussen 2013 en 2014 liep het bedrag verder op van €883 mln. naar €1.081 mln. Voor 2016 is het budgettair</t>
  </si>
  <si>
    <r>
      <t xml:space="preserve">over </t>
    </r>
    <r>
      <rPr>
        <u/>
        <sz val="11"/>
        <color theme="1"/>
        <rFont val="Calibri"/>
        <family val="2"/>
        <scheme val="minor"/>
      </rPr>
      <t>winst</t>
    </r>
    <r>
      <rPr>
        <sz val="11"/>
        <color theme="1"/>
        <rFont val="Calibri"/>
        <family val="2"/>
        <scheme val="minor"/>
      </rPr>
      <t xml:space="preserve"> die voortkomt uit R&amp;D- of innovatieactiviteiten die bedrijven in het verleden hebben ondernomen.</t>
    </r>
  </si>
  <si>
    <t>- Totaaloverzicht: overheidsuitgaven voor R&amp;D en innovatie 2017-2023, in miljoenen euro en procenten van het BBP</t>
  </si>
  <si>
    <t>- Overheidsuitgaven voor R&amp;D en het aandeel innovatierelevante R&amp;D-uitgaven, per begrotingsartikel, 2017-2023, in miljoenen euro</t>
  </si>
  <si>
    <t>- Overheidsuitgaven voor innovatie per begrotingsartikel, 2017-2023, in miljoenen euro</t>
  </si>
  <si>
    <t>- Overzicht: overheidsuitgaven voor R&amp;D en innovatie, per departement, 2017-2023, in miljoenen euro</t>
  </si>
  <si>
    <t>- Fiscale instrumenten voor R&amp;D en innovatie, 2017-2023, in miljoenen euro</t>
  </si>
  <si>
    <t>- Overheidsuitgaven voor R&amp;D naar type uitgaven, 2017-2023</t>
  </si>
  <si>
    <t>- R&amp;D-uitgaven per NABS-categorie, 2017-2023 (Europese classificatie 2007)</t>
  </si>
  <si>
    <t>Contractonderzoek en kennistoepassing</t>
  </si>
  <si>
    <t>Technologie en kennistoepassing</t>
  </si>
  <si>
    <t>UO604</t>
  </si>
  <si>
    <t>Overig wetenschappelijk</t>
  </si>
  <si>
    <t>1, 3</t>
  </si>
  <si>
    <t>H 7 - 3 en H 7 - 4</t>
  </si>
  <si>
    <t>Woningmarkt, Energietransitie, gebouwde omgeving en bouwkwaliteit</t>
  </si>
  <si>
    <t>R/SO</t>
  </si>
  <si>
    <t>Diversen</t>
  </si>
  <si>
    <t>Exploratie en exploitatie van het aards milieu &amp; van de ruimte</t>
  </si>
  <si>
    <t>Vernieuwing bouw (exclusief bouwcampus)</t>
  </si>
  <si>
    <t>overdracht naar BZK</t>
  </si>
  <si>
    <t>1297U0101</t>
  </si>
  <si>
    <t>1217U01020004</t>
  </si>
  <si>
    <t xml:space="preserve">KiM </t>
  </si>
  <si>
    <t>RWS Corporate innovatie (HWN, HWVN)</t>
  </si>
  <si>
    <t>RWS Corporate innovatie (HWS waterinnovatie)</t>
  </si>
  <si>
    <t>12.11u0</t>
  </si>
  <si>
    <t>DF</t>
  </si>
  <si>
    <t>HWS - Waterveiligheid (overige aanlegproj. &amp; studiekosten)</t>
  </si>
  <si>
    <t>HWS - Studiekosten waterveiligheid en studiekosten zoetwatervoorziening</t>
  </si>
  <si>
    <t>HWS - Zoetwatervoorziening (overige investeringen en studiekosten)</t>
  </si>
  <si>
    <t>HWS - Waterkwaliteit (studiekosten &amp; overleg aanleg projecten</t>
  </si>
  <si>
    <t>1219u</t>
  </si>
  <si>
    <t>Topsector water</t>
  </si>
  <si>
    <t>1211u</t>
  </si>
  <si>
    <t>Nationaal programma kennis voor Water en Klimaat</t>
  </si>
  <si>
    <t>6501u</t>
  </si>
  <si>
    <t>NWO en TKI</t>
  </si>
  <si>
    <t>deels</t>
  </si>
  <si>
    <t>1.4.1</t>
  </si>
  <si>
    <t>Ethiek</t>
  </si>
  <si>
    <t>Kwaliteit en veiligheid (NKI)</t>
  </si>
  <si>
    <t>6.4</t>
  </si>
  <si>
    <t>Sport verenigt Nederland</t>
  </si>
  <si>
    <t>Personele en materiële uitgaven SCP en raden (was: SCP (eigen onderzoek))</t>
  </si>
  <si>
    <t>Personele en materiële uitgaven SCP en raden (was:SCP (uitbesteding))</t>
  </si>
  <si>
    <t>1.1</t>
  </si>
  <si>
    <t>Nationaal programma preventie</t>
  </si>
  <si>
    <t>ZonMW: Kwaliteit, transparantie en kennisontwikkeling</t>
  </si>
  <si>
    <t>Fast track: kwaliteit, transparantie en kennisontwikkeling</t>
  </si>
  <si>
    <t xml:space="preserve">proj. </t>
  </si>
  <si>
    <t>2.2</t>
  </si>
  <si>
    <t>9.1</t>
  </si>
  <si>
    <t>Internationale samenwerking: IHTSDO (SNOMED CT)</t>
  </si>
  <si>
    <t>Uitgevoerd door eigen diensten/kenniscentra (Was: WODC: intern onderzoek)</t>
  </si>
  <si>
    <t>Externe projecten (U) (heet nu 'uitgevoerd door universiteiten)</t>
  </si>
  <si>
    <t xml:space="preserve">Externe projecten (SO) (heet nu 'uitgevoerd door onderzoeksinstituten') </t>
  </si>
  <si>
    <t>Versterking aanpak cybersecurity</t>
  </si>
  <si>
    <t>U/NWO/TNO/So/O</t>
  </si>
  <si>
    <t>U12,10 (was: 12.01.01)</t>
  </si>
  <si>
    <t>Lucht- en Ruimtevaart: Ruimtevaart subsidieregelingen</t>
  </si>
  <si>
    <t>Overheidsuitgaven voor R&amp;D 2017-2023, op basis van begrotingscijfers 2019, per begrotingsartikel, per departement, in miljoenen euro</t>
  </si>
  <si>
    <t>Overig: bijdrage aan NML</t>
  </si>
  <si>
    <t>Overig: innovatieve onderzoeksprogramma's</t>
  </si>
  <si>
    <t>Overig: bijdrage aan overige instituten</t>
  </si>
  <si>
    <t>Overig: Innovatieprogramma diensten</t>
  </si>
  <si>
    <t>4,5,6,7,8</t>
  </si>
  <si>
    <t>U02</t>
  </si>
  <si>
    <t>Cyber KI</t>
  </si>
  <si>
    <t>4,5,6,7,8,14</t>
  </si>
  <si>
    <t xml:space="preserve">U/NWO/TNO/SO/O </t>
  </si>
  <si>
    <t>6,7,5,8,</t>
  </si>
  <si>
    <t>Innovatiefonds: Investeringen in fundamenteel en toegepast onderzoek (met vermogensbehoud)</t>
  </si>
  <si>
    <t>Innovatiefonds: Investeringen in fundamenteel en toegepast onderzoek (met vermogensbehoud) R</t>
  </si>
  <si>
    <t>4,5,6,7,</t>
  </si>
  <si>
    <t>14.01.</t>
  </si>
  <si>
    <t>Bijdrage ECN-TNO (E&amp;I)</t>
  </si>
  <si>
    <t>landbouw</t>
  </si>
  <si>
    <t>Agrokennis: Onderzoeksprojecten RVO</t>
  </si>
  <si>
    <t>PM</t>
  </si>
  <si>
    <t>PO: Adaptieve eindtoets - CITO/CvE</t>
  </si>
  <si>
    <t>Onderzoekscomponent hogescholen (HBO Bekostiging Deel ontwerp en ontwikkeling)(incl. groen)</t>
  </si>
  <si>
    <t>,</t>
  </si>
  <si>
    <t>Startups/MKB: nu niet meer opgenomen</t>
  </si>
  <si>
    <t>13.20</t>
  </si>
  <si>
    <t>exploratieen aards milieu</t>
  </si>
  <si>
    <t>exploratie en aards milieu</t>
  </si>
  <si>
    <t>Bron budgettair belang innovatiebox 2017-2019: Bijlagen bij de Miljoenennota 2019</t>
  </si>
  <si>
    <t>In 2017 is het bedrag voor de Innovatiebox geraamd op €1.554 mln., in 2018 op €1.502 mln. en in 2019 op €1.562 mln.</t>
  </si>
  <si>
    <t xml:space="preserve"> belang van de Innovatiebox uitgekomen op €1.368 miljoen, hoger dan in 2015 (€1.264)  wegens een grondslagstijging dankzij de economische groei. </t>
  </si>
  <si>
    <t>Het Regionaal Investeringsfonds mbo, onderdeel van het Techniekpact, financiert projecten voor innovatieve samenwerking in het beroepsonderwijs en wil daarmee een betere aansluiting van het onderwijs op de praktijk bereiken. Sinds 2014 hebben 119 samenwerkingsverbanden ruim 108 miljoen aan subsidie ontvangen. Het bedrijfsleven, onderwijs en overheden hebben daarnaast 231 miljoen geïnvesteerd in deze samenwerkingsverbanden.</t>
  </si>
  <si>
    <t>Groen beleggen Mia/Vamil (uitvoering)</t>
  </si>
  <si>
    <t>4-8,14</t>
  </si>
  <si>
    <t>Overheidsuitgaven voor R&amp;D en innovatie, 2017-2023, in miljoenen euro en in procenten BBP</t>
  </si>
  <si>
    <t>2017-2023</t>
  </si>
  <si>
    <t>Inst</t>
  </si>
  <si>
    <t>- Waarvan NWO-Instituten</t>
  </si>
  <si>
    <t>- Waarvan NWO-Projectfinanciering</t>
  </si>
  <si>
    <t>- De cijfers van OCW zijn wat betreft het onderzoeksgedeelte van de eerste geldstroom van de universiteiten inclusief de bijdrage</t>
  </si>
  <si>
    <t>aan het onderzoeksgedeelte van de Wageningen Universiteit.</t>
  </si>
  <si>
    <t xml:space="preserve">- De cijfers voor 2017 zijn de realisatiecijfers. De cijfers voor 2018 zijn de voorlopige realisatiecijfers 2018, stand begroting 2019. </t>
  </si>
  <si>
    <t xml:space="preserve">De tabel bevat voor 2019 de cijfers van de ontwerpbegroting. De cijfers voor de jaren 2020-2023 zijn de meerjarenramingen. </t>
  </si>
  <si>
    <t>Universiteiten (incl. WUR)</t>
  </si>
  <si>
    <t xml:space="preserve"> Bijlagen bij de Miljoenennota 2019.</t>
  </si>
  <si>
    <t>Cijfers WBSO en RDA gebaseerd op:</t>
  </si>
  <si>
    <t xml:space="preserve"> Begroting EZK 2019 (cijfers 2017-2023)</t>
  </si>
  <si>
    <t>Bronnen:</t>
  </si>
  <si>
    <t>Notities:</t>
  </si>
  <si>
    <t>Afkortingen:</t>
  </si>
  <si>
    <t>% innovatie van (sub)-artikel</t>
  </si>
  <si>
    <t>XIV Landbouw, Natuur en Voedselkwaliteit</t>
  </si>
  <si>
    <t>TOTAAL LANDBOUW, NATUUR en VOEDSELKWALITEIT</t>
  </si>
  <si>
    <t>Landbouw, Natuur en Voedselkwaliteit</t>
  </si>
  <si>
    <t>TOTAAL LANDBOUW, NATUUR EN VOEDSELKWALITEIT</t>
  </si>
  <si>
    <t>NWO NWA</t>
  </si>
  <si>
    <t>Landbouw, natuur en voedselkwaliteit</t>
  </si>
  <si>
    <t>landbouw, natuur en voedselkwaliteit</t>
  </si>
  <si>
    <t>LNV</t>
  </si>
  <si>
    <t>=- Waarvan NWA</t>
  </si>
  <si>
    <t>Incl. NWO projectfinanciering</t>
  </si>
  <si>
    <t>Totaal fiscale instrumenten voor R&amp;D en innovatie</t>
  </si>
  <si>
    <t>Bedragen vanaf 2020 gebaseerd op 2019</t>
  </si>
  <si>
    <t>Opmerkingen over Innovatiebox:</t>
  </si>
  <si>
    <t>R&amp;D en innovatie (zie OECD Frascati Manual 2015, blz. 346). Het toekomstig budgettair belang en het daarmee samenhangende gebruik van de innovatiebox is niet</t>
  </si>
  <si>
    <r>
      <t xml:space="preserve">De </t>
    </r>
    <r>
      <rPr>
        <u/>
        <sz val="11"/>
        <color theme="1"/>
        <rFont val="Calibri"/>
        <family val="2"/>
        <scheme val="minor"/>
      </rPr>
      <t>innovatiebox wordt niet meegenomen in de TWIN-tabellen</t>
    </r>
    <r>
      <rPr>
        <sz val="11"/>
        <color theme="1"/>
        <rFont val="Calibri"/>
        <family val="2"/>
        <scheme val="minor"/>
      </rPr>
      <t>, voornamelijk omdat het een ander type regeling is dan bijvoorbeeld de WBSO.</t>
    </r>
  </si>
  <si>
    <t xml:space="preserve">Naast de fiscale R&amp;D en innovatieregelingen WBSO en de RDA is er de Innovatiebox. </t>
  </si>
  <si>
    <t>https://www.cpb.nl/raming-maart-2019-ccep#docid-159807</t>
  </si>
  <si>
    <t>BBP-cijfers voor 2017-2019 betreffen de nominale cijfers van het CPB uit het CEP van Maart 2019, kerngegevens.</t>
  </si>
  <si>
    <t>Voor de bepaling van het BBP vanaf 2020 zijn de volumegroeipercentages gebruikt van CPB uit het CEP van Maart 2019 (Bijlage 1). Dit omdat in de meerjarenraming nog niet alle loon- en prijsbijstellingen zijn opgenomen.</t>
  </si>
  <si>
    <t>Bbp volumegroei % 2020-2023</t>
  </si>
  <si>
    <t>Bbp (miljarden euro)</t>
  </si>
  <si>
    <t>Cijfers MIA/VAMIL o.b.v Budgettair belang 2017-2019 in:</t>
  </si>
  <si>
    <t xml:space="preserve">Sub-totaal MIA / VAMIL </t>
  </si>
  <si>
    <t>- waarvan alleen voor innovatie: MIA/VAMIL</t>
  </si>
  <si>
    <t>Fiscale instrumenten voor R&amp;D, als % BBP</t>
  </si>
  <si>
    <t>- waarvan voor R&amp;D en innovatie (WBSO/RDA)</t>
  </si>
  <si>
    <t>Fiscale instrumenten voor R&amp;D</t>
  </si>
  <si>
    <r>
      <t>Fiscale instrumenten</t>
    </r>
    <r>
      <rPr>
        <b/>
        <u/>
        <sz val="11"/>
        <color theme="1"/>
        <rFont val="Calibri"/>
        <family val="2"/>
        <scheme val="minor"/>
      </rPr>
      <t xml:space="preserve"> alleen</t>
    </r>
    <r>
      <rPr>
        <b/>
        <sz val="11"/>
        <color theme="1"/>
        <rFont val="Calibri"/>
        <family val="2"/>
        <scheme val="minor"/>
      </rPr>
      <t xml:space="preserve"> voor innovatie</t>
    </r>
  </si>
  <si>
    <t>Ministerie van Infrastructuur en Waterstaat</t>
  </si>
  <si>
    <t>Het fiscale voordeel van Groen beleggen is hierin niet opgenomen omdat het niet specifiek gaat om innovaties die nieuw in de markt zijn</t>
  </si>
  <si>
    <t xml:space="preserve">Het cijfer voor WBSO in 2019 is nog exclusief de verhoging van € 32 miljoen naar aanleiding van een motie bij het belastingplan </t>
  </si>
  <si>
    <t xml:space="preserve">(zie kamerbrief over Invulling moties over Small Business Innovation Research (SBIR) en verhoging tweede schrijf WBSO, kamerstuk 33009 nr. 67, 21-12-2018). </t>
  </si>
  <si>
    <t>Het bedrag van de afdrachtvermindering in 2019 is dan € 1,24 miljard in plaats van € 1,21 miljard.</t>
  </si>
  <si>
    <t>Cijfers WBSO voor 2020 en verder zijn inclusief een intensivering van € 76 miljoen aan afdrachtsvermindering.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</si>
</sst>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 #,##0;&quot;€&quot;\ \-#,##0"/>
    <numFmt numFmtId="41" formatCode="_ * #,##0_ ;_ * \-#,##0_ ;_ * &quot;-&quot;_ ;_ @_ "/>
    <numFmt numFmtId="44" formatCode="_ &quot;€&quot;\ * #,##0.00_ ;_ &quot;€&quot;\ * \-#,##0.00_ ;_ &quot;€&quot;\ * &quot;-&quot;??_ ;_ @_ "/>
    <numFmt numFmtId="43" formatCode="_ * #,##0.00_ ;_ * \-#,##0.00_ ;_ * &quot;-&quot;??_ ;_ @_ "/>
    <numFmt numFmtId="164" formatCode="0.000"/>
    <numFmt numFmtId="165" formatCode="#,##0.000"/>
    <numFmt numFmtId="166" formatCode="&quot;fl&quot;\ #,##0.00_-;&quot;fl&quot;\ #,##0.00\-"/>
    <numFmt numFmtId="167" formatCode="#,##0.0"/>
    <numFmt numFmtId="168" formatCode="d\ m\a\a\nd\ \J\J\J\J"/>
    <numFmt numFmtId="169" formatCode="0.0"/>
    <numFmt numFmtId="170" formatCode="_-&quot;€&quot;\ * #,##0.00_-;_-&quot;€&quot;\ * #,##0.00\-;_-&quot;€&quot;\ * &quot;-&quot;??_-;_-@_-"/>
    <numFmt numFmtId="171" formatCode="s\t\a\nd\a\a\rd"/>
    <numFmt numFmtId="172" formatCode="_ * #,##0_ ;_ * \-#,##0_ ;_ * &quot;-&quot;??_ ;_ @_ "/>
    <numFmt numFmtId="173" formatCode="mm/dd"/>
    <numFmt numFmtId="174" formatCode="mmmm\ d\,\ yyyy"/>
    <numFmt numFmtId="175" formatCode="_-* #,##0.00_-;_-* #,##0.00\-;_-* &quot;-&quot;??_-;_-@_-"/>
    <numFmt numFmtId="176" formatCode="_(&quot;$&quot;* #,##0_);_(&quot;$&quot;* \(#,##0\);_(&quot;$&quot;* &quot;-&quot;_);_(@_)"/>
    <numFmt numFmtId="177" formatCode="&quot;fl&quot;\ #,##0_-;&quot;fl&quot;\ #,##0\-"/>
    <numFmt numFmtId="178" formatCode="_(&quot;$&quot;* #,##0.00_);_(&quot;$&quot;* \(#,##0.00\);_(&quot;$&quot;* &quot;-&quot;??_);_(@_)"/>
    <numFmt numFmtId="179" formatCode="_ * #,##0.0_ ;_ * \-#,##0.0_ ;_ * &quot;-&quot;??_ ;_ @_ "/>
    <numFmt numFmtId="180" formatCode="_ * #,##0.000_ ;_ * \-#,##0.000_ ;_ * &quot;-&quot;???_ ;_ @_ "/>
    <numFmt numFmtId="181" formatCode="0.0%"/>
    <numFmt numFmtId="182" formatCode="_ * #,##0.000_ ;_ * \-#,##0.000_ ;_ * &quot;-&quot;??_ ;_ @_ "/>
    <numFmt numFmtId="183" formatCode="0_)"/>
    <numFmt numFmtId="184" formatCode="&quot;€&quot;\ #,##0_-;&quot;€&quot;\ #,##0\-"/>
    <numFmt numFmtId="185" formatCode="_ * #,##0.0_ ;_ * \-#,##0.0_ ;_ * &quot;-&quot;?_ ;_ @_ "/>
    <numFmt numFmtId="186" formatCode="_ * #,##0.0_ ;_ * \-#,##0.0_ ;_ * &quot;-&quot;???_ ;_ @_ "/>
  </numFmts>
  <fonts count="13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0"/>
      <color rgb="FF3E3E3E"/>
      <name val="Verdana"/>
      <family val="2"/>
    </font>
    <font>
      <sz val="11"/>
      <color rgb="FF9C6500"/>
      <name val="Calibri"/>
      <family val="2"/>
      <scheme val="minor"/>
    </font>
    <font>
      <sz val="10"/>
      <color theme="1"/>
      <name val="Arial"/>
      <family val="2"/>
    </font>
    <font>
      <b/>
      <i/>
      <sz val="10"/>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u/>
      <sz val="11"/>
      <color theme="1"/>
      <name val="Calibri"/>
      <family val="2"/>
      <scheme val="minor"/>
    </font>
    <font>
      <sz val="11"/>
      <color indexed="8"/>
      <name val="Calibri"/>
      <family val="2"/>
      <scheme val="minor"/>
    </font>
    <font>
      <sz val="10"/>
      <color indexed="8"/>
      <name val="10"/>
    </font>
    <font>
      <sz val="10"/>
      <name val="Courier"/>
      <family val="3"/>
    </font>
    <font>
      <sz val="6.5"/>
      <name val="Univers"/>
      <family val="2"/>
    </font>
    <font>
      <u/>
      <sz val="11"/>
      <color theme="10"/>
      <name val="Calibri"/>
      <family val="2"/>
      <scheme val="minor"/>
    </font>
    <font>
      <sz val="8"/>
      <name val="Verdana"/>
      <family val="2"/>
    </font>
    <font>
      <i/>
      <sz val="10"/>
      <name val="Calibri"/>
      <family val="2"/>
      <scheme val="minor"/>
    </font>
    <font>
      <b/>
      <i/>
      <sz val="11"/>
      <name val="Calibri"/>
      <family val="2"/>
      <scheme val="minor"/>
    </font>
    <font>
      <b/>
      <sz val="10"/>
      <color rgb="FF3E3E3E"/>
      <name val="Verdana"/>
      <family val="2"/>
    </font>
    <font>
      <sz val="10"/>
      <color rgb="FFC00000"/>
      <name val="MS Sans Serif"/>
      <family val="2"/>
    </font>
    <font>
      <i/>
      <sz val="10"/>
      <name val="Calibri"/>
      <family val="2"/>
    </font>
    <font>
      <b/>
      <u/>
      <sz val="11"/>
      <color theme="1"/>
      <name val="Calibri"/>
      <family val="2"/>
      <scheme val="minor"/>
    </font>
  </fonts>
  <fills count="78">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
      <patternFill patternType="solid">
        <fgColor theme="0"/>
        <bgColor indexed="64"/>
      </patternFill>
    </fill>
  </fills>
  <borders count="37">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
      <left/>
      <right/>
      <top style="double">
        <color indexed="0"/>
      </top>
      <bottom/>
      <diagonal/>
    </border>
    <border>
      <left/>
      <right/>
      <top style="thin">
        <color indexed="0"/>
      </top>
      <bottom style="double">
        <color indexed="0"/>
      </bottom>
      <diagonal/>
    </border>
  </borders>
  <cellStyleXfs count="1261">
    <xf numFmtId="0" fontId="0" fillId="0" borderId="0"/>
    <xf numFmtId="0" fontId="11" fillId="0" borderId="0"/>
    <xf numFmtId="0" fontId="13" fillId="0" borderId="0" applyNumberFormat="0" applyFill="0" applyBorder="0" applyAlignment="0" applyProtection="0"/>
    <xf numFmtId="0" fontId="14" fillId="0" borderId="0"/>
    <xf numFmtId="2" fontId="13" fillId="0" borderId="0" applyFill="0" applyBorder="0" applyAlignment="0" applyProtection="0"/>
    <xf numFmtId="168" fontId="13"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6" fontId="13" fillId="0" borderId="0" applyFill="0" applyBorder="0" applyAlignment="0" applyProtection="0"/>
    <xf numFmtId="167" fontId="13" fillId="0" borderId="0" applyFill="0" applyBorder="0" applyAlignment="0" applyProtection="0"/>
    <xf numFmtId="167" fontId="13" fillId="0" borderId="0" applyFill="0" applyBorder="0" applyProtection="0">
      <alignment horizontal="right"/>
    </xf>
    <xf numFmtId="0" fontId="13" fillId="0" borderId="1" applyNumberFormat="0" applyFill="0" applyAlignment="0" applyProtection="0"/>
    <xf numFmtId="0" fontId="17" fillId="0" borderId="0"/>
    <xf numFmtId="170" fontId="14" fillId="0" borderId="0" applyFont="0" applyFill="0" applyBorder="0" applyAlignment="0" applyProtection="0"/>
    <xf numFmtId="9" fontId="14" fillId="0" borderId="0" applyFont="0" applyFill="0" applyBorder="0" applyAlignment="0" applyProtection="0"/>
    <xf numFmtId="0" fontId="14" fillId="0" borderId="0"/>
    <xf numFmtId="171" fontId="26" fillId="0" borderId="0" applyProtection="0"/>
    <xf numFmtId="171" fontId="13" fillId="0" borderId="0"/>
    <xf numFmtId="171" fontId="31" fillId="0" borderId="0" applyProtection="0"/>
    <xf numFmtId="171" fontId="29" fillId="0" borderId="0" applyProtection="0"/>
    <xf numFmtId="171" fontId="28" fillId="0" borderId="0" applyProtection="0"/>
    <xf numFmtId="171" fontId="27" fillId="0" borderId="0" applyProtection="0"/>
    <xf numFmtId="171" fontId="13" fillId="0" borderId="0" applyProtection="0"/>
    <xf numFmtId="171" fontId="30" fillId="0" borderId="0" applyProtection="0"/>
    <xf numFmtId="0" fontId="14" fillId="0" borderId="0"/>
    <xf numFmtId="0" fontId="3" fillId="0" borderId="0"/>
    <xf numFmtId="0" fontId="14" fillId="0" borderId="0"/>
    <xf numFmtId="0" fontId="32" fillId="0" borderId="0" applyNumberFormat="0" applyFill="0" applyBorder="0" applyAlignment="0" applyProtection="0"/>
    <xf numFmtId="0" fontId="3" fillId="0" borderId="0"/>
    <xf numFmtId="0" fontId="38" fillId="3" borderId="0" applyNumberFormat="0" applyBorder="0" applyAlignment="0" applyProtection="0"/>
    <xf numFmtId="9" fontId="3" fillId="0" borderId="0" applyFont="0" applyFill="0" applyBorder="0" applyAlignment="0" applyProtection="0"/>
    <xf numFmtId="43" fontId="39" fillId="0" borderId="0" applyFont="0" applyFill="0" applyBorder="0" applyAlignment="0" applyProtection="0"/>
    <xf numFmtId="43" fontId="14" fillId="0" borderId="0" applyFont="0" applyFill="0" applyBorder="0" applyAlignment="0" applyProtection="0"/>
    <xf numFmtId="0" fontId="14" fillId="0" borderId="0"/>
    <xf numFmtId="0" fontId="3" fillId="0" borderId="0"/>
    <xf numFmtId="0" fontId="14" fillId="0" borderId="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55" fillId="13" borderId="0" applyNumberFormat="0" applyBorder="0" applyAlignment="0" applyProtection="0"/>
    <xf numFmtId="0" fontId="54" fillId="13" borderId="0" applyNumberFormat="0" applyBorder="0" applyAlignment="0" applyProtection="0"/>
    <xf numFmtId="0" fontId="55" fillId="17" borderId="0" applyNumberFormat="0" applyBorder="0" applyAlignment="0" applyProtection="0"/>
    <xf numFmtId="0" fontId="54" fillId="17" borderId="0" applyNumberFormat="0" applyBorder="0" applyAlignment="0" applyProtection="0"/>
    <xf numFmtId="0" fontId="55" fillId="21" borderId="0" applyNumberFormat="0" applyBorder="0" applyAlignment="0" applyProtection="0"/>
    <xf numFmtId="0" fontId="54" fillId="21" borderId="0" applyNumberFormat="0" applyBorder="0" applyAlignment="0" applyProtection="0"/>
    <xf numFmtId="0" fontId="55" fillId="25" borderId="0" applyNumberFormat="0" applyBorder="0" applyAlignment="0" applyProtection="0"/>
    <xf numFmtId="0" fontId="54" fillId="25" borderId="0" applyNumberFormat="0" applyBorder="0" applyAlignment="0" applyProtection="0"/>
    <xf numFmtId="0" fontId="55" fillId="29" borderId="0" applyNumberFormat="0" applyBorder="0" applyAlignment="0" applyProtection="0"/>
    <xf numFmtId="0" fontId="54" fillId="29" borderId="0" applyNumberFormat="0" applyBorder="0" applyAlignment="0" applyProtection="0"/>
    <xf numFmtId="0" fontId="55" fillId="33" borderId="0" applyNumberFormat="0" applyBorder="0" applyAlignment="0" applyProtection="0"/>
    <xf numFmtId="0" fontId="54" fillId="33" borderId="0" applyNumberFormat="0" applyBorder="0" applyAlignment="0" applyProtection="0"/>
    <xf numFmtId="0" fontId="55" fillId="10" borderId="0" applyNumberFormat="0" applyBorder="0" applyAlignment="0" applyProtection="0"/>
    <xf numFmtId="0" fontId="54" fillId="10" borderId="0" applyNumberFormat="0" applyBorder="0" applyAlignment="0" applyProtection="0"/>
    <xf numFmtId="0" fontId="55" fillId="14" borderId="0" applyNumberFormat="0" applyBorder="0" applyAlignment="0" applyProtection="0"/>
    <xf numFmtId="0" fontId="54" fillId="14" borderId="0" applyNumberFormat="0" applyBorder="0" applyAlignment="0" applyProtection="0"/>
    <xf numFmtId="0" fontId="55" fillId="18" borderId="0" applyNumberFormat="0" applyBorder="0" applyAlignment="0" applyProtection="0"/>
    <xf numFmtId="0" fontId="54" fillId="18" borderId="0" applyNumberFormat="0" applyBorder="0" applyAlignment="0" applyProtection="0"/>
    <xf numFmtId="0" fontId="55" fillId="22" borderId="0" applyNumberFormat="0" applyBorder="0" applyAlignment="0" applyProtection="0"/>
    <xf numFmtId="0" fontId="54" fillId="22" borderId="0" applyNumberFormat="0" applyBorder="0" applyAlignment="0" applyProtection="0"/>
    <xf numFmtId="0" fontId="55" fillId="26" borderId="0" applyNumberFormat="0" applyBorder="0" applyAlignment="0" applyProtection="0"/>
    <xf numFmtId="0" fontId="54" fillId="26" borderId="0" applyNumberFormat="0" applyBorder="0" applyAlignment="0" applyProtection="0"/>
    <xf numFmtId="0" fontId="55" fillId="30" borderId="0" applyNumberFormat="0" applyBorder="0" applyAlignment="0" applyProtection="0"/>
    <xf numFmtId="0" fontId="54" fillId="30" borderId="0" applyNumberFormat="0" applyBorder="0" applyAlignment="0" applyProtection="0"/>
    <xf numFmtId="0" fontId="56" fillId="34" borderId="0" applyNumberFormat="0" applyBorder="0" applyAlignment="0" applyProtection="0"/>
    <xf numFmtId="2" fontId="13" fillId="0" borderId="0" applyProtection="0"/>
    <xf numFmtId="0" fontId="57" fillId="7" borderId="5" applyNumberFormat="0" applyAlignment="0" applyProtection="0"/>
    <xf numFmtId="0" fontId="49" fillId="7" borderId="5" applyNumberFormat="0" applyAlignment="0" applyProtection="0"/>
    <xf numFmtId="0" fontId="58" fillId="35" borderId="17"/>
    <xf numFmtId="0" fontId="59" fillId="36" borderId="18">
      <alignment horizontal="right" vertical="top" wrapText="1"/>
    </xf>
    <xf numFmtId="0" fontId="60" fillId="0" borderId="0"/>
    <xf numFmtId="0" fontId="61" fillId="37" borderId="19" applyNumberFormat="0" applyAlignment="0" applyProtection="0"/>
    <xf numFmtId="0" fontId="58" fillId="0" borderId="20"/>
    <xf numFmtId="0" fontId="62" fillId="38" borderId="21" applyNumberFormat="0" applyAlignment="0" applyProtection="0"/>
    <xf numFmtId="0" fontId="63" fillId="39" borderId="22">
      <alignment horizontal="left" vertical="top" wrapText="1"/>
    </xf>
    <xf numFmtId="0" fontId="64" fillId="40" borderId="0">
      <alignment horizontal="center"/>
    </xf>
    <xf numFmtId="0" fontId="65" fillId="40" borderId="0">
      <alignment horizontal="center" vertical="center"/>
    </xf>
    <xf numFmtId="0" fontId="14" fillId="41" borderId="0">
      <alignment horizontal="center" wrapText="1"/>
    </xf>
    <xf numFmtId="0" fontId="66" fillId="40" borderId="0">
      <alignment horizontal="center"/>
    </xf>
    <xf numFmtId="4" fontId="14" fillId="42" borderId="0" applyFont="0" applyFill="0" applyBorder="0" applyAlignment="0" applyProtection="0"/>
    <xf numFmtId="0" fontId="67" fillId="8" borderId="8" applyNumberFormat="0" applyAlignment="0" applyProtection="0"/>
    <xf numFmtId="0" fontId="51" fillId="8" borderId="8" applyNumberFormat="0" applyAlignment="0" applyProtection="0"/>
    <xf numFmtId="0" fontId="68" fillId="43" borderId="17" applyBorder="0">
      <protection locked="0"/>
    </xf>
    <xf numFmtId="173" fontId="14" fillId="0" borderId="0" applyFill="0" applyBorder="0" applyAlignment="0" applyProtection="0"/>
    <xf numFmtId="174" fontId="14" fillId="0" borderId="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69" fillId="0" borderId="0">
      <alignment horizontal="centerContinuous"/>
    </xf>
    <xf numFmtId="0" fontId="69" fillId="0" borderId="0" applyAlignment="0">
      <alignment horizontal="centerContinuous"/>
    </xf>
    <xf numFmtId="0" fontId="70" fillId="0" borderId="0" applyAlignment="0">
      <alignment horizontal="centerContinuous"/>
    </xf>
    <xf numFmtId="0" fontId="71" fillId="43" borderId="17">
      <protection locked="0"/>
    </xf>
    <xf numFmtId="0" fontId="14" fillId="43" borderId="20"/>
    <xf numFmtId="0" fontId="14" fillId="40" borderId="0"/>
    <xf numFmtId="170" fontId="14" fillId="0" borderId="0" applyFont="0" applyFill="0" applyBorder="0" applyAlignment="0" applyProtection="0"/>
    <xf numFmtId="0" fontId="72" fillId="0" borderId="0" applyNumberFormat="0" applyFill="0" applyBorder="0" applyAlignment="0" applyProtection="0"/>
    <xf numFmtId="3" fontId="31" fillId="0" borderId="0" applyFill="0" applyBorder="0" applyAlignment="0" applyProtection="0"/>
    <xf numFmtId="3" fontId="30" fillId="0" borderId="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13" fillId="0" borderId="0" applyFill="0" applyBorder="0" applyAlignment="0" applyProtection="0"/>
    <xf numFmtId="0" fontId="73" fillId="40" borderId="20">
      <alignment horizontal="left"/>
    </xf>
    <xf numFmtId="0" fontId="74" fillId="40" borderId="0">
      <alignment horizontal="left"/>
    </xf>
    <xf numFmtId="0" fontId="75" fillId="0" borderId="7" applyNumberFormat="0" applyFill="0" applyAlignment="0" applyProtection="0"/>
    <xf numFmtId="0" fontId="50" fillId="0" borderId="7" applyNumberFormat="0" applyFill="0" applyAlignment="0" applyProtection="0"/>
    <xf numFmtId="0" fontId="76" fillId="4" borderId="0" applyNumberFormat="0" applyBorder="0" applyAlignment="0" applyProtection="0"/>
    <xf numFmtId="0" fontId="44" fillId="4" borderId="0" applyNumberFormat="0" applyBorder="0" applyAlignment="0" applyProtection="0"/>
    <xf numFmtId="0" fontId="77" fillId="44" borderId="0" applyNumberFormat="0" applyBorder="0" applyAlignment="0" applyProtection="0"/>
    <xf numFmtId="0" fontId="78" fillId="45" borderId="0">
      <alignment horizontal="left" vertical="top"/>
    </xf>
    <xf numFmtId="0" fontId="59" fillId="46" borderId="0">
      <alignment horizontal="right" vertical="top" textRotation="90" wrapText="1"/>
    </xf>
    <xf numFmtId="0" fontId="79" fillId="0" borderId="0"/>
    <xf numFmtId="0" fontId="80" fillId="0" borderId="23" applyNumberFormat="0" applyFill="0" applyAlignment="0" applyProtection="0"/>
    <xf numFmtId="0" fontId="81" fillId="0" borderId="24" applyNumberFormat="0" applyFill="0" applyAlignment="0" applyProtection="0"/>
    <xf numFmtId="0" fontId="82" fillId="0" borderId="25" applyNumberFormat="0" applyFill="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47" borderId="19" applyNumberFormat="0" applyAlignment="0" applyProtection="0"/>
    <xf numFmtId="0" fontId="86" fillId="6" borderId="5" applyNumberFormat="0" applyAlignment="0" applyProtection="0"/>
    <xf numFmtId="0" fontId="47" fillId="6" borderId="5" applyNumberFormat="0" applyAlignment="0" applyProtection="0"/>
    <xf numFmtId="0" fontId="43" fillId="41" borderId="0">
      <alignment horizontal="center"/>
    </xf>
    <xf numFmtId="0" fontId="14" fillId="40" borderId="20">
      <alignment horizontal="centerContinuous" wrapText="1"/>
    </xf>
    <xf numFmtId="0" fontId="87" fillId="45" borderId="0">
      <alignment horizontal="center" wrapText="1"/>
    </xf>
    <xf numFmtId="0" fontId="14" fillId="40" borderId="20">
      <alignment horizontal="centerContinuous" wrapText="1"/>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xf numFmtId="43" fontId="42"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14" fillId="0" borderId="0" applyFont="0" applyFill="0" applyBorder="0" applyAlignment="0" applyProtection="0"/>
    <xf numFmtId="43" fontId="42"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3" fontId="42" fillId="0" borderId="0" applyFont="0" applyFill="0" applyBorder="0" applyAlignment="0" applyProtection="0"/>
    <xf numFmtId="175" fontId="3"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3" fontId="14" fillId="0" borderId="0" applyFill="0" applyBorder="0" applyAlignment="0" applyProtection="0"/>
    <xf numFmtId="0" fontId="88" fillId="0" borderId="0"/>
    <xf numFmtId="3" fontId="14" fillId="42" borderId="0" applyFont="0" applyFill="0" applyBorder="0" applyAlignment="0" applyProtection="0"/>
    <xf numFmtId="3" fontId="14" fillId="0" borderId="0" applyFill="0" applyBorder="0" applyAlignment="0" applyProtection="0"/>
    <xf numFmtId="167" fontId="14" fillId="0" borderId="0" applyFill="0" applyBorder="0" applyAlignment="0" applyProtection="0"/>
    <xf numFmtId="0" fontId="88" fillId="0" borderId="0"/>
    <xf numFmtId="0" fontId="89" fillId="0" borderId="2" applyNumberFormat="0" applyFill="0" applyAlignment="0" applyProtection="0"/>
    <xf numFmtId="0" fontId="90" fillId="0" borderId="3" applyNumberFormat="0" applyFill="0" applyAlignment="0" applyProtection="0"/>
    <xf numFmtId="0" fontId="91" fillId="0" borderId="4" applyNumberFormat="0" applyFill="0" applyAlignment="0" applyProtection="0"/>
    <xf numFmtId="0" fontId="91" fillId="0" borderId="0" applyNumberFormat="0" applyFill="0" applyBorder="0" applyAlignment="0" applyProtection="0"/>
    <xf numFmtId="0" fontId="15" fillId="0" borderId="0" applyProtection="0"/>
    <xf numFmtId="0" fontId="16" fillId="0" borderId="0" applyProtection="0"/>
    <xf numFmtId="0" fontId="15" fillId="0" borderId="0" applyNumberFormat="0" applyFill="0" applyBorder="0" applyAlignment="0" applyProtection="0"/>
    <xf numFmtId="0" fontId="16" fillId="0" borderId="0" applyNumberFormat="0" applyFill="0" applyBorder="0" applyAlignment="0" applyProtection="0"/>
    <xf numFmtId="0" fontId="92" fillId="40" borderId="13">
      <alignment wrapText="1"/>
    </xf>
    <xf numFmtId="0" fontId="92" fillId="40" borderId="15"/>
    <xf numFmtId="0" fontId="92" fillId="40" borderId="11"/>
    <xf numFmtId="0" fontId="58" fillId="40" borderId="16">
      <alignment horizontal="center" wrapText="1"/>
    </xf>
    <xf numFmtId="0" fontId="63" fillId="39" borderId="26">
      <alignment horizontal="left" vertical="top" wrapText="1"/>
    </xf>
    <xf numFmtId="0" fontId="93" fillId="0" borderId="27" applyNumberFormat="0" applyFill="0" applyAlignment="0" applyProtection="0"/>
    <xf numFmtId="0" fontId="14" fillId="0" borderId="0" applyFont="0" applyFill="0" applyBorder="0" applyAlignment="0" applyProtection="0"/>
    <xf numFmtId="166" fontId="13" fillId="0" borderId="0" applyProtection="0"/>
    <xf numFmtId="0" fontId="38" fillId="3" borderId="0" applyNumberFormat="0" applyBorder="0" applyAlignment="0" applyProtection="0"/>
    <xf numFmtId="0" fontId="46" fillId="3" borderId="0" applyNumberFormat="0" applyBorder="0" applyAlignment="0" applyProtection="0"/>
    <xf numFmtId="0" fontId="94" fillId="48" borderId="0" applyNumberFormat="0" applyBorder="0" applyAlignment="0" applyProtection="0"/>
    <xf numFmtId="0" fontId="13" fillId="0" borderId="0" applyNumberFormat="0" applyFont="0" applyFill="0" applyBorder="0" applyAlignment="0" applyProtection="0"/>
    <xf numFmtId="0" fontId="14" fillId="0" borderId="0" applyNumberFormat="0" applyFill="0" applyBorder="0" applyAlignment="0" applyProtection="0"/>
    <xf numFmtId="0" fontId="14" fillId="0" borderId="0">
      <alignment vertical="top"/>
    </xf>
    <xf numFmtId="0" fontId="14" fillId="0" borderId="0"/>
    <xf numFmtId="0" fontId="95" fillId="0" borderId="0"/>
    <xf numFmtId="0" fontId="14" fillId="0" borderId="0"/>
    <xf numFmtId="0" fontId="14" fillId="49" borderId="28"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42" fillId="9" borderId="9" applyNumberFormat="0" applyFont="0" applyAlignment="0" applyProtection="0"/>
    <xf numFmtId="0" fontId="96" fillId="5" borderId="0" applyNumberFormat="0" applyBorder="0" applyAlignment="0" applyProtection="0"/>
    <xf numFmtId="0" fontId="45" fillId="5" borderId="0" applyNumberFormat="0" applyBorder="0" applyAlignment="0" applyProtection="0"/>
    <xf numFmtId="0" fontId="97" fillId="37" borderId="29" applyNumberFormat="0" applyAlignment="0" applyProtection="0"/>
    <xf numFmtId="0" fontId="88" fillId="0" borderId="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4" fontId="13" fillId="0" borderId="0" applyProtection="0"/>
    <xf numFmtId="0" fontId="58" fillId="40" borderId="20"/>
    <xf numFmtId="0" fontId="65" fillId="40" borderId="0">
      <alignment horizontal="right"/>
    </xf>
    <xf numFmtId="0" fontId="99" fillId="45" borderId="0">
      <alignment horizontal="center"/>
    </xf>
    <xf numFmtId="0" fontId="63" fillId="46" borderId="20">
      <alignment horizontal="left" vertical="top" wrapText="1"/>
    </xf>
    <xf numFmtId="0" fontId="100" fillId="46" borderId="12">
      <alignment horizontal="left" vertical="top" wrapText="1"/>
    </xf>
    <xf numFmtId="0" fontId="63" fillId="46" borderId="14">
      <alignment horizontal="left" vertical="top" wrapText="1"/>
    </xf>
    <xf numFmtId="0" fontId="63" fillId="46" borderId="12">
      <alignment horizontal="left" vertical="top"/>
    </xf>
    <xf numFmtId="4" fontId="101" fillId="50" borderId="30" applyNumberFormat="0" applyProtection="0">
      <alignment vertical="center"/>
    </xf>
    <xf numFmtId="4" fontId="102" fillId="48" borderId="30" applyNumberFormat="0" applyProtection="0">
      <alignment vertical="center"/>
    </xf>
    <xf numFmtId="4" fontId="102" fillId="48" borderId="30" applyNumberFormat="0" applyProtection="0">
      <alignment vertical="center"/>
    </xf>
    <xf numFmtId="4" fontId="101" fillId="50" borderId="30" applyNumberFormat="0" applyProtection="0">
      <alignment vertical="center"/>
    </xf>
    <xf numFmtId="4" fontId="103" fillId="50" borderId="30" applyNumberFormat="0" applyProtection="0">
      <alignment vertical="center"/>
    </xf>
    <xf numFmtId="4" fontId="103" fillId="50" borderId="30" applyNumberFormat="0" applyProtection="0">
      <alignment vertical="center"/>
    </xf>
    <xf numFmtId="4" fontId="104" fillId="50" borderId="30" applyNumberFormat="0" applyProtection="0">
      <alignment vertical="center"/>
    </xf>
    <xf numFmtId="4" fontId="103" fillId="50" borderId="30" applyNumberFormat="0" applyProtection="0">
      <alignment vertical="center"/>
    </xf>
    <xf numFmtId="4" fontId="105" fillId="50" borderId="30" applyNumberFormat="0" applyProtection="0">
      <alignment horizontal="left" vertical="center" indent="1"/>
    </xf>
    <xf numFmtId="4" fontId="105" fillId="50" borderId="30" applyNumberFormat="0" applyProtection="0">
      <alignment horizontal="left" vertical="center" indent="1"/>
    </xf>
    <xf numFmtId="4" fontId="102" fillId="50" borderId="30" applyNumberFormat="0" applyProtection="0">
      <alignment horizontal="left" vertical="center" indent="1"/>
    </xf>
    <xf numFmtId="4" fontId="105" fillId="50" borderId="30" applyNumberFormat="0" applyProtection="0">
      <alignment horizontal="left" vertical="center" indent="1"/>
    </xf>
    <xf numFmtId="0" fontId="102" fillId="50" borderId="30" applyNumberFormat="0" applyProtection="0">
      <alignment horizontal="left" vertical="top" indent="1"/>
    </xf>
    <xf numFmtId="0" fontId="14" fillId="0" borderId="0"/>
    <xf numFmtId="0" fontId="14" fillId="0" borderId="0"/>
    <xf numFmtId="4" fontId="105" fillId="51" borderId="0" applyNumberFormat="0" applyProtection="0">
      <alignment horizontal="left" vertical="center" indent="1"/>
    </xf>
    <xf numFmtId="4" fontId="105" fillId="52" borderId="0" applyNumberFormat="0" applyProtection="0">
      <alignment horizontal="left" vertical="center" indent="1"/>
    </xf>
    <xf numFmtId="4" fontId="105" fillId="51" borderId="0" applyNumberFormat="0" applyProtection="0">
      <alignment horizontal="left" vertical="center" indent="1"/>
    </xf>
    <xf numFmtId="4" fontId="105" fillId="52" borderId="0" applyNumberFormat="0" applyProtection="0">
      <alignment horizontal="left" vertical="center" indent="1"/>
    </xf>
    <xf numFmtId="4" fontId="105" fillId="51" borderId="0" applyNumberFormat="0" applyProtection="0">
      <alignment horizontal="left" vertical="center" indent="1"/>
    </xf>
    <xf numFmtId="4" fontId="105" fillId="51" borderId="0" applyNumberFormat="0" applyProtection="0">
      <alignment horizontal="left" vertical="center" indent="1"/>
    </xf>
    <xf numFmtId="4" fontId="105" fillId="52" borderId="0" applyNumberFormat="0" applyProtection="0">
      <alignment horizontal="left" vertical="center" indent="1"/>
    </xf>
    <xf numFmtId="4" fontId="105" fillId="45" borderId="30" applyNumberFormat="0" applyProtection="0">
      <alignment horizontal="right" vertical="center"/>
    </xf>
    <xf numFmtId="4" fontId="105" fillId="45" borderId="30" applyNumberFormat="0" applyProtection="0">
      <alignment horizontal="right" vertical="center"/>
    </xf>
    <xf numFmtId="4" fontId="95" fillId="34" borderId="30" applyNumberFormat="0" applyProtection="0">
      <alignment horizontal="right" vertical="center"/>
    </xf>
    <xf numFmtId="4" fontId="105" fillId="45" borderId="30" applyNumberFormat="0" applyProtection="0">
      <alignment horizontal="right" vertical="center"/>
    </xf>
    <xf numFmtId="4" fontId="105" fillId="53" borderId="30" applyNumberFormat="0" applyProtection="0">
      <alignment horizontal="right" vertical="center"/>
    </xf>
    <xf numFmtId="4" fontId="105" fillId="53" borderId="30" applyNumberFormat="0" applyProtection="0">
      <alignment horizontal="right" vertical="center"/>
    </xf>
    <xf numFmtId="4" fontId="95" fillId="54" borderId="30" applyNumberFormat="0" applyProtection="0">
      <alignment horizontal="right" vertical="center"/>
    </xf>
    <xf numFmtId="4" fontId="105" fillId="53" borderId="30" applyNumberFormat="0" applyProtection="0">
      <alignment horizontal="right" vertical="center"/>
    </xf>
    <xf numFmtId="4" fontId="105" fillId="55" borderId="30" applyNumberFormat="0" applyProtection="0">
      <alignment horizontal="right" vertical="center"/>
    </xf>
    <xf numFmtId="4" fontId="105" fillId="55" borderId="30" applyNumberFormat="0" applyProtection="0">
      <alignment horizontal="right" vertical="center"/>
    </xf>
    <xf numFmtId="4" fontId="95" fillId="56" borderId="30" applyNumberFormat="0" applyProtection="0">
      <alignment horizontal="right" vertical="center"/>
    </xf>
    <xf numFmtId="4" fontId="105" fillId="55" borderId="30" applyNumberFormat="0" applyProtection="0">
      <alignment horizontal="right" vertical="center"/>
    </xf>
    <xf numFmtId="4" fontId="105" fillId="57" borderId="30" applyNumberFormat="0" applyProtection="0">
      <alignment horizontal="right" vertical="center"/>
    </xf>
    <xf numFmtId="4" fontId="105" fillId="57" borderId="30" applyNumberFormat="0" applyProtection="0">
      <alignment horizontal="right" vertical="center"/>
    </xf>
    <xf numFmtId="4" fontId="95" fillId="58" borderId="30" applyNumberFormat="0" applyProtection="0">
      <alignment horizontal="right" vertical="center"/>
    </xf>
    <xf numFmtId="4" fontId="105" fillId="57" borderId="30" applyNumberFormat="0" applyProtection="0">
      <alignment horizontal="right" vertical="center"/>
    </xf>
    <xf numFmtId="4" fontId="105" fillId="59" borderId="30" applyNumberFormat="0" applyProtection="0">
      <alignment horizontal="right" vertical="center"/>
    </xf>
    <xf numFmtId="4" fontId="105" fillId="59" borderId="30" applyNumberFormat="0" applyProtection="0">
      <alignment horizontal="right" vertical="center"/>
    </xf>
    <xf numFmtId="4" fontId="95" fillId="60" borderId="30" applyNumberFormat="0" applyProtection="0">
      <alignment horizontal="right" vertical="center"/>
    </xf>
    <xf numFmtId="4" fontId="105" fillId="59" borderId="30" applyNumberFormat="0" applyProtection="0">
      <alignment horizontal="right" vertical="center"/>
    </xf>
    <xf numFmtId="4" fontId="105" fillId="61" borderId="30" applyNumberFormat="0" applyProtection="0">
      <alignment horizontal="right" vertical="center"/>
    </xf>
    <xf numFmtId="4" fontId="105" fillId="61" borderId="30" applyNumberFormat="0" applyProtection="0">
      <alignment horizontal="right" vertical="center"/>
    </xf>
    <xf numFmtId="4" fontId="95" fillId="62" borderId="30" applyNumberFormat="0" applyProtection="0">
      <alignment horizontal="right" vertical="center"/>
    </xf>
    <xf numFmtId="4" fontId="105" fillId="61" borderId="30" applyNumberFormat="0" applyProtection="0">
      <alignment horizontal="right" vertical="center"/>
    </xf>
    <xf numFmtId="4" fontId="105" fillId="63" borderId="30" applyNumberFormat="0" applyProtection="0">
      <alignment horizontal="right" vertical="center"/>
    </xf>
    <xf numFmtId="4" fontId="105" fillId="63" borderId="30" applyNumberFormat="0" applyProtection="0">
      <alignment horizontal="right" vertical="center"/>
    </xf>
    <xf numFmtId="4" fontId="95" fillId="64" borderId="30" applyNumberFormat="0" applyProtection="0">
      <alignment horizontal="right" vertical="center"/>
    </xf>
    <xf numFmtId="4" fontId="105" fillId="63" borderId="30" applyNumberFormat="0" applyProtection="0">
      <alignment horizontal="right" vertical="center"/>
    </xf>
    <xf numFmtId="4" fontId="105" fillId="65" borderId="30" applyNumberFormat="0" applyProtection="0">
      <alignment horizontal="right" vertical="center"/>
    </xf>
    <xf numFmtId="4" fontId="105" fillId="65" borderId="30" applyNumberFormat="0" applyProtection="0">
      <alignment horizontal="right" vertical="center"/>
    </xf>
    <xf numFmtId="4" fontId="95" fillId="66" borderId="30" applyNumberFormat="0" applyProtection="0">
      <alignment horizontal="right" vertical="center"/>
    </xf>
    <xf numFmtId="4" fontId="105" fillId="65" borderId="30" applyNumberFormat="0" applyProtection="0">
      <alignment horizontal="right" vertical="center"/>
    </xf>
    <xf numFmtId="4" fontId="105" fillId="67" borderId="30" applyNumberFormat="0" applyProtection="0">
      <alignment horizontal="right" vertical="center"/>
    </xf>
    <xf numFmtId="4" fontId="105" fillId="67" borderId="30" applyNumberFormat="0" applyProtection="0">
      <alignment horizontal="right" vertical="center"/>
    </xf>
    <xf numFmtId="4" fontId="95" fillId="68" borderId="30" applyNumberFormat="0" applyProtection="0">
      <alignment horizontal="right" vertical="center"/>
    </xf>
    <xf numFmtId="4" fontId="105" fillId="67" borderId="30" applyNumberFormat="0" applyProtection="0">
      <alignment horizontal="right" vertical="center"/>
    </xf>
    <xf numFmtId="4" fontId="101" fillId="69" borderId="31" applyNumberFormat="0" applyProtection="0">
      <alignment horizontal="left" vertical="center" indent="1"/>
    </xf>
    <xf numFmtId="4" fontId="101" fillId="70" borderId="31" applyNumberFormat="0" applyProtection="0">
      <alignment horizontal="left" vertical="center" indent="1"/>
    </xf>
    <xf numFmtId="4" fontId="101" fillId="70" borderId="31" applyNumberFormat="0" applyProtection="0">
      <alignment horizontal="left" vertical="center" indent="1"/>
    </xf>
    <xf numFmtId="4" fontId="101" fillId="69" borderId="31" applyNumberFormat="0" applyProtection="0">
      <alignment horizontal="left" vertical="center" indent="1"/>
    </xf>
    <xf numFmtId="4" fontId="101" fillId="71" borderId="0" applyNumberFormat="0" applyProtection="0">
      <alignment horizontal="left" vertical="center" indent="1"/>
    </xf>
    <xf numFmtId="4" fontId="95" fillId="72" borderId="0" applyNumberFormat="0" applyProtection="0">
      <alignment horizontal="left" vertical="center" indent="1"/>
    </xf>
    <xf numFmtId="4" fontId="95" fillId="72" borderId="0" applyNumberFormat="0" applyProtection="0">
      <alignment horizontal="left" vertical="center" indent="1"/>
    </xf>
    <xf numFmtId="4" fontId="101" fillId="71" borderId="0" applyNumberFormat="0" applyProtection="0">
      <alignment horizontal="left" vertical="center" indent="1"/>
    </xf>
    <xf numFmtId="4" fontId="101" fillId="51" borderId="0" applyNumberFormat="0" applyProtection="0">
      <alignment horizontal="left" vertical="center" indent="1"/>
    </xf>
    <xf numFmtId="4" fontId="101" fillId="51" borderId="0" applyNumberFormat="0" applyProtection="0">
      <alignment horizontal="left" vertical="center" indent="1"/>
    </xf>
    <xf numFmtId="4" fontId="101" fillId="51" borderId="0" applyNumberFormat="0" applyProtection="0">
      <alignment horizontal="left" vertical="center" indent="1"/>
    </xf>
    <xf numFmtId="4" fontId="105" fillId="71" borderId="30" applyNumberFormat="0" applyProtection="0">
      <alignment horizontal="right" vertical="center"/>
    </xf>
    <xf numFmtId="4" fontId="105" fillId="52" borderId="30" applyNumberFormat="0" applyProtection="0">
      <alignment horizontal="right" vertical="center"/>
    </xf>
    <xf numFmtId="4" fontId="105" fillId="71" borderId="30" applyNumberFormat="0" applyProtection="0">
      <alignment horizontal="right" vertical="center"/>
    </xf>
    <xf numFmtId="4" fontId="105" fillId="52" borderId="30" applyNumberFormat="0" applyProtection="0">
      <alignment horizontal="right" vertical="center"/>
    </xf>
    <xf numFmtId="4" fontId="105" fillId="71" borderId="30" applyNumberFormat="0" applyProtection="0">
      <alignment horizontal="right" vertical="center"/>
    </xf>
    <xf numFmtId="4" fontId="105" fillId="71" borderId="30" applyNumberFormat="0" applyProtection="0">
      <alignment horizontal="right" vertical="center"/>
    </xf>
    <xf numFmtId="4" fontId="105" fillId="71" borderId="30" applyNumberFormat="0" applyProtection="0">
      <alignment horizontal="right" vertical="center"/>
    </xf>
    <xf numFmtId="4" fontId="95" fillId="71" borderId="0" applyNumberFormat="0" applyProtection="0">
      <alignment horizontal="left" vertical="center" indent="1"/>
    </xf>
    <xf numFmtId="4" fontId="95" fillId="73" borderId="0" applyNumberFormat="0" applyProtection="0">
      <alignment horizontal="left" vertical="center" indent="1"/>
    </xf>
    <xf numFmtId="4" fontId="95" fillId="73" borderId="0" applyNumberFormat="0" applyProtection="0">
      <alignment horizontal="left" vertical="center" indent="1"/>
    </xf>
    <xf numFmtId="4" fontId="95" fillId="71" borderId="0" applyNumberFormat="0" applyProtection="0">
      <alignment horizontal="left" vertical="center" indent="1"/>
    </xf>
    <xf numFmtId="4" fontId="95" fillId="51" borderId="0" applyNumberFormat="0" applyProtection="0">
      <alignment horizontal="left" vertical="center" indent="1"/>
    </xf>
    <xf numFmtId="4" fontId="95" fillId="52" borderId="0" applyNumberFormat="0" applyProtection="0">
      <alignment horizontal="left" vertical="center" indent="1"/>
    </xf>
    <xf numFmtId="4" fontId="95" fillId="52" borderId="0" applyNumberFormat="0" applyProtection="0">
      <alignment horizontal="left" vertical="center" indent="1"/>
    </xf>
    <xf numFmtId="4" fontId="95" fillId="51" borderId="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0" borderId="0"/>
    <xf numFmtId="0" fontId="14" fillId="0" borderId="0"/>
    <xf numFmtId="4" fontId="105" fillId="73" borderId="30" applyNumberFormat="0" applyProtection="0">
      <alignment vertical="center"/>
    </xf>
    <xf numFmtId="4" fontId="105" fillId="73" borderId="30" applyNumberFormat="0" applyProtection="0">
      <alignment vertical="center"/>
    </xf>
    <xf numFmtId="4" fontId="95" fillId="74" borderId="30" applyNumberFormat="0" applyProtection="0">
      <alignment vertical="center"/>
    </xf>
    <xf numFmtId="4" fontId="105" fillId="73" borderId="30" applyNumberFormat="0" applyProtection="0">
      <alignment vertical="center"/>
    </xf>
    <xf numFmtId="4" fontId="106" fillId="73" borderId="30" applyNumberFormat="0" applyProtection="0">
      <alignment vertical="center"/>
    </xf>
    <xf numFmtId="4" fontId="106" fillId="73" borderId="30" applyNumberFormat="0" applyProtection="0">
      <alignment vertical="center"/>
    </xf>
    <xf numFmtId="4" fontId="107" fillId="74" borderId="30" applyNumberFormat="0" applyProtection="0">
      <alignment vertical="center"/>
    </xf>
    <xf numFmtId="4" fontId="106" fillId="73" borderId="30" applyNumberFormat="0" applyProtection="0">
      <alignment vertical="center"/>
    </xf>
    <xf numFmtId="4" fontId="101" fillId="71" borderId="32" applyNumberFormat="0" applyProtection="0">
      <alignment horizontal="left" vertical="center" indent="1"/>
    </xf>
    <xf numFmtId="4" fontId="101" fillId="71" borderId="32" applyNumberFormat="0" applyProtection="0">
      <alignment horizontal="left" vertical="center" indent="1"/>
    </xf>
    <xf numFmtId="4" fontId="95" fillId="74" borderId="30" applyNumberFormat="0" applyProtection="0">
      <alignment horizontal="left" vertical="center" indent="1"/>
    </xf>
    <xf numFmtId="4" fontId="101" fillId="71" borderId="32" applyNumberFormat="0" applyProtection="0">
      <alignment horizontal="left" vertical="center" indent="1"/>
    </xf>
    <xf numFmtId="0" fontId="95" fillId="74" borderId="30" applyNumberFormat="0" applyProtection="0">
      <alignment horizontal="left" vertical="top" indent="1"/>
    </xf>
    <xf numFmtId="0" fontId="14" fillId="0" borderId="0"/>
    <xf numFmtId="0" fontId="14" fillId="0" borderId="0"/>
    <xf numFmtId="4" fontId="105" fillId="73" borderId="30" applyNumberFormat="0" applyProtection="0">
      <alignment horizontal="right" vertical="center"/>
    </xf>
    <xf numFmtId="4" fontId="105" fillId="73" borderId="30" applyNumberFormat="0" applyProtection="0">
      <alignment horizontal="right" vertical="center"/>
    </xf>
    <xf numFmtId="4" fontId="105" fillId="73" borderId="30" applyNumberFormat="0" applyProtection="0">
      <alignment horizontal="right" vertical="center"/>
    </xf>
    <xf numFmtId="4" fontId="105" fillId="73" borderId="30" applyNumberFormat="0" applyProtection="0">
      <alignment horizontal="right" vertical="center"/>
    </xf>
    <xf numFmtId="4" fontId="105" fillId="73" borderId="30" applyNumberFormat="0" applyProtection="0">
      <alignment horizontal="right" vertical="center"/>
    </xf>
    <xf numFmtId="4" fontId="105" fillId="73" borderId="30" applyNumberFormat="0" applyProtection="0">
      <alignment horizontal="right" vertical="center"/>
    </xf>
    <xf numFmtId="4" fontId="106" fillId="44" borderId="30" applyNumberFormat="0" applyProtection="0">
      <alignment horizontal="right" vertical="center"/>
    </xf>
    <xf numFmtId="4" fontId="106" fillId="73" borderId="30" applyNumberFormat="0" applyProtection="0">
      <alignment horizontal="right" vertical="center"/>
    </xf>
    <xf numFmtId="4" fontId="107" fillId="72" borderId="30" applyNumberFormat="0" applyProtection="0">
      <alignment horizontal="right" vertical="center"/>
    </xf>
    <xf numFmtId="4" fontId="106" fillId="73" borderId="30" applyNumberFormat="0" applyProtection="0">
      <alignment horizontal="right" vertical="center"/>
    </xf>
    <xf numFmtId="4" fontId="101" fillId="71" borderId="30" applyNumberFormat="0" applyProtection="0">
      <alignment horizontal="left" vertical="center" indent="1"/>
    </xf>
    <xf numFmtId="4" fontId="101" fillId="71" borderId="30" applyNumberFormat="0" applyProtection="0">
      <alignment horizontal="left" vertical="center" indent="1"/>
    </xf>
    <xf numFmtId="4" fontId="101" fillId="71" borderId="30" applyNumberFormat="0" applyProtection="0">
      <alignment horizontal="left" vertical="center" indent="1"/>
    </xf>
    <xf numFmtId="4" fontId="101" fillId="71" borderId="30" applyNumberFormat="0" applyProtection="0">
      <alignment horizontal="left" vertical="center" indent="1"/>
    </xf>
    <xf numFmtId="4" fontId="101" fillId="52" borderId="30" applyNumberFormat="0" applyProtection="0">
      <alignment horizontal="left" vertical="center" indent="1"/>
    </xf>
    <xf numFmtId="4" fontId="101" fillId="52" borderId="30" applyNumberFormat="0" applyProtection="0">
      <alignment horizontal="left" vertical="center" indent="1"/>
    </xf>
    <xf numFmtId="4" fontId="101" fillId="71" borderId="30" applyNumberFormat="0" applyProtection="0">
      <alignment horizontal="left" vertical="center" indent="1"/>
    </xf>
    <xf numFmtId="0" fontId="95" fillId="52" borderId="30" applyNumberFormat="0" applyProtection="0">
      <alignment horizontal="left" vertical="top" indent="1"/>
    </xf>
    <xf numFmtId="0" fontId="95" fillId="52" borderId="30" applyNumberFormat="0" applyProtection="0">
      <alignment horizontal="left" vertical="top" indent="1"/>
    </xf>
    <xf numFmtId="0" fontId="14" fillId="0" borderId="0"/>
    <xf numFmtId="4" fontId="108" fillId="52" borderId="32" applyNumberFormat="0" applyProtection="0">
      <alignment horizontal="left" vertical="center" indent="1"/>
    </xf>
    <xf numFmtId="4" fontId="108" fillId="52" borderId="32" applyNumberFormat="0" applyProtection="0">
      <alignment horizontal="left" vertical="center" indent="1"/>
    </xf>
    <xf numFmtId="4" fontId="108" fillId="75" borderId="0" applyNumberFormat="0" applyProtection="0">
      <alignment horizontal="left" vertical="center" indent="1"/>
    </xf>
    <xf numFmtId="4" fontId="108" fillId="52" borderId="32" applyNumberFormat="0" applyProtection="0">
      <alignment horizontal="left" vertical="center" indent="1"/>
    </xf>
    <xf numFmtId="4" fontId="109" fillId="73" borderId="30" applyNumberFormat="0" applyProtection="0">
      <alignment horizontal="right" vertical="center"/>
    </xf>
    <xf numFmtId="4" fontId="109" fillId="73" borderId="30" applyNumberFormat="0" applyProtection="0">
      <alignment horizontal="right" vertical="center"/>
    </xf>
    <xf numFmtId="4" fontId="110" fillId="72" borderId="30" applyNumberFormat="0" applyProtection="0">
      <alignment horizontal="right" vertical="center"/>
    </xf>
    <xf numFmtId="4" fontId="109" fillId="73" borderId="30" applyNumberFormat="0" applyProtection="0">
      <alignment horizontal="right" vertical="center"/>
    </xf>
    <xf numFmtId="0" fontId="3" fillId="0" borderId="0"/>
    <xf numFmtId="0" fontId="111" fillId="0" borderId="0"/>
    <xf numFmtId="0" fontId="14" fillId="0" borderId="0"/>
    <xf numFmtId="0" fontId="42" fillId="0" borderId="0"/>
    <xf numFmtId="0" fontId="42" fillId="0" borderId="0"/>
    <xf numFmtId="0" fontId="42" fillId="0" borderId="0"/>
    <xf numFmtId="0" fontId="42" fillId="0" borderId="0"/>
    <xf numFmtId="0" fontId="41" fillId="0" borderId="0"/>
    <xf numFmtId="0" fontId="42" fillId="0" borderId="0"/>
    <xf numFmtId="0" fontId="42" fillId="0" borderId="0"/>
    <xf numFmtId="0" fontId="42" fillId="0" borderId="0"/>
    <xf numFmtId="0" fontId="42" fillId="0" borderId="0"/>
    <xf numFmtId="0" fontId="42" fillId="0" borderId="0"/>
    <xf numFmtId="0" fontId="3" fillId="0" borderId="0"/>
    <xf numFmtId="0" fontId="14" fillId="0" borderId="0"/>
    <xf numFmtId="0" fontId="14" fillId="0" borderId="0"/>
    <xf numFmtId="0" fontId="98" fillId="0" borderId="0"/>
    <xf numFmtId="0" fontId="42" fillId="0" borderId="0"/>
    <xf numFmtId="0" fontId="42" fillId="0" borderId="0"/>
    <xf numFmtId="0" fontId="42" fillId="0" borderId="0"/>
    <xf numFmtId="0" fontId="42" fillId="0" borderId="0"/>
    <xf numFmtId="0" fontId="14" fillId="0" borderId="0"/>
    <xf numFmtId="0" fontId="42" fillId="0" borderId="0"/>
    <xf numFmtId="0" fontId="42" fillId="0" borderId="0"/>
    <xf numFmtId="0" fontId="3" fillId="0" borderId="0"/>
    <xf numFmtId="0" fontId="14" fillId="0" borderId="0"/>
    <xf numFmtId="0" fontId="14" fillId="0" borderId="0"/>
    <xf numFmtId="0" fontId="14" fillId="0" borderId="0"/>
    <xf numFmtId="0" fontId="14" fillId="0" borderId="0"/>
    <xf numFmtId="0" fontId="14" fillId="0" borderId="0"/>
    <xf numFmtId="0" fontId="42" fillId="0" borderId="0"/>
    <xf numFmtId="0" fontId="3" fillId="0" borderId="0"/>
    <xf numFmtId="0" fontId="42" fillId="0" borderId="0"/>
    <xf numFmtId="0" fontId="3" fillId="0" borderId="0"/>
    <xf numFmtId="0" fontId="42" fillId="0" borderId="0"/>
    <xf numFmtId="0" fontId="42" fillId="0" borderId="0"/>
    <xf numFmtId="0" fontId="3" fillId="0" borderId="0"/>
    <xf numFmtId="0" fontId="3" fillId="0" borderId="0"/>
    <xf numFmtId="0" fontId="27" fillId="0" borderId="0"/>
    <xf numFmtId="0" fontId="78" fillId="76" borderId="0">
      <alignment horizontal="left"/>
    </xf>
    <xf numFmtId="0" fontId="87" fillId="76" borderId="0">
      <alignment horizontal="left" wrapText="1"/>
    </xf>
    <xf numFmtId="0" fontId="78" fillId="76" borderId="0">
      <alignment horizontal="left"/>
    </xf>
    <xf numFmtId="0" fontId="112" fillId="0" borderId="33"/>
    <xf numFmtId="0" fontId="113" fillId="0" borderId="0"/>
    <xf numFmtId="0" fontId="64" fillId="40" borderId="0">
      <alignment horizontal="center"/>
    </xf>
    <xf numFmtId="0" fontId="114" fillId="0" borderId="0" applyNumberFormat="0" applyFill="0" applyBorder="0" applyAlignment="0" applyProtection="0"/>
    <xf numFmtId="0" fontId="79" fillId="40" borderId="0"/>
    <xf numFmtId="0" fontId="78" fillId="76" borderId="0">
      <alignment horizontal="left"/>
    </xf>
    <xf numFmtId="0" fontId="14" fillId="0" borderId="1" applyNumberFormat="0" applyFill="0" applyAlignment="0" applyProtection="0"/>
    <xf numFmtId="0" fontId="9" fillId="0" borderId="10" applyNumberFormat="0" applyFill="0" applyAlignment="0" applyProtection="0"/>
    <xf numFmtId="0" fontId="14" fillId="0" borderId="34" applyNumberFormat="0" applyFill="0" applyAlignment="0" applyProtection="0"/>
    <xf numFmtId="0" fontId="14" fillId="0" borderId="1" applyNumberFormat="0" applyFill="0" applyAlignment="0" applyProtection="0"/>
    <xf numFmtId="41" fontId="27" fillId="0" borderId="0" applyFont="0" applyFill="0" applyBorder="0" applyAlignment="0" applyProtection="0"/>
    <xf numFmtId="43" fontId="27" fillId="0" borderId="0" applyFont="0" applyFill="0" applyBorder="0" applyAlignment="0" applyProtection="0"/>
    <xf numFmtId="0" fontId="115" fillId="7" borderId="6" applyNumberFormat="0" applyAlignment="0" applyProtection="0"/>
    <xf numFmtId="0" fontId="48" fillId="7" borderId="6" applyNumberFormat="0" applyAlignment="0" applyProtection="0"/>
    <xf numFmtId="176" fontId="27"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177" fontId="14" fillId="0" borderId="0" applyFill="0" applyBorder="0" applyAlignment="0" applyProtection="0"/>
    <xf numFmtId="2" fontId="14" fillId="0" borderId="0" applyFill="0" applyBorder="0" applyAlignment="0" applyProtection="0"/>
    <xf numFmtId="0" fontId="116" fillId="0" borderId="0" applyNumberFormat="0" applyFill="0" applyBorder="0" applyAlignment="0" applyProtection="0"/>
    <xf numFmtId="0" fontId="53" fillId="0" borderId="0" applyNumberFormat="0" applyFill="0" applyBorder="0" applyAlignment="0" applyProtection="0"/>
    <xf numFmtId="0" fontId="33" fillId="0" borderId="0" applyNumberFormat="0" applyFill="0" applyBorder="0" applyAlignment="0" applyProtection="0"/>
    <xf numFmtId="0" fontId="52" fillId="0" borderId="0" applyNumberFormat="0" applyFill="0" applyBorder="0" applyAlignment="0" applyProtection="0"/>
    <xf numFmtId="176" fontId="27" fillId="0" borderId="0" applyFont="0" applyFill="0" applyBorder="0" applyAlignment="0" applyProtection="0"/>
    <xf numFmtId="178" fontId="27" fillId="0" borderId="0" applyFont="0" applyFill="0" applyBorder="0" applyAlignment="0" applyProtection="0"/>
    <xf numFmtId="0" fontId="117" fillId="0" borderId="0" applyNumberFormat="0" applyFill="0" applyBorder="0" applyAlignment="0" applyProtection="0"/>
    <xf numFmtId="9" fontId="39" fillId="0" borderId="0" applyFont="0" applyFill="0" applyBorder="0" applyAlignment="0" applyProtection="0"/>
    <xf numFmtId="0" fontId="1" fillId="0" borderId="0"/>
    <xf numFmtId="0" fontId="119" fillId="0" borderId="0"/>
    <xf numFmtId="175"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3" fillId="0" borderId="0" applyProtection="0"/>
    <xf numFmtId="0" fontId="13" fillId="0" borderId="0" applyProtection="0"/>
    <xf numFmtId="14" fontId="14" fillId="0" borderId="0" applyFont="0" applyFill="0" applyBorder="0" applyAlignment="0" applyProtection="0"/>
    <xf numFmtId="2" fontId="13" fillId="0" borderId="0" applyProtection="0"/>
    <xf numFmtId="2" fontId="13" fillId="0" borderId="0" applyProtection="0"/>
    <xf numFmtId="0" fontId="15" fillId="0" borderId="0" applyProtection="0"/>
    <xf numFmtId="0" fontId="16" fillId="0" borderId="0" applyProtection="0"/>
    <xf numFmtId="3" fontId="14"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19" fillId="0" borderId="0"/>
    <xf numFmtId="0" fontId="1" fillId="0" borderId="0"/>
    <xf numFmtId="0" fontId="14" fillId="0" borderId="0"/>
    <xf numFmtId="0" fontId="14" fillId="0" borderId="0"/>
    <xf numFmtId="0" fontId="1" fillId="0" borderId="0"/>
    <xf numFmtId="0" fontId="14" fillId="0" borderId="0"/>
    <xf numFmtId="0" fontId="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3" fillId="0" borderId="0">
      <alignment vertical="top"/>
    </xf>
    <xf numFmtId="0" fontId="1" fillId="0" borderId="0"/>
    <xf numFmtId="0" fontId="14" fillId="0" borderId="0"/>
    <xf numFmtId="0" fontId="14" fillId="0" borderId="0"/>
    <xf numFmtId="0" fontId="1" fillId="0" borderId="0"/>
    <xf numFmtId="0" fontId="13" fillId="0" borderId="0">
      <alignment vertical="top"/>
    </xf>
    <xf numFmtId="0" fontId="1" fillId="0" borderId="0"/>
    <xf numFmtId="0" fontId="13" fillId="0" borderId="0">
      <alignment vertical="top"/>
    </xf>
    <xf numFmtId="0" fontId="1" fillId="0" borderId="0"/>
    <xf numFmtId="0" fontId="1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3" fillId="0" borderId="0" applyProtection="0"/>
    <xf numFmtId="10" fontId="13" fillId="0" borderId="0" applyProtection="0"/>
    <xf numFmtId="9" fontId="14" fillId="0" borderId="0" applyFont="0" applyFill="0" applyBorder="0" applyAlignment="0" applyProtection="0"/>
    <xf numFmtId="10" fontId="13" fillId="0" borderId="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21" fillId="0" borderId="0"/>
    <xf numFmtId="183" fontId="122" fillId="0" borderId="0"/>
    <xf numFmtId="0" fontId="14" fillId="0" borderId="35" applyNumberFormat="0" applyFont="0" applyBorder="0" applyAlignment="0" applyProtection="0"/>
    <xf numFmtId="0" fontId="13" fillId="0" borderId="36" applyProtection="0"/>
    <xf numFmtId="0" fontId="13" fillId="0" borderId="36" applyProtection="0"/>
    <xf numFmtId="0" fontId="13" fillId="0" borderId="36"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2" fontId="14" fillId="0" borderId="0" applyFont="0" applyFill="0" applyBorder="0" applyAlignment="0" applyProtection="0"/>
    <xf numFmtId="169" fontId="14" fillId="42" borderId="0"/>
    <xf numFmtId="169" fontId="14" fillId="42" borderId="0"/>
    <xf numFmtId="0" fontId="123" fillId="0" borderId="0" applyNumberFormat="0" applyFill="0" applyBorder="0" applyAlignment="0" applyProtection="0"/>
    <xf numFmtId="0" fontId="119"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cellStyleXfs>
  <cellXfs count="293">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4" fontId="6" fillId="0" borderId="0" xfId="0" applyNumberFormat="1" applyFont="1"/>
    <xf numFmtId="0" fontId="7" fillId="0" borderId="0" xfId="0" applyFont="1" applyFill="1"/>
    <xf numFmtId="0" fontId="7" fillId="0" borderId="0" xfId="0" applyFont="1" applyAlignment="1">
      <alignment horizontal="left"/>
    </xf>
    <xf numFmtId="0" fontId="7" fillId="0" borderId="0" xfId="0" applyFont="1" applyFill="1" applyBorder="1" applyAlignment="1"/>
    <xf numFmtId="0" fontId="7" fillId="0" borderId="0" xfId="0" applyFont="1" applyFill="1" applyBorder="1"/>
    <xf numFmtId="1" fontId="7" fillId="0" borderId="0" xfId="0" applyNumberFormat="1" applyFont="1" applyFill="1" applyBorder="1" applyAlignment="1">
      <alignment horizontal="right"/>
    </xf>
    <xf numFmtId="165" fontId="6" fillId="0" borderId="0" xfId="0" applyNumberFormat="1" applyFont="1"/>
    <xf numFmtId="0" fontId="4" fillId="2" borderId="0" xfId="0" applyFont="1" applyFill="1"/>
    <xf numFmtId="0" fontId="6" fillId="2" borderId="0" xfId="0" applyFont="1" applyFill="1"/>
    <xf numFmtId="0" fontId="5" fillId="2" borderId="0" xfId="0" applyFont="1" applyFill="1"/>
    <xf numFmtId="0" fontId="7" fillId="2" borderId="0" xfId="0" applyFont="1" applyFill="1"/>
    <xf numFmtId="0" fontId="8" fillId="0" borderId="0" xfId="0" applyFont="1"/>
    <xf numFmtId="164" fontId="6" fillId="0" borderId="0" xfId="0" applyNumberFormat="1" applyFont="1" applyFill="1" applyBorder="1"/>
    <xf numFmtId="0" fontId="10" fillId="0" borderId="0" xfId="0" applyFont="1"/>
    <xf numFmtId="0" fontId="7" fillId="0" borderId="0" xfId="1" applyFont="1" applyAlignment="1">
      <alignment wrapText="1"/>
    </xf>
    <xf numFmtId="0" fontId="6" fillId="0" borderId="0" xfId="1" applyFont="1" applyAlignment="1">
      <alignment wrapText="1"/>
    </xf>
    <xf numFmtId="0" fontId="4" fillId="0" borderId="0" xfId="0" applyFont="1" applyFill="1"/>
    <xf numFmtId="0" fontId="4" fillId="0" borderId="0" xfId="1" applyFont="1"/>
    <xf numFmtId="0" fontId="4" fillId="0" borderId="0" xfId="1" applyFont="1" applyAlignment="1">
      <alignment horizontal="right"/>
    </xf>
    <xf numFmtId="0" fontId="4" fillId="0" borderId="0" xfId="1" applyFont="1" applyAlignment="1">
      <alignment horizontal="left"/>
    </xf>
    <xf numFmtId="0" fontId="12" fillId="0" borderId="0" xfId="1" applyFont="1" applyAlignment="1">
      <alignment horizontal="left"/>
    </xf>
    <xf numFmtId="0" fontId="6" fillId="2" borderId="0" xfId="1" applyFont="1" applyFill="1"/>
    <xf numFmtId="164" fontId="6" fillId="2" borderId="0" xfId="1" applyNumberFormat="1" applyFont="1" applyFill="1"/>
    <xf numFmtId="0" fontId="6" fillId="2" borderId="0" xfId="1" applyFont="1" applyFill="1" applyAlignment="1">
      <alignment horizontal="right"/>
    </xf>
    <xf numFmtId="0" fontId="6" fillId="2" borderId="0" xfId="1" applyFont="1" applyFill="1" applyAlignment="1">
      <alignment horizontal="left"/>
    </xf>
    <xf numFmtId="0" fontId="5" fillId="2" borderId="0" xfId="1" applyFont="1" applyFill="1"/>
    <xf numFmtId="0" fontId="6" fillId="0" borderId="0" xfId="1" applyFont="1" applyFill="1"/>
    <xf numFmtId="0" fontId="18" fillId="0" borderId="0" xfId="0" applyFont="1"/>
    <xf numFmtId="0" fontId="9" fillId="0" borderId="0" xfId="0" applyFont="1"/>
    <xf numFmtId="0" fontId="9" fillId="0" borderId="0" xfId="0" applyFont="1" applyFill="1" applyBorder="1" applyAlignment="1">
      <alignment vertical="center" wrapText="1"/>
    </xf>
    <xf numFmtId="167" fontId="7" fillId="0" borderId="0" xfId="0" applyNumberFormat="1" applyFont="1" applyFill="1"/>
    <xf numFmtId="167" fontId="4" fillId="0" borderId="0" xfId="0" applyNumberFormat="1" applyFont="1" applyFill="1"/>
    <xf numFmtId="0" fontId="18" fillId="0" borderId="0" xfId="0" applyFont="1" applyAlignment="1">
      <alignment horizontal="left"/>
    </xf>
    <xf numFmtId="0" fontId="9" fillId="0" borderId="0" xfId="0" applyFont="1" applyBorder="1" applyAlignment="1">
      <alignment horizontal="left" vertical="center" wrapText="1"/>
    </xf>
    <xf numFmtId="0" fontId="5" fillId="0" borderId="0" xfId="0" applyFont="1" applyAlignment="1">
      <alignment horizontal="left"/>
    </xf>
    <xf numFmtId="9" fontId="5" fillId="0" borderId="0" xfId="0" applyNumberFormat="1" applyFont="1" applyAlignment="1"/>
    <xf numFmtId="49" fontId="5" fillId="0" borderId="0" xfId="0" applyNumberFormat="1" applyFont="1" applyAlignment="1">
      <alignment vertical="top" wrapText="1"/>
    </xf>
    <xf numFmtId="9" fontId="5" fillId="0" borderId="0" xfId="0" applyNumberFormat="1" applyFont="1" applyAlignment="1">
      <alignment vertical="top" wrapText="1"/>
    </xf>
    <xf numFmtId="0" fontId="9" fillId="0" borderId="0" xfId="0" applyFont="1" applyAlignment="1">
      <alignment vertical="center"/>
    </xf>
    <xf numFmtId="0" fontId="19" fillId="0" borderId="0" xfId="0" quotePrefix="1" applyFont="1"/>
    <xf numFmtId="167" fontId="19" fillId="0" borderId="0" xfId="0" applyNumberFormat="1" applyFont="1"/>
    <xf numFmtId="0" fontId="19" fillId="0" borderId="0" xfId="0" applyFont="1"/>
    <xf numFmtId="0" fontId="20" fillId="0" borderId="0" xfId="0" applyFont="1"/>
    <xf numFmtId="167" fontId="20" fillId="0" borderId="0" xfId="0" applyNumberFormat="1" applyFont="1"/>
    <xf numFmtId="165" fontId="4" fillId="0" borderId="0" xfId="0" applyNumberFormat="1" applyFont="1"/>
    <xf numFmtId="165" fontId="6" fillId="2" borderId="0" xfId="0" applyNumberFormat="1" applyFont="1" applyFill="1"/>
    <xf numFmtId="165" fontId="4" fillId="2" borderId="0" xfId="0" applyNumberFormat="1" applyFont="1" applyFill="1"/>
    <xf numFmtId="165" fontId="7" fillId="0" borderId="0" xfId="0" applyNumberFormat="1" applyFont="1"/>
    <xf numFmtId="165" fontId="6" fillId="2" borderId="0" xfId="1" applyNumberFormat="1" applyFont="1" applyFill="1"/>
    <xf numFmtId="165" fontId="7" fillId="0" borderId="0" xfId="0" applyNumberFormat="1" applyFont="1" applyFill="1" applyBorder="1"/>
    <xf numFmtId="165" fontId="5" fillId="2" borderId="0" xfId="1" applyNumberFormat="1" applyFont="1" applyFill="1"/>
    <xf numFmtId="164" fontId="4" fillId="0" borderId="0" xfId="0" applyNumberFormat="1" applyFont="1"/>
    <xf numFmtId="164" fontId="7" fillId="0" borderId="0" xfId="0" applyNumberFormat="1" applyFont="1" applyFill="1"/>
    <xf numFmtId="0" fontId="4" fillId="0" borderId="0" xfId="0" applyFont="1" applyAlignment="1">
      <alignment horizontal="right"/>
    </xf>
    <xf numFmtId="0" fontId="7" fillId="0" borderId="0" xfId="0" applyFont="1" applyFill="1" applyAlignment="1">
      <alignment horizontal="right"/>
    </xf>
    <xf numFmtId="167" fontId="7" fillId="0" borderId="0" xfId="0" applyNumberFormat="1" applyFont="1"/>
    <xf numFmtId="169" fontId="7" fillId="0" borderId="0" xfId="0" applyNumberFormat="1" applyFont="1"/>
    <xf numFmtId="167" fontId="4" fillId="0" borderId="0" xfId="0" applyNumberFormat="1" applyFont="1"/>
    <xf numFmtId="0" fontId="6" fillId="0" borderId="0" xfId="0" applyFont="1" applyAlignment="1">
      <alignment horizontal="left" vertical="top"/>
    </xf>
    <xf numFmtId="0" fontId="5" fillId="0" borderId="0" xfId="0" quotePrefix="1" applyFont="1"/>
    <xf numFmtId="0" fontId="6" fillId="0" borderId="0" xfId="0" applyFont="1" applyAlignment="1">
      <alignment horizontal="left"/>
    </xf>
    <xf numFmtId="0" fontId="5" fillId="0" borderId="0" xfId="0" applyFont="1" applyAlignment="1">
      <alignment vertical="top" wrapText="1"/>
    </xf>
    <xf numFmtId="0" fontId="18" fillId="0" borderId="0" xfId="0" applyFont="1" applyAlignment="1">
      <alignment wrapText="1"/>
    </xf>
    <xf numFmtId="167" fontId="9" fillId="0" borderId="0" xfId="0" applyNumberFormat="1" applyFont="1" applyFill="1" applyBorder="1" applyAlignment="1">
      <alignment horizontal="right" vertical="center" wrapText="1"/>
    </xf>
    <xf numFmtId="0" fontId="6" fillId="0" borderId="0" xfId="0" applyFont="1" applyFill="1"/>
    <xf numFmtId="0" fontId="12" fillId="0" borderId="0" xfId="0" applyFont="1"/>
    <xf numFmtId="0" fontId="23" fillId="0" borderId="0" xfId="0" applyFont="1" applyAlignment="1">
      <alignment horizontal="left"/>
    </xf>
    <xf numFmtId="167" fontId="24" fillId="0" borderId="0" xfId="0" applyNumberFormat="1" applyFont="1"/>
    <xf numFmtId="0" fontId="24" fillId="0" borderId="0" xfId="0" applyFont="1"/>
    <xf numFmtId="0" fontId="23" fillId="0" borderId="0" xfId="0" applyFont="1"/>
    <xf numFmtId="0" fontId="25" fillId="0" borderId="0" xfId="0" applyFont="1"/>
    <xf numFmtId="167" fontId="8" fillId="0" borderId="0" xfId="0" applyNumberFormat="1" applyFont="1"/>
    <xf numFmtId="167" fontId="25" fillId="0" borderId="0" xfId="0" applyNumberFormat="1" applyFont="1"/>
    <xf numFmtId="169" fontId="8" fillId="0" borderId="0" xfId="0" applyNumberFormat="1" applyFont="1"/>
    <xf numFmtId="169" fontId="25" fillId="0" borderId="0" xfId="0" applyNumberFormat="1" applyFont="1"/>
    <xf numFmtId="169" fontId="8" fillId="0" borderId="0" xfId="0" quotePrefix="1" applyNumberFormat="1" applyFont="1" applyAlignment="1">
      <alignment horizontal="right"/>
    </xf>
    <xf numFmtId="0" fontId="5" fillId="0" borderId="0" xfId="0" applyFont="1" applyFill="1" applyBorder="1" applyAlignment="1">
      <alignment horizontal="left"/>
    </xf>
    <xf numFmtId="0" fontId="4" fillId="2" borderId="0" xfId="1" applyFont="1" applyFill="1" applyAlignment="1">
      <alignment horizontal="right"/>
    </xf>
    <xf numFmtId="0" fontId="4" fillId="2" borderId="0" xfId="1" applyFont="1" applyFill="1"/>
    <xf numFmtId="0" fontId="7" fillId="2" borderId="0" xfId="1" applyFont="1" applyFill="1"/>
    <xf numFmtId="0" fontId="7" fillId="0" borderId="0" xfId="1" applyFont="1"/>
    <xf numFmtId="164" fontId="7" fillId="0" borderId="0" xfId="1" applyNumberFormat="1" applyFont="1"/>
    <xf numFmtId="0" fontId="8" fillId="0" borderId="0" xfId="0" applyFont="1"/>
    <xf numFmtId="165" fontId="7" fillId="0" borderId="0" xfId="0" applyNumberFormat="1" applyFont="1" applyFill="1"/>
    <xf numFmtId="165" fontId="4" fillId="0" borderId="0" xfId="0" applyNumberFormat="1" applyFont="1" applyFill="1"/>
    <xf numFmtId="0" fontId="3" fillId="0" borderId="0" xfId="0" applyFont="1"/>
    <xf numFmtId="2" fontId="9" fillId="0" borderId="0" xfId="0" applyNumberFormat="1" applyFont="1"/>
    <xf numFmtId="0" fontId="24" fillId="0" borderId="0" xfId="0" quotePrefix="1" applyFont="1"/>
    <xf numFmtId="2" fontId="24" fillId="0" borderId="0" xfId="0" applyNumberFormat="1" applyFont="1"/>
    <xf numFmtId="0" fontId="5" fillId="0" borderId="0" xfId="0" applyFont="1" applyAlignment="1">
      <alignment wrapText="1"/>
    </xf>
    <xf numFmtId="0" fontId="5" fillId="0" borderId="0" xfId="0" applyFont="1" applyAlignment="1"/>
    <xf numFmtId="0" fontId="3" fillId="0" borderId="0" xfId="0" applyFont="1" applyAlignment="1"/>
    <xf numFmtId="0" fontId="3" fillId="0" borderId="0" xfId="0" applyFont="1" applyAlignment="1">
      <alignment wrapText="1"/>
    </xf>
    <xf numFmtId="167" fontId="3" fillId="0" borderId="0" xfId="0" applyNumberFormat="1" applyFont="1"/>
    <xf numFmtId="2" fontId="3" fillId="0" borderId="0" xfId="0" applyNumberFormat="1" applyFont="1"/>
    <xf numFmtId="0" fontId="34" fillId="0" borderId="0" xfId="0" applyFont="1"/>
    <xf numFmtId="0" fontId="7" fillId="0" borderId="0" xfId="1" applyFont="1" applyFill="1"/>
    <xf numFmtId="0" fontId="7" fillId="0" borderId="0" xfId="0" applyFont="1" applyFill="1" applyAlignment="1">
      <alignment horizontal="left"/>
    </xf>
    <xf numFmtId="0" fontId="7" fillId="0" borderId="0" xfId="0" applyFont="1" applyFill="1" applyBorder="1" applyAlignment="1">
      <alignment horizontal="left"/>
    </xf>
    <xf numFmtId="164" fontId="7" fillId="0" borderId="0" xfId="1" applyNumberFormat="1" applyFont="1" applyFill="1"/>
    <xf numFmtId="169" fontId="7" fillId="0" borderId="0" xfId="1" applyNumberFormat="1" applyFont="1" applyFill="1"/>
    <xf numFmtId="164" fontId="6" fillId="0" borderId="0" xfId="0" applyNumberFormat="1" applyFont="1" applyFill="1"/>
    <xf numFmtId="165" fontId="6" fillId="0" borderId="0" xfId="0" applyNumberFormat="1" applyFont="1" applyFill="1"/>
    <xf numFmtId="0" fontId="6" fillId="0" borderId="0" xfId="0" applyFont="1" applyFill="1" applyAlignment="1">
      <alignment horizontal="right"/>
    </xf>
    <xf numFmtId="0" fontId="7" fillId="0" borderId="0" xfId="1" applyFont="1" applyFill="1" applyAlignment="1">
      <alignment horizontal="right"/>
    </xf>
    <xf numFmtId="0" fontId="33" fillId="0" borderId="0" xfId="0" applyFont="1"/>
    <xf numFmtId="169" fontId="4" fillId="0" borderId="0" xfId="0" applyNumberFormat="1" applyFont="1"/>
    <xf numFmtId="0" fontId="21" fillId="0" borderId="0" xfId="1" applyFont="1" applyFill="1" applyAlignment="1">
      <alignment horizontal="left"/>
    </xf>
    <xf numFmtId="0" fontId="21" fillId="0" borderId="0" xfId="1" applyFont="1" applyFill="1"/>
    <xf numFmtId="165" fontId="21" fillId="0" borderId="0" xfId="17" applyNumberFormat="1" applyFont="1" applyFill="1"/>
    <xf numFmtId="0" fontId="21" fillId="0" borderId="0" xfId="1" applyFont="1" applyFill="1" applyAlignment="1">
      <alignment horizontal="right"/>
    </xf>
    <xf numFmtId="165" fontId="21" fillId="0" borderId="0" xfId="1" applyNumberFormat="1" applyFont="1" applyFill="1"/>
    <xf numFmtId="165" fontId="21" fillId="0" borderId="0" xfId="3" applyNumberFormat="1" applyFont="1" applyFill="1"/>
    <xf numFmtId="0" fontId="37" fillId="0" borderId="0" xfId="0" applyFont="1"/>
    <xf numFmtId="0" fontId="7" fillId="0" borderId="0" xfId="1" applyFont="1" applyFill="1" applyAlignment="1">
      <alignment horizontal="left"/>
    </xf>
    <xf numFmtId="165" fontId="7" fillId="0" borderId="0" xfId="0" applyNumberFormat="1" applyFont="1" applyBorder="1"/>
    <xf numFmtId="164" fontId="4" fillId="0" borderId="0" xfId="0" applyNumberFormat="1" applyFont="1" applyFill="1"/>
    <xf numFmtId="0" fontId="7" fillId="0" borderId="0" xfId="0" applyFont="1" applyFill="1" applyBorder="1" applyAlignment="1">
      <alignment horizontal="left" vertical="center" wrapText="1"/>
    </xf>
    <xf numFmtId="165"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6" fillId="0" borderId="0" xfId="0" applyFont="1" applyFill="1" applyBorder="1" applyAlignment="1">
      <alignment horizontal="left" vertical="center" wrapText="1"/>
    </xf>
    <xf numFmtId="0" fontId="7" fillId="0" borderId="0" xfId="12" applyFont="1" applyFill="1" applyBorder="1"/>
    <xf numFmtId="43" fontId="18" fillId="0" borderId="0" xfId="31" applyFont="1"/>
    <xf numFmtId="0" fontId="7" fillId="0" borderId="0" xfId="1" quotePrefix="1" applyFont="1" applyFill="1" applyAlignment="1">
      <alignment horizontal="left"/>
    </xf>
    <xf numFmtId="1" fontId="7" fillId="0" borderId="0" xfId="1" applyNumberFormat="1" applyFont="1" applyFill="1"/>
    <xf numFmtId="0" fontId="40" fillId="0" borderId="0" xfId="0" applyFont="1" applyFill="1" applyAlignment="1">
      <alignment horizontal="left"/>
    </xf>
    <xf numFmtId="0" fontId="40" fillId="0" borderId="0" xfId="0" applyFont="1" applyFill="1"/>
    <xf numFmtId="0" fontId="40" fillId="0" borderId="0" xfId="0" applyFont="1" applyFill="1" applyBorder="1" applyAlignment="1">
      <alignment horizontal="left"/>
    </xf>
    <xf numFmtId="1" fontId="7" fillId="0" borderId="0" xfId="0" applyNumberFormat="1" applyFont="1"/>
    <xf numFmtId="169" fontId="5" fillId="0" borderId="0" xfId="0" applyNumberFormat="1" applyFont="1"/>
    <xf numFmtId="169" fontId="21" fillId="0" borderId="0" xfId="1" applyNumberFormat="1" applyFont="1" applyFill="1"/>
    <xf numFmtId="0" fontId="11" fillId="0" borderId="0" xfId="1" applyFont="1"/>
    <xf numFmtId="0" fontId="3" fillId="0" borderId="0" xfId="0" applyFont="1" applyAlignment="1">
      <alignment horizontal="left"/>
    </xf>
    <xf numFmtId="1" fontId="21" fillId="0" borderId="0" xfId="1" applyNumberFormat="1" applyFont="1" applyFill="1"/>
    <xf numFmtId="0" fontId="9" fillId="0" borderId="0" xfId="0" applyFont="1" applyAlignment="1">
      <alignment horizontal="left"/>
    </xf>
    <xf numFmtId="0" fontId="11" fillId="0" borderId="0" xfId="1"/>
    <xf numFmtId="0" fontId="9" fillId="0" borderId="0" xfId="0" applyFont="1" applyAlignment="1">
      <alignment horizontal="left" vertical="top"/>
    </xf>
    <xf numFmtId="169" fontId="3" fillId="0" borderId="0" xfId="0" applyNumberFormat="1" applyFont="1"/>
    <xf numFmtId="0" fontId="3" fillId="0" borderId="0" xfId="0" applyFont="1" applyAlignment="1">
      <alignment vertical="justify" wrapText="1"/>
    </xf>
    <xf numFmtId="169" fontId="9" fillId="0" borderId="0" xfId="0" applyNumberFormat="1" applyFont="1"/>
    <xf numFmtId="179" fontId="9" fillId="0" borderId="0" xfId="31" applyNumberFormat="1" applyFont="1"/>
    <xf numFmtId="180" fontId="33" fillId="0" borderId="0" xfId="0" applyNumberFormat="1" applyFont="1"/>
    <xf numFmtId="0" fontId="11" fillId="0" borderId="0" xfId="1"/>
    <xf numFmtId="179" fontId="5" fillId="0" borderId="0" xfId="31" applyNumberFormat="1" applyFont="1"/>
    <xf numFmtId="179" fontId="33" fillId="0" borderId="0" xfId="0" applyNumberFormat="1" applyFont="1"/>
    <xf numFmtId="181" fontId="24" fillId="0" borderId="0" xfId="449" applyNumberFormat="1" applyFont="1"/>
    <xf numFmtId="9" fontId="19" fillId="0" borderId="0" xfId="449" applyFont="1"/>
    <xf numFmtId="1" fontId="3" fillId="0" borderId="0" xfId="0" applyNumberFormat="1" applyFont="1"/>
    <xf numFmtId="9" fontId="3" fillId="0" borderId="0" xfId="449" applyFont="1"/>
    <xf numFmtId="3" fontId="4" fillId="0" borderId="0" xfId="0" applyNumberFormat="1" applyFont="1"/>
    <xf numFmtId="164" fontId="4" fillId="0" borderId="0" xfId="15" applyNumberFormat="1" applyFont="1" applyFill="1"/>
    <xf numFmtId="0" fontId="1" fillId="0" borderId="0" xfId="0" applyFont="1"/>
    <xf numFmtId="0" fontId="21" fillId="0" borderId="0" xfId="1" applyFont="1" applyFill="1" applyAlignment="1">
      <alignment wrapText="1"/>
    </xf>
    <xf numFmtId="0" fontId="32" fillId="0" borderId="0" xfId="27"/>
    <xf numFmtId="169" fontId="120" fillId="0" borderId="0" xfId="451" applyNumberFormat="1" applyFont="1" applyFill="1" applyBorder="1"/>
    <xf numFmtId="0" fontId="5" fillId="0" borderId="0" xfId="0" applyFont="1" applyAlignment="1"/>
    <xf numFmtId="0" fontId="5" fillId="0" borderId="0" xfId="0" quotePrefix="1" applyFont="1" applyAlignment="1">
      <alignment horizontal="left" vertical="center" wrapText="1"/>
    </xf>
    <xf numFmtId="172" fontId="5" fillId="0" borderId="0" xfId="31"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169" fontId="11" fillId="0" borderId="0" xfId="1" applyNumberFormat="1"/>
    <xf numFmtId="0" fontId="32" fillId="0" borderId="0" xfId="27" applyAlignment="1">
      <alignment horizontal="left"/>
    </xf>
    <xf numFmtId="182" fontId="9" fillId="0" borderId="0" xfId="31" applyNumberFormat="1" applyFont="1" applyFill="1" applyBorder="1" applyAlignment="1">
      <alignment horizontal="right" vertical="center" wrapText="1"/>
    </xf>
    <xf numFmtId="0" fontId="2" fillId="0" borderId="0" xfId="0" quotePrefix="1" applyFont="1" applyAlignment="1">
      <alignment wrapText="1"/>
    </xf>
    <xf numFmtId="0" fontId="1" fillId="0" borderId="0" xfId="0" applyFont="1" applyAlignment="1">
      <alignment wrapText="1"/>
    </xf>
    <xf numFmtId="0" fontId="1" fillId="0" borderId="0" xfId="0" applyFont="1" applyAlignment="1"/>
    <xf numFmtId="0" fontId="18" fillId="0" borderId="0" xfId="0" applyFont="1" applyBorder="1"/>
    <xf numFmtId="0" fontId="18" fillId="0" borderId="0" xfId="0" applyFont="1" applyBorder="1" applyAlignment="1">
      <alignment wrapText="1"/>
    </xf>
    <xf numFmtId="0" fontId="1" fillId="0" borderId="0" xfId="0" quotePrefix="1" applyFont="1" applyAlignment="1">
      <alignment wrapText="1"/>
    </xf>
    <xf numFmtId="0" fontId="9" fillId="0" borderId="0" xfId="0" applyFont="1" applyFill="1"/>
    <xf numFmtId="0" fontId="18" fillId="0" borderId="0" xfId="0" applyFont="1" applyFill="1"/>
    <xf numFmtId="0" fontId="22" fillId="0" borderId="0" xfId="0" applyFont="1" applyFill="1"/>
    <xf numFmtId="0" fontId="9" fillId="0" borderId="20" xfId="0" applyFont="1" applyFill="1" applyBorder="1" applyAlignment="1">
      <alignment vertical="center" wrapText="1"/>
    </xf>
    <xf numFmtId="0" fontId="1" fillId="0" borderId="20" xfId="0" applyFont="1" applyFill="1" applyBorder="1" applyAlignment="1">
      <alignment horizontal="left" vertical="center" wrapText="1"/>
    </xf>
    <xf numFmtId="182" fontId="5" fillId="0" borderId="20" xfId="31" applyNumberFormat="1" applyFont="1" applyFill="1" applyBorder="1" applyAlignment="1">
      <alignment horizontal="right" vertical="center" wrapText="1"/>
    </xf>
    <xf numFmtId="0" fontId="22" fillId="0" borderId="20" xfId="0" applyFont="1" applyFill="1" applyBorder="1" applyAlignment="1">
      <alignment horizontal="left" vertical="center" wrapText="1"/>
    </xf>
    <xf numFmtId="164" fontId="126" fillId="0" borderId="20" xfId="0" applyNumberFormat="1" applyFont="1" applyFill="1" applyBorder="1" applyAlignment="1">
      <alignment horizontal="right" vertical="center" wrapText="1"/>
    </xf>
    <xf numFmtId="0" fontId="4" fillId="0" borderId="0" xfId="0" applyFont="1" applyFill="1" applyAlignment="1">
      <alignment horizontal="right"/>
    </xf>
    <xf numFmtId="2" fontId="7" fillId="0" borderId="0" xfId="0" applyNumberFormat="1" applyFont="1" applyFill="1" applyAlignment="1">
      <alignment horizontal="right"/>
    </xf>
    <xf numFmtId="0" fontId="14" fillId="0" borderId="0" xfId="0" applyFont="1" applyFill="1"/>
    <xf numFmtId="165" fontId="21" fillId="0" borderId="0" xfId="1" applyNumberFormat="1" applyFont="1" applyFill="1" applyAlignment="1">
      <alignment horizontal="right"/>
    </xf>
    <xf numFmtId="0" fontId="5" fillId="0" borderId="0" xfId="0" applyFont="1" applyFill="1" applyAlignment="1">
      <alignment horizontal="right"/>
    </xf>
    <xf numFmtId="164" fontId="7" fillId="0" borderId="0" xfId="1" applyNumberFormat="1" applyFont="1" applyFill="1" applyAlignment="1">
      <alignment horizontal="right"/>
    </xf>
    <xf numFmtId="3" fontId="6" fillId="0" borderId="0" xfId="0" applyNumberFormat="1" applyFont="1" applyFill="1"/>
    <xf numFmtId="0" fontId="7" fillId="0" borderId="0" xfId="449" applyNumberFormat="1" applyFont="1" applyFill="1" applyBorder="1"/>
    <xf numFmtId="0" fontId="125" fillId="0" borderId="0" xfId="0" applyFont="1" applyFill="1"/>
    <xf numFmtId="165" fontId="7" fillId="0" borderId="0" xfId="0" applyNumberFormat="1" applyFont="1" applyFill="1" applyBorder="1" applyAlignment="1">
      <alignment horizontal="right"/>
    </xf>
    <xf numFmtId="0" fontId="1" fillId="0" borderId="0" xfId="0" quotePrefix="1" applyFont="1" applyAlignment="1">
      <alignment wrapText="1"/>
    </xf>
    <xf numFmtId="2" fontId="8" fillId="0" borderId="0" xfId="0" applyNumberFormat="1" applyFont="1"/>
    <xf numFmtId="0" fontId="127" fillId="0" borderId="0" xfId="0" applyFont="1"/>
    <xf numFmtId="0" fontId="6" fillId="0" borderId="20" xfId="0" applyFont="1" applyFill="1" applyBorder="1" applyAlignment="1">
      <alignment wrapText="1"/>
    </xf>
    <xf numFmtId="0" fontId="5" fillId="0" borderId="20" xfId="0" applyNumberFormat="1" applyFont="1" applyFill="1" applyBorder="1"/>
    <xf numFmtId="0" fontId="126" fillId="0" borderId="20" xfId="0" applyNumberFormat="1" applyFont="1" applyFill="1" applyBorder="1"/>
    <xf numFmtId="179" fontId="8" fillId="0" borderId="0" xfId="31" applyNumberFormat="1" applyFont="1"/>
    <xf numFmtId="181" fontId="3" fillId="0" borderId="0" xfId="449" applyNumberFormat="1" applyFont="1"/>
    <xf numFmtId="9" fontId="8" fillId="0" borderId="0" xfId="449" applyFont="1"/>
    <xf numFmtId="181" fontId="8" fillId="0" borderId="0" xfId="449" applyNumberFormat="1" applyFont="1"/>
    <xf numFmtId="9" fontId="8" fillId="0" borderId="0" xfId="449" applyNumberFormat="1" applyFont="1"/>
    <xf numFmtId="9" fontId="24" fillId="0" borderId="0" xfId="449" applyFont="1"/>
    <xf numFmtId="2" fontId="19" fillId="0" borderId="0" xfId="0" applyNumberFormat="1" applyFont="1"/>
    <xf numFmtId="185" fontId="11" fillId="0" borderId="0" xfId="1" applyNumberFormat="1"/>
    <xf numFmtId="179" fontId="34" fillId="0" borderId="0" xfId="0" applyNumberFormat="1" applyFont="1"/>
    <xf numFmtId="169" fontId="128" fillId="0" borderId="0" xfId="1" applyNumberFormat="1" applyFont="1"/>
    <xf numFmtId="0" fontId="22" fillId="77" borderId="20" xfId="0" applyFont="1" applyFill="1" applyBorder="1" applyAlignment="1">
      <alignment horizontal="left" vertical="center" wrapText="1"/>
    </xf>
    <xf numFmtId="0" fontId="9" fillId="77" borderId="20" xfId="0" applyFont="1" applyFill="1" applyBorder="1" applyAlignment="1">
      <alignment wrapText="1"/>
    </xf>
    <xf numFmtId="0" fontId="12" fillId="0" borderId="0" xfId="1" applyFont="1" applyFill="1" applyAlignment="1">
      <alignment horizontal="left"/>
    </xf>
    <xf numFmtId="0" fontId="11" fillId="0" borderId="0" xfId="1" applyFont="1" applyFill="1"/>
    <xf numFmtId="0" fontId="4" fillId="0" borderId="0" xfId="1" applyFont="1" applyFill="1" applyAlignment="1">
      <alignment horizontal="left"/>
    </xf>
    <xf numFmtId="0" fontId="4" fillId="0" borderId="0" xfId="1" applyFont="1" applyFill="1"/>
    <xf numFmtId="0" fontId="4" fillId="0" borderId="0" xfId="1" applyFont="1" applyFill="1" applyAlignment="1">
      <alignment horizontal="right"/>
    </xf>
    <xf numFmtId="0" fontId="7" fillId="0" borderId="0" xfId="1" applyFont="1" applyFill="1" applyAlignment="1">
      <alignment wrapText="1"/>
    </xf>
    <xf numFmtId="0" fontId="6" fillId="0" borderId="0" xfId="1" applyFont="1" applyFill="1" applyAlignment="1">
      <alignment wrapText="1"/>
    </xf>
    <xf numFmtId="0" fontId="5" fillId="0" borderId="0" xfId="0" applyFont="1" applyFill="1"/>
    <xf numFmtId="3" fontId="4" fillId="0" borderId="0" xfId="0" applyNumberFormat="1" applyFont="1" applyFill="1"/>
    <xf numFmtId="164" fontId="6" fillId="0" borderId="0" xfId="1" applyNumberFormat="1" applyFont="1" applyFill="1"/>
    <xf numFmtId="164" fontId="5" fillId="0" borderId="0" xfId="0" applyNumberFormat="1" applyFont="1" applyFill="1"/>
    <xf numFmtId="0" fontId="6" fillId="0" borderId="0" xfId="1" applyFont="1" applyFill="1" applyAlignment="1">
      <alignment horizontal="right"/>
    </xf>
    <xf numFmtId="1" fontId="7" fillId="0" borderId="0" xfId="0" applyNumberFormat="1" applyFont="1" applyFill="1"/>
    <xf numFmtId="169" fontId="7" fillId="0" borderId="0" xfId="0" applyNumberFormat="1" applyFont="1" applyFill="1"/>
    <xf numFmtId="0" fontId="10" fillId="0" borderId="0" xfId="1" applyFont="1" applyFill="1" applyAlignment="1">
      <alignment horizontal="left"/>
    </xf>
    <xf numFmtId="0" fontId="10" fillId="0" borderId="0" xfId="1" applyFont="1" applyFill="1"/>
    <xf numFmtId="165" fontId="10" fillId="0" borderId="0" xfId="0" applyNumberFormat="1" applyFont="1" applyFill="1"/>
    <xf numFmtId="0" fontId="4" fillId="0" borderId="0" xfId="0" applyFont="1" applyFill="1" applyAlignment="1">
      <alignment horizontal="left"/>
    </xf>
    <xf numFmtId="4" fontId="7" fillId="0" borderId="0" xfId="0" applyNumberFormat="1" applyFont="1" applyFill="1"/>
    <xf numFmtId="9" fontId="7" fillId="0" borderId="0" xfId="449" applyFont="1" applyFill="1"/>
    <xf numFmtId="2" fontId="7" fillId="0" borderId="0" xfId="0" applyNumberFormat="1" applyFont="1" applyFill="1"/>
    <xf numFmtId="164" fontId="6" fillId="2" borderId="0" xfId="0" applyNumberFormat="1" applyFont="1" applyFill="1"/>
    <xf numFmtId="164" fontId="4" fillId="2" borderId="0" xfId="0" applyNumberFormat="1" applyFont="1" applyFill="1"/>
    <xf numFmtId="164" fontId="5" fillId="2" borderId="0" xfId="0" applyNumberFormat="1" applyFont="1" applyFill="1"/>
    <xf numFmtId="164" fontId="7" fillId="2" borderId="0" xfId="0" applyNumberFormat="1" applyFont="1" applyFill="1"/>
    <xf numFmtId="165" fontId="14" fillId="0" borderId="0" xfId="0" applyNumberFormat="1" applyFont="1" applyFill="1"/>
    <xf numFmtId="164" fontId="7" fillId="0" borderId="0" xfId="15" applyNumberFormat="1" applyFont="1" applyFill="1" applyBorder="1"/>
    <xf numFmtId="169" fontId="11" fillId="0" borderId="0" xfId="1" applyNumberFormat="1" applyFont="1" applyFill="1"/>
    <xf numFmtId="0" fontId="5" fillId="0" borderId="0" xfId="0" applyFont="1" applyFill="1" applyAlignment="1">
      <alignment vertical="center"/>
    </xf>
    <xf numFmtId="165" fontId="5" fillId="0" borderId="0" xfId="0" applyNumberFormat="1" applyFont="1" applyFill="1"/>
    <xf numFmtId="167" fontId="5" fillId="0" borderId="0" xfId="0" applyNumberFormat="1" applyFont="1" applyFill="1"/>
    <xf numFmtId="9" fontId="5" fillId="0" borderId="0" xfId="449" applyFont="1" applyFill="1"/>
    <xf numFmtId="0" fontId="12" fillId="0" borderId="0" xfId="0" applyFont="1" applyFill="1" applyAlignment="1">
      <alignment horizontal="left"/>
    </xf>
    <xf numFmtId="0" fontId="6" fillId="0" borderId="0" xfId="0" applyFont="1" applyFill="1" applyAlignment="1">
      <alignment horizontal="left"/>
    </xf>
    <xf numFmtId="0" fontId="6" fillId="0" borderId="0" xfId="0" applyFont="1" applyFill="1" applyAlignment="1">
      <alignment horizontal="center"/>
    </xf>
    <xf numFmtId="0" fontId="7" fillId="0" borderId="0" xfId="12" applyFont="1" applyFill="1" applyBorder="1" applyAlignment="1">
      <alignment horizontal="left"/>
    </xf>
    <xf numFmtId="165" fontId="7" fillId="0" borderId="0" xfId="12" applyNumberFormat="1" applyFont="1" applyFill="1" applyBorder="1" applyAlignment="1">
      <alignment horizontal="right" wrapText="1"/>
    </xf>
    <xf numFmtId="0" fontId="124" fillId="0" borderId="0" xfId="33" applyNumberFormat="1" applyFont="1" applyFill="1" applyBorder="1" applyAlignment="1">
      <alignment vertical="center" wrapText="1"/>
    </xf>
    <xf numFmtId="0" fontId="124" fillId="0" borderId="0" xfId="33" applyNumberFormat="1" applyFont="1" applyFill="1" applyBorder="1" applyAlignment="1">
      <alignment vertical="center"/>
    </xf>
    <xf numFmtId="165" fontId="124" fillId="0" borderId="0" xfId="33" applyNumberFormat="1" applyFont="1" applyFill="1" applyBorder="1" applyAlignment="1">
      <alignment vertical="center" wrapText="1"/>
    </xf>
    <xf numFmtId="16" fontId="7" fillId="0" borderId="0" xfId="12" quotePrefix="1" applyNumberFormat="1" applyFont="1" applyFill="1" applyBorder="1" applyAlignment="1">
      <alignment horizontal="left"/>
    </xf>
    <xf numFmtId="164" fontId="7" fillId="0" borderId="0" xfId="12" applyNumberFormat="1" applyFont="1" applyFill="1" applyBorder="1" applyAlignment="1">
      <alignment horizontal="right"/>
    </xf>
    <xf numFmtId="164" fontId="7" fillId="0" borderId="0" xfId="12" applyNumberFormat="1" applyFont="1" applyFill="1" applyBorder="1" applyAlignment="1">
      <alignment horizontal="right" wrapText="1"/>
    </xf>
    <xf numFmtId="0" fontId="21" fillId="0" borderId="0" xfId="0" applyFont="1" applyFill="1" applyAlignment="1">
      <alignment vertical="center" wrapText="1"/>
    </xf>
    <xf numFmtId="164" fontId="7" fillId="0" borderId="0" xfId="0" applyNumberFormat="1" applyFont="1" applyFill="1" applyBorder="1"/>
    <xf numFmtId="164" fontId="7" fillId="0" borderId="0" xfId="0" applyNumberFormat="1" applyFont="1" applyFill="1" applyBorder="1" applyAlignment="1">
      <alignment horizontal="right"/>
    </xf>
    <xf numFmtId="0" fontId="10" fillId="0" borderId="0" xfId="0" applyFont="1" applyFill="1"/>
    <xf numFmtId="0" fontId="10" fillId="0" borderId="0" xfId="0" applyFont="1" applyFill="1" applyAlignment="1">
      <alignment horizontal="left"/>
    </xf>
    <xf numFmtId="164" fontId="10" fillId="0" borderId="0" xfId="0" applyNumberFormat="1" applyFont="1" applyFill="1"/>
    <xf numFmtId="9" fontId="7" fillId="0" borderId="0" xfId="0" applyNumberFormat="1" applyFont="1" applyFill="1"/>
    <xf numFmtId="0" fontId="5" fillId="0" borderId="0" xfId="0" applyFont="1" applyFill="1" applyAlignment="1">
      <alignment horizontal="left"/>
    </xf>
    <xf numFmtId="43" fontId="18" fillId="0" borderId="0" xfId="31" applyFont="1" applyFill="1"/>
    <xf numFmtId="165" fontId="14" fillId="0" borderId="0" xfId="0" applyNumberFormat="1" applyFont="1"/>
    <xf numFmtId="165" fontId="4" fillId="0" borderId="0" xfId="0" applyNumberFormat="1" applyFont="1" applyFill="1" applyAlignment="1">
      <alignment horizontal="right"/>
    </xf>
    <xf numFmtId="0" fontId="129" fillId="0" borderId="0" xfId="1" applyFont="1" applyFill="1" applyAlignment="1">
      <alignment horizontal="left"/>
    </xf>
    <xf numFmtId="0" fontId="129" fillId="0" borderId="0" xfId="1" quotePrefix="1" applyFont="1" applyFill="1"/>
    <xf numFmtId="165" fontId="129" fillId="0" borderId="0" xfId="1" applyNumberFormat="1" applyFont="1" applyFill="1"/>
    <xf numFmtId="0" fontId="129" fillId="0" borderId="0" xfId="1" applyFont="1" applyFill="1"/>
    <xf numFmtId="0" fontId="129" fillId="0" borderId="0" xfId="1" applyFont="1" applyFill="1" applyAlignment="1">
      <alignment horizontal="right"/>
    </xf>
    <xf numFmtId="0" fontId="125" fillId="0" borderId="0" xfId="1" applyFont="1" applyFill="1"/>
    <xf numFmtId="0" fontId="40" fillId="0" borderId="0" xfId="0" applyFont="1" applyFill="1" applyAlignment="1">
      <alignment horizontal="right"/>
    </xf>
    <xf numFmtId="164" fontId="40" fillId="0" borderId="0" xfId="0" applyNumberFormat="1" applyFont="1" applyFill="1"/>
    <xf numFmtId="165" fontId="125" fillId="0" borderId="0" xfId="1" applyNumberFormat="1" applyFont="1" applyFill="1"/>
    <xf numFmtId="3" fontId="7" fillId="0" borderId="0" xfId="0" applyNumberFormat="1" applyFont="1"/>
    <xf numFmtId="0" fontId="5" fillId="0" borderId="0" xfId="0" applyFont="1" applyAlignment="1">
      <alignment vertical="center"/>
    </xf>
    <xf numFmtId="165" fontId="5" fillId="0" borderId="0" xfId="0" applyNumberFormat="1" applyFont="1"/>
    <xf numFmtId="167" fontId="5" fillId="0" borderId="0" xfId="0" applyNumberFormat="1" applyFont="1"/>
    <xf numFmtId="180" fontId="9" fillId="0" borderId="0" xfId="0" applyNumberFormat="1" applyFont="1"/>
    <xf numFmtId="186" fontId="9" fillId="0" borderId="0" xfId="0" applyNumberFormat="1" applyFont="1"/>
    <xf numFmtId="3" fontId="20" fillId="0" borderId="0" xfId="0" applyNumberFormat="1" applyFont="1"/>
    <xf numFmtId="169" fontId="0" fillId="0" borderId="0" xfId="0" applyNumberFormat="1"/>
    <xf numFmtId="172" fontId="0" fillId="0" borderId="0" xfId="31" applyNumberFormat="1" applyFont="1"/>
    <xf numFmtId="0" fontId="9" fillId="0" borderId="20" xfId="0" applyFont="1" applyBorder="1" applyAlignment="1">
      <alignment horizontal="left" vertical="center" wrapText="1"/>
    </xf>
    <xf numFmtId="182" fontId="9" fillId="0" borderId="20" xfId="31" applyNumberFormat="1" applyFont="1" applyFill="1" applyBorder="1" applyAlignment="1">
      <alignment horizontal="right" vertical="center" wrapText="1"/>
    </xf>
    <xf numFmtId="0" fontId="9" fillId="0" borderId="20" xfId="0" applyFont="1" applyBorder="1"/>
    <xf numFmtId="0" fontId="9" fillId="0" borderId="0" xfId="0" applyFont="1" applyFill="1" applyBorder="1" applyAlignment="1">
      <alignment horizontal="left" vertical="center" wrapText="1"/>
    </xf>
    <xf numFmtId="0" fontId="22" fillId="0" borderId="20" xfId="0" applyFont="1" applyFill="1" applyBorder="1"/>
    <xf numFmtId="0" fontId="1" fillId="0" borderId="0" xfId="0" quotePrefix="1" applyFont="1" applyAlignment="1">
      <alignment horizontal="left" vertical="center" wrapText="1"/>
    </xf>
    <xf numFmtId="0" fontId="5" fillId="0" borderId="0" xfId="0" applyFont="1" applyAlignment="1">
      <alignment wrapText="1"/>
    </xf>
    <xf numFmtId="0" fontId="1" fillId="0" borderId="0" xfId="0" quotePrefix="1" applyFont="1" applyAlignment="1">
      <alignment vertical="center" wrapText="1"/>
    </xf>
    <xf numFmtId="0" fontId="5" fillId="0" borderId="0" xfId="0" applyFont="1" applyAlignment="1"/>
    <xf numFmtId="0" fontId="1" fillId="0" borderId="0" xfId="0" quotePrefix="1" applyFont="1" applyAlignment="1">
      <alignment wrapText="1"/>
    </xf>
    <xf numFmtId="169" fontId="5" fillId="0" borderId="0" xfId="583" applyNumberFormat="1" applyFont="1" applyFill="1" applyBorder="1"/>
    <xf numFmtId="43" fontId="7" fillId="0" borderId="0" xfId="31" applyNumberFormat="1" applyFont="1"/>
  </cellXfs>
  <cellStyles count="1261">
    <cellStyle name="******************************************" xfId="35"/>
    <cellStyle name="20% - Accent1 2" xfId="36"/>
    <cellStyle name="20% - Accent1 3" xfId="37"/>
    <cellStyle name="20% - Accent2 2" xfId="38"/>
    <cellStyle name="20% - Accent2 3" xfId="39"/>
    <cellStyle name="20% - Accent3 2" xfId="40"/>
    <cellStyle name="20% - Accent3 3" xfId="41"/>
    <cellStyle name="20% - Accent4 2" xfId="42"/>
    <cellStyle name="20% - Accent4 3" xfId="43"/>
    <cellStyle name="20% - Accent5 2" xfId="44"/>
    <cellStyle name="20% - Accent5 3" xfId="45"/>
    <cellStyle name="20% - Accent6 2" xfId="46"/>
    <cellStyle name="20% - Accent6 3" xfId="47"/>
    <cellStyle name="40% - Accent1 2" xfId="48"/>
    <cellStyle name="40% - Accent1 3" xfId="49"/>
    <cellStyle name="40% - Accent2 2" xfId="50"/>
    <cellStyle name="40% - Accent2 3" xfId="51"/>
    <cellStyle name="40% - Accent3 2" xfId="52"/>
    <cellStyle name="40% - Accent3 3" xfId="53"/>
    <cellStyle name="40% - Accent4 2" xfId="54"/>
    <cellStyle name="40% - Accent4 3" xfId="55"/>
    <cellStyle name="40% - Accent5 2" xfId="56"/>
    <cellStyle name="40% - Accent5 3" xfId="57"/>
    <cellStyle name="40% - Accent6 2" xfId="58"/>
    <cellStyle name="40% - Accent6 3" xfId="59"/>
    <cellStyle name="60% - Accent1 2" xfId="60"/>
    <cellStyle name="60% - Accent1 3" xfId="61"/>
    <cellStyle name="60% - Accent2 2" xfId="62"/>
    <cellStyle name="60% - Accent2 3" xfId="63"/>
    <cellStyle name="60% - Accent3 2" xfId="64"/>
    <cellStyle name="60% - Accent3 3" xfId="65"/>
    <cellStyle name="60% - Accent4 2" xfId="66"/>
    <cellStyle name="60% - Accent4 3" xfId="67"/>
    <cellStyle name="60% - Accent5 2" xfId="68"/>
    <cellStyle name="60% - Accent5 3" xfId="69"/>
    <cellStyle name="60% - Accent6 2" xfId="70"/>
    <cellStyle name="60% - Accent6 3" xfId="71"/>
    <cellStyle name="Accent1 2" xfId="72"/>
    <cellStyle name="Accent1 3" xfId="73"/>
    <cellStyle name="Accent2 2" xfId="74"/>
    <cellStyle name="Accent2 3" xfId="75"/>
    <cellStyle name="Accent3 2" xfId="76"/>
    <cellStyle name="Accent3 3" xfId="77"/>
    <cellStyle name="Accent4 2" xfId="78"/>
    <cellStyle name="Accent4 3" xfId="79"/>
    <cellStyle name="Accent5 2" xfId="80"/>
    <cellStyle name="Accent5 3" xfId="81"/>
    <cellStyle name="Accent6 2" xfId="82"/>
    <cellStyle name="Accent6 3" xfId="83"/>
    <cellStyle name="Bad 2" xfId="84"/>
    <cellStyle name="BEPAALD" xfId="4"/>
    <cellStyle name="BEPAALD 2" xfId="85"/>
    <cellStyle name="Berekening 2" xfId="86"/>
    <cellStyle name="Berekening 3" xfId="87"/>
    <cellStyle name="bin" xfId="88"/>
    <cellStyle name="blue" xfId="89"/>
    <cellStyle name="Ç¥ÁØ_ENRL2" xfId="90"/>
    <cellStyle name="Calculation 2" xfId="91"/>
    <cellStyle name="cell" xfId="92"/>
    <cellStyle name="Check Cell 2" xfId="93"/>
    <cellStyle name="Code additions" xfId="94"/>
    <cellStyle name="Col&amp;RowHeadings" xfId="95"/>
    <cellStyle name="ColCodes" xfId="96"/>
    <cellStyle name="ColTitles" xfId="97"/>
    <cellStyle name="column" xfId="98"/>
    <cellStyle name="Comma" xfId="31" builtinId="3"/>
    <cellStyle name="Comma 2" xfId="99"/>
    <cellStyle name="Comma 2 2" xfId="453"/>
    <cellStyle name="Comma 2 3" xfId="454"/>
    <cellStyle name="Comma 2 4" xfId="452"/>
    <cellStyle name="Comma 3" xfId="32"/>
    <cellStyle name="Comma 3 2" xfId="455"/>
    <cellStyle name="Comma 4" xfId="456"/>
    <cellStyle name="Comma 4 2" xfId="457"/>
    <cellStyle name="Comma 4 2 2" xfId="458"/>
    <cellStyle name="Comma 4 2 2 2" xfId="459"/>
    <cellStyle name="Comma 4 2 2 3" xfId="1229"/>
    <cellStyle name="Comma 4 2 3" xfId="1228"/>
    <cellStyle name="Comma 4 3" xfId="1227"/>
    <cellStyle name="Comma 5" xfId="460"/>
    <cellStyle name="Comma 5 2" xfId="461"/>
    <cellStyle name="Comma 5 2 2" xfId="1231"/>
    <cellStyle name="Comma 5 3" xfId="1230"/>
    <cellStyle name="Comma 6" xfId="462"/>
    <cellStyle name="Comma 6 2" xfId="463"/>
    <cellStyle name="Comma 6 2 2" xfId="1233"/>
    <cellStyle name="Comma 6 3" xfId="1232"/>
    <cellStyle name="Comma 7" xfId="464"/>
    <cellStyle name="Comma 7 2" xfId="1234"/>
    <cellStyle name="Comma 8" xfId="465"/>
    <cellStyle name="Comma 8 2" xfId="1235"/>
    <cellStyle name="Controlecel 2" xfId="100"/>
    <cellStyle name="Controlecel 3" xfId="101"/>
    <cellStyle name="DataEntryCells" xfId="102"/>
    <cellStyle name="DATE" xfId="466"/>
    <cellStyle name="DATE 2" xfId="467"/>
    <cellStyle name="DATUM" xfId="5"/>
    <cellStyle name="Datum 2" xfId="104"/>
    <cellStyle name="Datum 3" xfId="103"/>
    <cellStyle name="Datum 4" xfId="468"/>
    <cellStyle name="Dezimal [0]_DIAGRAM" xfId="105"/>
    <cellStyle name="Dezimal_DIAGRAM" xfId="106"/>
    <cellStyle name="Didier" xfId="107"/>
    <cellStyle name="Didier - Title" xfId="108"/>
    <cellStyle name="Didier subtitles" xfId="109"/>
    <cellStyle name="ErrRpt_DataEntryCells" xfId="110"/>
    <cellStyle name="ErrRpt-DataEntryCells" xfId="111"/>
    <cellStyle name="ErrRpt-GreyBackground" xfId="112"/>
    <cellStyle name="Euro" xfId="13"/>
    <cellStyle name="Euro 2" xfId="113"/>
    <cellStyle name="Explanatory Text 2" xfId="114"/>
    <cellStyle name="F2" xfId="18"/>
    <cellStyle name="F2 2" xfId="115"/>
    <cellStyle name="F3" xfId="23"/>
    <cellStyle name="F3 2" xfId="116"/>
    <cellStyle name="F4" xfId="19"/>
    <cellStyle name="F4 2" xfId="117"/>
    <cellStyle name="F5" xfId="20"/>
    <cellStyle name="F5 2" xfId="118"/>
    <cellStyle name="F6" xfId="21"/>
    <cellStyle name="F6 2" xfId="119"/>
    <cellStyle name="F7" xfId="16"/>
    <cellStyle name="F7 2" xfId="120"/>
    <cellStyle name="F8" xfId="22"/>
    <cellStyle name="F8 2" xfId="121"/>
    <cellStyle name="FIXED" xfId="469"/>
    <cellStyle name="FIXED 2" xfId="470"/>
    <cellStyle name="formula" xfId="122"/>
    <cellStyle name="gap" xfId="123"/>
    <cellStyle name="Gekoppelde cel 2" xfId="124"/>
    <cellStyle name="Gekoppelde cel 3" xfId="125"/>
    <cellStyle name="Goed 2" xfId="126"/>
    <cellStyle name="Goed 3" xfId="127"/>
    <cellStyle name="Good 2" xfId="128"/>
    <cellStyle name="Grey_background" xfId="129"/>
    <cellStyle name="GreyBackground" xfId="130"/>
    <cellStyle name="Header" xfId="131"/>
    <cellStyle name="Heading 1 2" xfId="132"/>
    <cellStyle name="Heading 2 2" xfId="133"/>
    <cellStyle name="Heading 3 2" xfId="134"/>
    <cellStyle name="Heading 4 2" xfId="135"/>
    <cellStyle name="HEADING1" xfId="471"/>
    <cellStyle name="HEADING2" xfId="472"/>
    <cellStyle name="Hipervínculo" xfId="136"/>
    <cellStyle name="Hipervínculo visitado" xfId="137"/>
    <cellStyle name="Hyperlink" xfId="27" builtinId="8"/>
    <cellStyle name="Hyperlink 2" xfId="1225"/>
    <cellStyle name="Input 2" xfId="138"/>
    <cellStyle name="Invoer 2" xfId="139"/>
    <cellStyle name="Invoer 3" xfId="140"/>
    <cellStyle name="ISC" xfId="141"/>
    <cellStyle name="isced" xfId="142"/>
    <cellStyle name="ISCED Titles" xfId="143"/>
    <cellStyle name="isced_8gradk" xfId="144"/>
    <cellStyle name="Komma 10" xfId="145"/>
    <cellStyle name="Komma 11" xfId="146"/>
    <cellStyle name="Komma 12" xfId="147"/>
    <cellStyle name="Komma 13" xfId="148"/>
    <cellStyle name="Komma 14" xfId="149"/>
    <cellStyle name="Komma 15" xfId="150"/>
    <cellStyle name="Komma 2" xfId="151"/>
    <cellStyle name="Komma 2 2" xfId="152"/>
    <cellStyle name="Komma 2 2 2" xfId="153"/>
    <cellStyle name="Komma 2 3" xfId="154"/>
    <cellStyle name="Komma 3" xfId="155"/>
    <cellStyle name="Komma 3 2" xfId="156"/>
    <cellStyle name="Komma 4" xfId="157"/>
    <cellStyle name="Komma 5" xfId="158"/>
    <cellStyle name="Komma 5 2" xfId="159"/>
    <cellStyle name="Komma 5 3" xfId="160"/>
    <cellStyle name="Komma 5 4" xfId="161"/>
    <cellStyle name="Komma 6" xfId="162"/>
    <cellStyle name="Komma 7" xfId="163"/>
    <cellStyle name="Komma 7 2" xfId="164"/>
    <cellStyle name="Komma 8" xfId="165"/>
    <cellStyle name="Komma 9" xfId="166"/>
    <cellStyle name="Komma0" xfId="167"/>
    <cellStyle name="Komma0 - Opmaakprofiel3" xfId="168"/>
    <cellStyle name="Komma0 2" xfId="169"/>
    <cellStyle name="Komma0 3" xfId="473"/>
    <cellStyle name="Komma0 4" xfId="1236"/>
    <cellStyle name="Komma0_20110503 opzet output" xfId="170"/>
    <cellStyle name="Komma1" xfId="171"/>
    <cellStyle name="Komma1 - Opmaakprofiel1" xfId="172"/>
    <cellStyle name="Kop 1 2" xfId="173"/>
    <cellStyle name="Kop 2 2" xfId="174"/>
    <cellStyle name="Kop 3 2" xfId="175"/>
    <cellStyle name="Kop 4 2" xfId="176"/>
    <cellStyle name="KOP1" xfId="6"/>
    <cellStyle name="KOP1 2" xfId="177"/>
    <cellStyle name="KOP2" xfId="7"/>
    <cellStyle name="KOP2 2" xfId="178"/>
    <cellStyle name="Koptekst 1" xfId="179"/>
    <cellStyle name="Koptekst 1 2" xfId="474"/>
    <cellStyle name="Koptekst 2" xfId="180"/>
    <cellStyle name="Koptekst 2 2" xfId="475"/>
    <cellStyle name="level1a" xfId="181"/>
    <cellStyle name="level2" xfId="182"/>
    <cellStyle name="level2a" xfId="183"/>
    <cellStyle name="level3" xfId="184"/>
    <cellStyle name="Line titles-Rows" xfId="185"/>
    <cellStyle name="Linked Cell 2" xfId="186"/>
    <cellStyle name="Migliaia (0)_conti99" xfId="187"/>
    <cellStyle name="MUNT" xfId="8"/>
    <cellStyle name="MUNT 2" xfId="188"/>
    <cellStyle name="Neutraal 2" xfId="189"/>
    <cellStyle name="Neutraal 3" xfId="190"/>
    <cellStyle name="Neutral 2" xfId="29"/>
    <cellStyle name="Neutral 3" xfId="191"/>
    <cellStyle name="Normaa" xfId="192"/>
    <cellStyle name="Normaal" xfId="2"/>
    <cellStyle name="Normaal 2" xfId="193"/>
    <cellStyle name="Normal" xfId="0" builtinId="0"/>
    <cellStyle name="Normal 10" xfId="476"/>
    <cellStyle name="Normal 10 2" xfId="477"/>
    <cellStyle name="Normal 10 2 2" xfId="478"/>
    <cellStyle name="Normal 10 2 2 2" xfId="479"/>
    <cellStyle name="Normal 10 2 2 3" xfId="480"/>
    <cellStyle name="Normal 10 3" xfId="481"/>
    <cellStyle name="Normal 10 3 2" xfId="482"/>
    <cellStyle name="Normal 10 3 2 2" xfId="483"/>
    <cellStyle name="Normal 10 3 2 2 2" xfId="484"/>
    <cellStyle name="Normal 10 3 2 2 2 2" xfId="485"/>
    <cellStyle name="Normal 10 3 2 2 2 2 10" xfId="486"/>
    <cellStyle name="Normal 10 3 2 2 2 2 11" xfId="487"/>
    <cellStyle name="Normal 10 3 2 2 2 2 12" xfId="488"/>
    <cellStyle name="Normal 10 3 2 2 2 2 13" xfId="489"/>
    <cellStyle name="Normal 10 3 2 2 2 2 14" xfId="490"/>
    <cellStyle name="Normal 10 3 2 2 2 2 15" xfId="491"/>
    <cellStyle name="Normal 10 3 2 2 2 2 16" xfId="492"/>
    <cellStyle name="Normal 10 3 2 2 2 2 17" xfId="493"/>
    <cellStyle name="Normal 10 3 2 2 2 2 18" xfId="494"/>
    <cellStyle name="Normal 10 3 2 2 2 2 19" xfId="495"/>
    <cellStyle name="Normal 10 3 2 2 2 2 2" xfId="496"/>
    <cellStyle name="Normal 10 3 2 2 2 2 2 2" xfId="497"/>
    <cellStyle name="Normal 10 3 2 2 2 2 20" xfId="498"/>
    <cellStyle name="Normal 10 3 2 2 2 2 21" xfId="499"/>
    <cellStyle name="Normal 10 3 2 2 2 2 22" xfId="500"/>
    <cellStyle name="Normal 10 3 2 2 2 2 23" xfId="501"/>
    <cellStyle name="Normal 10 3 2 2 2 2 24" xfId="502"/>
    <cellStyle name="Normal 10 3 2 2 2 2 25" xfId="503"/>
    <cellStyle name="Normal 10 3 2 2 2 2 26" xfId="504"/>
    <cellStyle name="Normal 10 3 2 2 2 2 27" xfId="505"/>
    <cellStyle name="Normal 10 3 2 2 2 2 28" xfId="506"/>
    <cellStyle name="Normal 10 3 2 2 2 2 29" xfId="507"/>
    <cellStyle name="Normal 10 3 2 2 2 2 3" xfId="508"/>
    <cellStyle name="Normal 10 3 2 2 2 2 30" xfId="509"/>
    <cellStyle name="Normal 10 3 2 2 2 2 31" xfId="510"/>
    <cellStyle name="Normal 10 3 2 2 2 2 32" xfId="511"/>
    <cellStyle name="Normal 10 3 2 2 2 2 33" xfId="512"/>
    <cellStyle name="Normal 10 3 2 2 2 2 34" xfId="513"/>
    <cellStyle name="Normal 10 3 2 2 2 2 35" xfId="514"/>
    <cellStyle name="Normal 10 3 2 2 2 2 36" xfId="515"/>
    <cellStyle name="Normal 10 3 2 2 2 2 37" xfId="516"/>
    <cellStyle name="Normal 10 3 2 2 2 2 38" xfId="517"/>
    <cellStyle name="Normal 10 3 2 2 2 2 39" xfId="518"/>
    <cellStyle name="Normal 10 3 2 2 2 2 4" xfId="519"/>
    <cellStyle name="Normal 10 3 2 2 2 2 40" xfId="520"/>
    <cellStyle name="Normal 10 3 2 2 2 2 41" xfId="521"/>
    <cellStyle name="Normal 10 3 2 2 2 2 42" xfId="522"/>
    <cellStyle name="Normal 10 3 2 2 2 2 43" xfId="523"/>
    <cellStyle name="Normal 10 3 2 2 2 2 43 2" xfId="524"/>
    <cellStyle name="Normal 10 3 2 2 2 2 44" xfId="525"/>
    <cellStyle name="Normal 10 3 2 2 2 2 45" xfId="526"/>
    <cellStyle name="Normal 10 3 2 2 2 2 46" xfId="527"/>
    <cellStyle name="Normal 10 3 2 2 2 2 47" xfId="528"/>
    <cellStyle name="Normal 10 3 2 2 2 2 48" xfId="529"/>
    <cellStyle name="Normal 10 3 2 2 2 2 49" xfId="530"/>
    <cellStyle name="Normal 10 3 2 2 2 2 5" xfId="531"/>
    <cellStyle name="Normal 10 3 2 2 2 2 50" xfId="532"/>
    <cellStyle name="Normal 10 3 2 2 2 2 50 2" xfId="533"/>
    <cellStyle name="Normal 10 3 2 2 2 2 51" xfId="534"/>
    <cellStyle name="Normal 10 3 2 2 2 2 52" xfId="535"/>
    <cellStyle name="Normal 10 3 2 2 2 2 53" xfId="536"/>
    <cellStyle name="Normal 10 3 2 2 2 2 54" xfId="537"/>
    <cellStyle name="Normal 10 3 2 2 2 2 55" xfId="538"/>
    <cellStyle name="Normal 10 3 2 2 2 2 56" xfId="539"/>
    <cellStyle name="Normal 10 3 2 2 2 2 57" xfId="540"/>
    <cellStyle name="Normal 10 3 2 2 2 2 58" xfId="541"/>
    <cellStyle name="Normal 10 3 2 2 2 2 59" xfId="542"/>
    <cellStyle name="Normal 10 3 2 2 2 2 6" xfId="543"/>
    <cellStyle name="Normal 10 3 2 2 2 2 60" xfId="544"/>
    <cellStyle name="Normal 10 3 2 2 2 2 61" xfId="545"/>
    <cellStyle name="Normal 10 3 2 2 2 2 62" xfId="546"/>
    <cellStyle name="Normal 10 3 2 2 2 2 63" xfId="547"/>
    <cellStyle name="Normal 10 3 2 2 2 2 64" xfId="548"/>
    <cellStyle name="Normal 10 3 2 2 2 2 65" xfId="549"/>
    <cellStyle name="Normal 10 3 2 2 2 2 66" xfId="550"/>
    <cellStyle name="Normal 10 3 2 2 2 2 67" xfId="551"/>
    <cellStyle name="Normal 10 3 2 2 2 2 68" xfId="552"/>
    <cellStyle name="Normal 10 3 2 2 2 2 69" xfId="553"/>
    <cellStyle name="Normal 10 3 2 2 2 2 7" xfId="554"/>
    <cellStyle name="Normal 10 3 2 2 2 2 70" xfId="555"/>
    <cellStyle name="Normal 10 3 2 2 2 2 71" xfId="556"/>
    <cellStyle name="Normal 10 3 2 2 2 2 72" xfId="557"/>
    <cellStyle name="Normal 10 3 2 2 2 2 73" xfId="558"/>
    <cellStyle name="Normal 10 3 2 2 2 2 74" xfId="559"/>
    <cellStyle name="Normal 10 3 2 2 2 2 75" xfId="560"/>
    <cellStyle name="Normal 10 3 2 2 2 2 76" xfId="561"/>
    <cellStyle name="Normal 10 3 2 2 2 2 77" xfId="562"/>
    <cellStyle name="Normal 10 3 2 2 2 2 78" xfId="563"/>
    <cellStyle name="Normal 10 3 2 2 2 2 8" xfId="564"/>
    <cellStyle name="Normal 10 3 2 2 2 2 9" xfId="565"/>
    <cellStyle name="Normal 10 3 2 2 2 3" xfId="566"/>
    <cellStyle name="Normal 10 3 2 2 3" xfId="567"/>
    <cellStyle name="Normal 10 3 2 3" xfId="568"/>
    <cellStyle name="Normal 10 3 3" xfId="569"/>
    <cellStyle name="Normal 10 4" xfId="570"/>
    <cellStyle name="Normal 10 4 2" xfId="571"/>
    <cellStyle name="Normal 10 5" xfId="572"/>
    <cellStyle name="Normal 10 5 2" xfId="573"/>
    <cellStyle name="Normal 10 6" xfId="574"/>
    <cellStyle name="Normal 10 6 2" xfId="575"/>
    <cellStyle name="Normal 10 7" xfId="576"/>
    <cellStyle name="Normal 10 7 2" xfId="577"/>
    <cellStyle name="Normal 10 8" xfId="578"/>
    <cellStyle name="Normal 10 8 2" xfId="579"/>
    <cellStyle name="Normal 10 9" xfId="580"/>
    <cellStyle name="Normal 11" xfId="581"/>
    <cellStyle name="Normal 11 2" xfId="582"/>
    <cellStyle name="Normal 11 9" xfId="583"/>
    <cellStyle name="Normal 12" xfId="584"/>
    <cellStyle name="Normal 12 2" xfId="585"/>
    <cellStyle name="Normal 13" xfId="586"/>
    <cellStyle name="Normal 13 2" xfId="587"/>
    <cellStyle name="Normal 13 3" xfId="588"/>
    <cellStyle name="Normal 13 4" xfId="589"/>
    <cellStyle name="Normal 14" xfId="590"/>
    <cellStyle name="Normal 14 2" xfId="591"/>
    <cellStyle name="Normal 15" xfId="592"/>
    <cellStyle name="Normal 15 2" xfId="593"/>
    <cellStyle name="Normal 16" xfId="594"/>
    <cellStyle name="Normal 16 2" xfId="595"/>
    <cellStyle name="Normal 17" xfId="596"/>
    <cellStyle name="Normal 17 2" xfId="597"/>
    <cellStyle name="Normal 18" xfId="598"/>
    <cellStyle name="Normal 19" xfId="599"/>
    <cellStyle name="Normal 2" xfId="1"/>
    <cellStyle name="Normal 2 10" xfId="600"/>
    <cellStyle name="Normal 2 11" xfId="601"/>
    <cellStyle name="Normal 2 12" xfId="602"/>
    <cellStyle name="Normal 2 13" xfId="603"/>
    <cellStyle name="Normal 2 14" xfId="604"/>
    <cellStyle name="NORMAL 2 15" xfId="605"/>
    <cellStyle name="NORMAL 2 16" xfId="606"/>
    <cellStyle name="NORMAL 2 17" xfId="607"/>
    <cellStyle name="NORMAL 2 18" xfId="608"/>
    <cellStyle name="Normal 2 19" xfId="451"/>
    <cellStyle name="Normal 2 2" xfId="3"/>
    <cellStyle name="Normal 2 2 2" xfId="609"/>
    <cellStyle name="Normal 2 2 2 2" xfId="610"/>
    <cellStyle name="Normal 2 2 2 2 2" xfId="611"/>
    <cellStyle name="Normal 2 2 2 3" xfId="612"/>
    <cellStyle name="Normal 2 2 2 4" xfId="613"/>
    <cellStyle name="Normal 2 2 2 5" xfId="614"/>
    <cellStyle name="Normal 2 2 2 6" xfId="615"/>
    <cellStyle name="Normal 2 2 2 7" xfId="616"/>
    <cellStyle name="Normal 2 2 2 8" xfId="617"/>
    <cellStyle name="Normal 2 2 3" xfId="618"/>
    <cellStyle name="Normal 2 2 4" xfId="619"/>
    <cellStyle name="Normal 2 2 5" xfId="620"/>
    <cellStyle name="Normal 2 2 6" xfId="621"/>
    <cellStyle name="Normal 2 2 7" xfId="622"/>
    <cellStyle name="Normal 2 2 8" xfId="623"/>
    <cellStyle name="Normal 2 2 9" xfId="624"/>
    <cellStyle name="Normal 2 20" xfId="1226"/>
    <cellStyle name="Normal 2 3" xfId="625"/>
    <cellStyle name="Normal 2 3 2" xfId="626"/>
    <cellStyle name="Normal 2 3 2 2" xfId="627"/>
    <cellStyle name="Normal 2 3 2 3" xfId="628"/>
    <cellStyle name="Normal 2 3 2 4" xfId="629"/>
    <cellStyle name="Normal 2 3 2 5" xfId="630"/>
    <cellStyle name="Normal 2 3 2 6" xfId="631"/>
    <cellStyle name="Normal 2 3 2 7" xfId="632"/>
    <cellStyle name="Normal 2 3 2 8" xfId="633"/>
    <cellStyle name="Normal 2 3 3" xfId="634"/>
    <cellStyle name="Normal 2 3 3 2" xfId="635"/>
    <cellStyle name="Normal 2 3 3 3" xfId="636"/>
    <cellStyle name="Normal 2 3 3 4" xfId="637"/>
    <cellStyle name="Normal 2 3 3 5" xfId="638"/>
    <cellStyle name="Normal 2 3 3 6" xfId="639"/>
    <cellStyle name="Normal 2 3 3 7" xfId="640"/>
    <cellStyle name="Normal 2 3 4" xfId="641"/>
    <cellStyle name="Normal 2 3 5" xfId="642"/>
    <cellStyle name="Normal 2 3 6" xfId="643"/>
    <cellStyle name="Normal 2 3 7" xfId="644"/>
    <cellStyle name="Normal 2 3 7 2" xfId="645"/>
    <cellStyle name="Normal 2 3 7 3" xfId="646"/>
    <cellStyle name="Normal 2 3 7 4" xfId="647"/>
    <cellStyle name="Normal 2 3 7 5" xfId="648"/>
    <cellStyle name="Normal 2 3 7 6" xfId="649"/>
    <cellStyle name="Normal 2 3 7 7" xfId="650"/>
    <cellStyle name="Normal 2 4" xfId="651"/>
    <cellStyle name="Normal 2 5" xfId="652"/>
    <cellStyle name="Normal 2 6" xfId="653"/>
    <cellStyle name="Normal 2 7" xfId="654"/>
    <cellStyle name="Normal 2 8" xfId="655"/>
    <cellStyle name="Normal 2 9" xfId="656"/>
    <cellStyle name="NORMAL 2 9 2" xfId="657"/>
    <cellStyle name="Normal 20" xfId="658"/>
    <cellStyle name="Normal 20 2" xfId="659"/>
    <cellStyle name="Normal 20 3" xfId="660"/>
    <cellStyle name="Normal 20 7 3 6 2" xfId="661"/>
    <cellStyle name="Normal 21" xfId="662"/>
    <cellStyle name="Normal 21 2" xfId="663"/>
    <cellStyle name="Normal 22" xfId="664"/>
    <cellStyle name="Normal 22 2" xfId="665"/>
    <cellStyle name="Normal 23" xfId="666"/>
    <cellStyle name="Normal 23 2" xfId="667"/>
    <cellStyle name="Normal 24" xfId="668"/>
    <cellStyle name="Normal 25" xfId="669"/>
    <cellStyle name="Normal 26" xfId="670"/>
    <cellStyle name="Normal 27" xfId="671"/>
    <cellStyle name="Normal 28" xfId="672"/>
    <cellStyle name="Normal 29" xfId="673"/>
    <cellStyle name="Normal 3" xfId="12"/>
    <cellStyle name="Normal 3 10" xfId="675"/>
    <cellStyle name="Normal 3 10 2" xfId="676"/>
    <cellStyle name="Normal 3 10 2 2" xfId="677"/>
    <cellStyle name="Normal 3 10 2 3" xfId="678"/>
    <cellStyle name="Normal 3 10 3" xfId="679"/>
    <cellStyle name="Normal 3 10 3 2" xfId="680"/>
    <cellStyle name="Normal 3 10 3 3" xfId="681"/>
    <cellStyle name="Normal 3 10 4" xfId="682"/>
    <cellStyle name="Normal 3 10 4 2" xfId="683"/>
    <cellStyle name="Normal 3 10 4 3" xfId="684"/>
    <cellStyle name="Normal 3 10 5" xfId="685"/>
    <cellStyle name="Normal 3 10 6" xfId="686"/>
    <cellStyle name="Normal 3 11" xfId="687"/>
    <cellStyle name="Normal 3 11 2" xfId="688"/>
    <cellStyle name="Normal 3 11 2 2" xfId="689"/>
    <cellStyle name="Normal 3 11 2 3" xfId="690"/>
    <cellStyle name="Normal 3 11 3" xfId="691"/>
    <cellStyle name="Normal 3 11 3 2" xfId="692"/>
    <cellStyle name="Normal 3 11 3 3" xfId="693"/>
    <cellStyle name="Normal 3 11 4" xfId="694"/>
    <cellStyle name="Normal 3 11 4 2" xfId="695"/>
    <cellStyle name="Normal 3 11 4 3" xfId="696"/>
    <cellStyle name="Normal 3 11 5" xfId="697"/>
    <cellStyle name="Normal 3 11 6" xfId="698"/>
    <cellStyle name="Normal 3 12" xfId="699"/>
    <cellStyle name="Normal 3 12 2" xfId="700"/>
    <cellStyle name="Normal 3 12 2 2" xfId="701"/>
    <cellStyle name="Normal 3 12 2 3" xfId="702"/>
    <cellStyle name="Normal 3 12 3" xfId="703"/>
    <cellStyle name="Normal 3 12 3 2" xfId="704"/>
    <cellStyle name="Normal 3 12 3 3" xfId="705"/>
    <cellStyle name="Normal 3 12 4" xfId="706"/>
    <cellStyle name="Normal 3 12 4 2" xfId="707"/>
    <cellStyle name="Normal 3 12 4 3" xfId="708"/>
    <cellStyle name="Normal 3 12 5" xfId="709"/>
    <cellStyle name="Normal 3 12 6" xfId="710"/>
    <cellStyle name="Normal 3 13" xfId="711"/>
    <cellStyle name="Normal 3 13 2" xfId="712"/>
    <cellStyle name="Normal 3 13 2 2" xfId="713"/>
    <cellStyle name="Normal 3 13 2 3" xfId="714"/>
    <cellStyle name="Normal 3 13 3" xfId="715"/>
    <cellStyle name="Normal 3 13 3 2" xfId="716"/>
    <cellStyle name="Normal 3 13 3 3" xfId="717"/>
    <cellStyle name="Normal 3 13 4" xfId="718"/>
    <cellStyle name="Normal 3 13 4 2" xfId="719"/>
    <cellStyle name="Normal 3 13 4 3" xfId="720"/>
    <cellStyle name="Normal 3 13 5" xfId="721"/>
    <cellStyle name="Normal 3 13 6" xfId="722"/>
    <cellStyle name="Normal 3 14" xfId="723"/>
    <cellStyle name="Normal 3 14 2" xfId="724"/>
    <cellStyle name="Normal 3 14 2 2" xfId="725"/>
    <cellStyle name="Normal 3 14 2 3" xfId="726"/>
    <cellStyle name="Normal 3 14 3" xfId="727"/>
    <cellStyle name="Normal 3 14 3 2" xfId="728"/>
    <cellStyle name="Normal 3 14 3 3" xfId="729"/>
    <cellStyle name="Normal 3 14 4" xfId="730"/>
    <cellStyle name="Normal 3 14 4 2" xfId="731"/>
    <cellStyle name="Normal 3 14 4 3" xfId="732"/>
    <cellStyle name="Normal 3 14 5" xfId="733"/>
    <cellStyle name="Normal 3 14 6" xfId="734"/>
    <cellStyle name="Normal 3 15" xfId="735"/>
    <cellStyle name="Normal 3 15 2" xfId="736"/>
    <cellStyle name="Normal 3 15 3" xfId="737"/>
    <cellStyle name="Normal 3 16" xfId="738"/>
    <cellStyle name="Normal 3 16 2" xfId="739"/>
    <cellStyle name="Normal 3 16 3" xfId="740"/>
    <cellStyle name="Normal 3 17" xfId="741"/>
    <cellStyle name="Normal 3 17 2" xfId="742"/>
    <cellStyle name="Normal 3 17 3" xfId="743"/>
    <cellStyle name="Normal 3 18" xfId="744"/>
    <cellStyle name="Normal 3 18 2" xfId="745"/>
    <cellStyle name="Normal 3 18 3" xfId="746"/>
    <cellStyle name="Normal 3 19" xfId="747"/>
    <cellStyle name="Normal 3 2" xfId="17"/>
    <cellStyle name="Normal 3 2 2" xfId="195"/>
    <cellStyle name="Normal 3 2 2 2" xfId="750"/>
    <cellStyle name="Normal 3 2 2 3" xfId="751"/>
    <cellStyle name="Normal 3 2 2 4" xfId="749"/>
    <cellStyle name="Normal 3 2 3" xfId="752"/>
    <cellStyle name="Normal 3 2 3 2" xfId="753"/>
    <cellStyle name="Normal 3 2 3 3" xfId="754"/>
    <cellStyle name="Normal 3 2 4" xfId="755"/>
    <cellStyle name="Normal 3 2 4 2" xfId="756"/>
    <cellStyle name="Normal 3 2 4 3" xfId="757"/>
    <cellStyle name="Normal 3 2 5" xfId="758"/>
    <cellStyle name="Normal 3 2 6" xfId="759"/>
    <cellStyle name="Normal 3 2 7" xfId="748"/>
    <cellStyle name="Normal 3 20" xfId="760"/>
    <cellStyle name="Normal 3 21" xfId="761"/>
    <cellStyle name="Normal 3 22" xfId="762"/>
    <cellStyle name="Normal 3 23" xfId="674"/>
    <cellStyle name="Normal 3 3" xfId="26"/>
    <cellStyle name="Normal 3 3 2" xfId="764"/>
    <cellStyle name="Normal 3 3 2 2" xfId="765"/>
    <cellStyle name="Normal 3 3 2 3" xfId="766"/>
    <cellStyle name="Normal 3 3 3" xfId="767"/>
    <cellStyle name="Normal 3 3 3 2" xfId="768"/>
    <cellStyle name="Normal 3 3 3 3" xfId="769"/>
    <cellStyle name="Normal 3 3 4" xfId="770"/>
    <cellStyle name="Normal 3 3 4 2" xfId="771"/>
    <cellStyle name="Normal 3 3 4 3" xfId="772"/>
    <cellStyle name="Normal 3 3 5" xfId="773"/>
    <cellStyle name="Normal 3 3 6" xfId="774"/>
    <cellStyle name="Normal 3 3 7" xfId="763"/>
    <cellStyle name="Normal 3 4" xfId="24"/>
    <cellStyle name="Normal 3 4 2" xfId="776"/>
    <cellStyle name="Normal 3 4 2 2" xfId="777"/>
    <cellStyle name="Normal 3 4 2 3" xfId="778"/>
    <cellStyle name="Normal 3 4 3" xfId="779"/>
    <cellStyle name="Normal 3 4 3 2" xfId="780"/>
    <cellStyle name="Normal 3 4 3 3" xfId="781"/>
    <cellStyle name="Normal 3 4 4" xfId="782"/>
    <cellStyle name="Normal 3 4 4 2" xfId="783"/>
    <cellStyle name="Normal 3 4 4 3" xfId="784"/>
    <cellStyle name="Normal 3 4 5" xfId="785"/>
    <cellStyle name="Normal 3 4 6" xfId="786"/>
    <cellStyle name="Normal 3 4 7" xfId="775"/>
    <cellStyle name="Normal 3 5" xfId="194"/>
    <cellStyle name="Normal 3 5 2" xfId="788"/>
    <cellStyle name="Normal 3 5 2 2" xfId="789"/>
    <cellStyle name="Normal 3 5 2 3" xfId="790"/>
    <cellStyle name="Normal 3 5 3" xfId="791"/>
    <cellStyle name="Normal 3 5 3 2" xfId="792"/>
    <cellStyle name="Normal 3 5 3 3" xfId="793"/>
    <cellStyle name="Normal 3 5 4" xfId="794"/>
    <cellStyle name="Normal 3 5 4 2" xfId="795"/>
    <cellStyle name="Normal 3 5 4 3" xfId="796"/>
    <cellStyle name="Normal 3 5 5" xfId="797"/>
    <cellStyle name="Normal 3 5 6" xfId="798"/>
    <cellStyle name="Normal 3 5 7" xfId="787"/>
    <cellStyle name="Normal 3 6" xfId="799"/>
    <cellStyle name="Normal 3 6 2" xfId="800"/>
    <cellStyle name="Normal 3 6 2 2" xfId="801"/>
    <cellStyle name="Normal 3 6 2 3" xfId="802"/>
    <cellStyle name="Normal 3 6 3" xfId="803"/>
    <cellStyle name="Normal 3 6 3 2" xfId="804"/>
    <cellStyle name="Normal 3 6 3 3" xfId="805"/>
    <cellStyle name="Normal 3 6 4" xfId="806"/>
    <cellStyle name="Normal 3 6 4 2" xfId="807"/>
    <cellStyle name="Normal 3 6 4 3" xfId="808"/>
    <cellStyle name="Normal 3 6 5" xfId="809"/>
    <cellStyle name="Normal 3 6 6" xfId="810"/>
    <cellStyle name="Normal 3 7" xfId="811"/>
    <cellStyle name="Normal 3 7 2" xfId="812"/>
    <cellStyle name="Normal 3 7 2 2" xfId="813"/>
    <cellStyle name="Normal 3 7 2 3" xfId="814"/>
    <cellStyle name="Normal 3 7 3" xfId="815"/>
    <cellStyle name="Normal 3 7 3 2" xfId="816"/>
    <cellStyle name="Normal 3 7 3 3" xfId="817"/>
    <cellStyle name="Normal 3 7 4" xfId="818"/>
    <cellStyle name="Normal 3 7 4 2" xfId="819"/>
    <cellStyle name="Normal 3 7 4 3" xfId="820"/>
    <cellStyle name="Normal 3 7 5" xfId="821"/>
    <cellStyle name="Normal 3 7 6" xfId="822"/>
    <cellStyle name="Normal 3 8" xfId="823"/>
    <cellStyle name="Normal 3 8 2" xfId="824"/>
    <cellStyle name="Normal 3 8 2 2" xfId="825"/>
    <cellStyle name="Normal 3 8 2 3" xfId="826"/>
    <cellStyle name="Normal 3 8 3" xfId="827"/>
    <cellStyle name="Normal 3 8 3 2" xfId="828"/>
    <cellStyle name="Normal 3 8 3 3" xfId="829"/>
    <cellStyle name="Normal 3 8 4" xfId="830"/>
    <cellStyle name="Normal 3 8 4 2" xfId="831"/>
    <cellStyle name="Normal 3 8 4 3" xfId="832"/>
    <cellStyle name="Normal 3 8 5" xfId="833"/>
    <cellStyle name="Normal 3 8 6" xfId="834"/>
    <cellStyle name="Normal 3 9" xfId="835"/>
    <cellStyle name="Normal 3 9 2" xfId="836"/>
    <cellStyle name="Normal 3 9 2 2" xfId="837"/>
    <cellStyle name="Normal 3 9 2 3" xfId="838"/>
    <cellStyle name="Normal 3 9 3" xfId="839"/>
    <cellStyle name="Normal 3 9 3 2" xfId="840"/>
    <cellStyle name="Normal 3 9 3 3" xfId="841"/>
    <cellStyle name="Normal 3 9 4" xfId="842"/>
    <cellStyle name="Normal 3 9 4 2" xfId="843"/>
    <cellStyle name="Normal 3 9 4 3" xfId="844"/>
    <cellStyle name="Normal 3 9 5" xfId="845"/>
    <cellStyle name="Normal 3 9 6" xfId="846"/>
    <cellStyle name="Normal 30" xfId="450"/>
    <cellStyle name="Normal 4" xfId="28"/>
    <cellStyle name="Normal 4 2" xfId="196"/>
    <cellStyle name="Normal 4 2 2" xfId="849"/>
    <cellStyle name="Normal 4 2 3" xfId="848"/>
    <cellStyle name="Normal 4 3" xfId="850"/>
    <cellStyle name="Normal 4 3 2" xfId="851"/>
    <cellStyle name="Normal 4 4" xfId="852"/>
    <cellStyle name="Normal 4 4 2" xfId="853"/>
    <cellStyle name="Normal 4 4 2 2" xfId="854"/>
    <cellStyle name="Normal 4 4 2 2 2" xfId="855"/>
    <cellStyle name="Normal 4 4 2 2 2 2" xfId="856"/>
    <cellStyle name="Normal 4 4 2 2 3" xfId="857"/>
    <cellStyle name="Normal 4 4 2 3" xfId="858"/>
    <cellStyle name="Normal 4 4 2 3 2" xfId="859"/>
    <cellStyle name="Normal 4 4 2 3 2 2" xfId="860"/>
    <cellStyle name="Normal 4 4 2 3 2 2 2" xfId="861"/>
    <cellStyle name="Normal 4 4 2 3 2 3" xfId="862"/>
    <cellStyle name="Normal 4 4 2 3 2 3 2" xfId="863"/>
    <cellStyle name="Normal 4 4 2 3 2 4" xfId="864"/>
    <cellStyle name="Normal 4 4 2 3 2 4 2" xfId="865"/>
    <cellStyle name="Normal 4 4 2 3 2 4 2 2" xfId="866"/>
    <cellStyle name="Normal 4 4 2 3 2 4 2 2 2" xfId="867"/>
    <cellStyle name="Normal 4 4 2 3 2 4 2 3" xfId="868"/>
    <cellStyle name="Normal 4 4 2 3 2 4 2 3 2" xfId="869"/>
    <cellStyle name="Normal 4 4 2 3 2 4 2 4" xfId="870"/>
    <cellStyle name="Normal 4 4 2 3 2 4 2 4 2" xfId="871"/>
    <cellStyle name="Normal 4 4 2 3 2 4 2 4 2 2" xfId="872"/>
    <cellStyle name="Normal 4 4 2 3 2 4 2 4 2 2 2" xfId="873"/>
    <cellStyle name="Normal 4 4 2 3 2 4 2 4 2 2 2 2" xfId="874"/>
    <cellStyle name="Normal 4 4 2 3 2 4 2 4 2 2 3" xfId="875"/>
    <cellStyle name="Normal 4 4 2 3 2 4 2 4 2 2 3 2" xfId="876"/>
    <cellStyle name="Normal 4 4 2 3 2 4 2 4 2 2 3 2 10" xfId="877"/>
    <cellStyle name="Normal 4 4 2 3 2 4 2 4 2 2 3 2 10 2" xfId="878"/>
    <cellStyle name="Normal 4 4 2 3 2 4 2 4 2 2 3 2 11" xfId="879"/>
    <cellStyle name="Normal 4 4 2 3 2 4 2 4 2 2 3 2 11 2" xfId="880"/>
    <cellStyle name="Normal 4 4 2 3 2 4 2 4 2 2 3 2 12" xfId="881"/>
    <cellStyle name="Normal 4 4 2 3 2 4 2 4 2 2 3 2 12 2" xfId="882"/>
    <cellStyle name="Normal 4 4 2 3 2 4 2 4 2 2 3 2 13" xfId="883"/>
    <cellStyle name="Normal 4 4 2 3 2 4 2 4 2 2 3 2 13 2" xfId="884"/>
    <cellStyle name="Normal 4 4 2 3 2 4 2 4 2 2 3 2 14" xfId="885"/>
    <cellStyle name="Normal 4 4 2 3 2 4 2 4 2 2 3 2 14 2" xfId="886"/>
    <cellStyle name="Normal 4 4 2 3 2 4 2 4 2 2 3 2 15" xfId="887"/>
    <cellStyle name="Normal 4 4 2 3 2 4 2 4 2 2 3 2 15 2" xfId="888"/>
    <cellStyle name="Normal 4 4 2 3 2 4 2 4 2 2 3 2 16" xfId="889"/>
    <cellStyle name="Normal 4 4 2 3 2 4 2 4 2 2 3 2 16 2" xfId="890"/>
    <cellStyle name="Normal 4 4 2 3 2 4 2 4 2 2 3 2 17" xfId="891"/>
    <cellStyle name="Normal 4 4 2 3 2 4 2 4 2 2 3 2 17 2" xfId="892"/>
    <cellStyle name="Normal 4 4 2 3 2 4 2 4 2 2 3 2 18" xfId="893"/>
    <cellStyle name="Normal 4 4 2 3 2 4 2 4 2 2 3 2 18 2" xfId="894"/>
    <cellStyle name="Normal 4 4 2 3 2 4 2 4 2 2 3 2 19" xfId="895"/>
    <cellStyle name="Normal 4 4 2 3 2 4 2 4 2 2 3 2 19 2" xfId="896"/>
    <cellStyle name="Normal 4 4 2 3 2 4 2 4 2 2 3 2 2" xfId="897"/>
    <cellStyle name="Normal 4 4 2 3 2 4 2 4 2 2 3 2 2 2" xfId="898"/>
    <cellStyle name="Normal 4 4 2 3 2 4 2 4 2 2 3 2 20" xfId="899"/>
    <cellStyle name="Normal 4 4 2 3 2 4 2 4 2 2 3 2 20 2" xfId="900"/>
    <cellStyle name="Normal 4 4 2 3 2 4 2 4 2 2 3 2 21" xfId="901"/>
    <cellStyle name="Normal 4 4 2 3 2 4 2 4 2 2 3 2 21 2" xfId="902"/>
    <cellStyle name="Normal 4 4 2 3 2 4 2 4 2 2 3 2 22" xfId="903"/>
    <cellStyle name="Normal 4 4 2 3 2 4 2 4 2 2 3 2 22 2" xfId="904"/>
    <cellStyle name="Normal 4 4 2 3 2 4 2 4 2 2 3 2 23" xfId="905"/>
    <cellStyle name="Normal 4 4 2 3 2 4 2 4 2 2 3 2 23 2" xfId="906"/>
    <cellStyle name="Normal 4 4 2 3 2 4 2 4 2 2 3 2 24" xfId="907"/>
    <cellStyle name="Normal 4 4 2 3 2 4 2 4 2 2 3 2 24 2" xfId="908"/>
    <cellStyle name="Normal 4 4 2 3 2 4 2 4 2 2 3 2 25" xfId="909"/>
    <cellStyle name="Normal 4 4 2 3 2 4 2 4 2 2 3 2 25 2" xfId="910"/>
    <cellStyle name="Normal 4 4 2 3 2 4 2 4 2 2 3 2 26" xfId="911"/>
    <cellStyle name="Normal 4 4 2 3 2 4 2 4 2 2 3 2 26 2" xfId="912"/>
    <cellStyle name="Normal 4 4 2 3 2 4 2 4 2 2 3 2 27" xfId="913"/>
    <cellStyle name="Normal 4 4 2 3 2 4 2 4 2 2 3 2 27 2" xfId="914"/>
    <cellStyle name="Normal 4 4 2 3 2 4 2 4 2 2 3 2 28" xfId="915"/>
    <cellStyle name="Normal 4 4 2 3 2 4 2 4 2 2 3 2 28 2" xfId="916"/>
    <cellStyle name="Normal 4 4 2 3 2 4 2 4 2 2 3 2 29" xfId="917"/>
    <cellStyle name="Normal 4 4 2 3 2 4 2 4 2 2 3 2 29 2" xfId="918"/>
    <cellStyle name="Normal 4 4 2 3 2 4 2 4 2 2 3 2 3" xfId="919"/>
    <cellStyle name="Normal 4 4 2 3 2 4 2 4 2 2 3 2 3 2" xfId="920"/>
    <cellStyle name="Normal 4 4 2 3 2 4 2 4 2 2 3 2 30" xfId="921"/>
    <cellStyle name="Normal 4 4 2 3 2 4 2 4 2 2 3 2 30 2" xfId="922"/>
    <cellStyle name="Normal 4 4 2 3 2 4 2 4 2 2 3 2 31" xfId="923"/>
    <cellStyle name="Normal 4 4 2 3 2 4 2 4 2 2 3 2 31 2" xfId="924"/>
    <cellStyle name="Normal 4 4 2 3 2 4 2 4 2 2 3 2 32" xfId="925"/>
    <cellStyle name="Normal 4 4 2 3 2 4 2 4 2 2 3 2 32 2" xfId="926"/>
    <cellStyle name="Normal 4 4 2 3 2 4 2 4 2 2 3 2 33" xfId="927"/>
    <cellStyle name="Normal 4 4 2 3 2 4 2 4 2 2 3 2 33 2" xfId="928"/>
    <cellStyle name="Normal 4 4 2 3 2 4 2 4 2 2 3 2 34" xfId="929"/>
    <cellStyle name="Normal 4 4 2 3 2 4 2 4 2 2 3 2 34 2" xfId="930"/>
    <cellStyle name="Normal 4 4 2 3 2 4 2 4 2 2 3 2 35" xfId="931"/>
    <cellStyle name="Normal 4 4 2 3 2 4 2 4 2 2 3 2 35 2" xfId="932"/>
    <cellStyle name="Normal 4 4 2 3 2 4 2 4 2 2 3 2 36" xfId="933"/>
    <cellStyle name="Normal 4 4 2 3 2 4 2 4 2 2 3 2 36 2" xfId="934"/>
    <cellStyle name="Normal 4 4 2 3 2 4 2 4 2 2 3 2 37" xfId="935"/>
    <cellStyle name="Normal 4 4 2 3 2 4 2 4 2 2 3 2 37 2" xfId="936"/>
    <cellStyle name="Normal 4 4 2 3 2 4 2 4 2 2 3 2 38" xfId="937"/>
    <cellStyle name="Normal 4 4 2 3 2 4 2 4 2 2 3 2 38 2" xfId="938"/>
    <cellStyle name="Normal 4 4 2 3 2 4 2 4 2 2 3 2 39" xfId="939"/>
    <cellStyle name="Normal 4 4 2 3 2 4 2 4 2 2 3 2 39 2" xfId="940"/>
    <cellStyle name="Normal 4 4 2 3 2 4 2 4 2 2 3 2 4" xfId="941"/>
    <cellStyle name="Normal 4 4 2 3 2 4 2 4 2 2 3 2 4 2" xfId="942"/>
    <cellStyle name="Normal 4 4 2 3 2 4 2 4 2 2 3 2 40" xfId="943"/>
    <cellStyle name="Normal 4 4 2 3 2 4 2 4 2 2 3 2 40 2" xfId="944"/>
    <cellStyle name="Normal 4 4 2 3 2 4 2 4 2 2 3 2 41" xfId="945"/>
    <cellStyle name="Normal 4 4 2 3 2 4 2 4 2 2 3 2 41 2" xfId="946"/>
    <cellStyle name="Normal 4 4 2 3 2 4 2 4 2 2 3 2 42" xfId="947"/>
    <cellStyle name="Normal 4 4 2 3 2 4 2 4 2 2 3 2 42 2" xfId="948"/>
    <cellStyle name="Normal 4 4 2 3 2 4 2 4 2 2 3 2 42 2 2" xfId="949"/>
    <cellStyle name="Normal 4 4 2 3 2 4 2 4 2 2 3 2 42 2 2 2" xfId="950"/>
    <cellStyle name="Normal 4 4 2 3 2 4 2 4 2 2 3 2 42 2 3" xfId="951"/>
    <cellStyle name="Normal 4 4 2 3 2 4 2 4 2 2 3 2 42 2 3 2" xfId="952"/>
    <cellStyle name="Normal 4 4 2 3 2 4 2 4 2 2 3 2 42 2 3 2 2" xfId="953"/>
    <cellStyle name="Normal 4 4 2 3 2 4 2 4 2 2 3 2 42 2 3 2 2 2" xfId="954"/>
    <cellStyle name="Normal 4 4 2 3 2 4 2 4 2 2 3 2 42 2 3 2 2 2 2" xfId="955"/>
    <cellStyle name="Normal 4 4 2 3 2 4 2 4 2 2 3 2 42 2 3 2 2 2 2 2" xfId="956"/>
    <cellStyle name="Normal 4 4 2 3 2 4 2 4 2 2 3 2 42 2 3 2 2 2 2 2 2" xfId="957"/>
    <cellStyle name="Normal 4 4 2 3 2 4 2 4 2 2 3 2 42 2 3 2 2 2 2 3" xfId="958"/>
    <cellStyle name="Normal 4 4 2 3 2 4 2 4 2 2 3 2 42 2 3 2 2 2 2 3 2" xfId="959"/>
    <cellStyle name="Normal 4 4 2 3 2 4 2 4 2 2 3 2 42 2 3 2 2 2 2 3 2 2" xfId="960"/>
    <cellStyle name="Normal 4 4 2 3 2 4 2 4 2 2 3 2 42 2 3 2 2 2 2 3 3" xfId="961"/>
    <cellStyle name="Normal 4 4 2 3 2 4 2 4 2 2 3 2 42 2 3 2 2 2 2 3 3 2" xfId="962"/>
    <cellStyle name="Normal 4 4 2 3 2 4 2 4 2 2 3 2 42 2 3 2 2 2 2 3 4" xfId="963"/>
    <cellStyle name="Normal 4 4 2 3 2 4 2 4 2 2 3 2 42 2 3 2 2 2 2 3 4 2" xfId="964"/>
    <cellStyle name="Normal 4 4 2 3 2 4 2 4 2 2 3 2 42 2 3 2 2 2 2 3 5" xfId="965"/>
    <cellStyle name="Normal 4 4 2 3 2 4 2 4 2 2 3 2 42 2 3 2 2 2 2 3 5 2" xfId="966"/>
    <cellStyle name="Normal 4 4 2 3 2 4 2 4 2 2 3 2 42 2 3 2 2 2 2 3 6" xfId="967"/>
    <cellStyle name="Normal 4 4 2 3 2 4 2 4 2 2 3 2 42 2 3 2 2 2 2 3 6 2" xfId="968"/>
    <cellStyle name="Normal 4 4 2 3 2 4 2 4 2 2 3 2 42 2 3 2 2 2 2 3 7" xfId="969"/>
    <cellStyle name="Normal 4 4 2 3 2 4 2 4 2 2 3 2 42 2 3 2 2 2 2 3 7 2" xfId="970"/>
    <cellStyle name="Normal 4 4 2 3 2 4 2 4 2 2 3 2 42 2 3 2 2 2 2 3 8" xfId="971"/>
    <cellStyle name="Normal 4 4 2 3 2 4 2 4 2 2 3 2 42 2 3 2 2 2 2 3 8 10" xfId="972"/>
    <cellStyle name="Normal 4 4 2 3 2 4 2 4 2 2 3 2 42 2 3 2 2 2 2 3 8 10 2" xfId="973"/>
    <cellStyle name="Normal 4 4 2 3 2 4 2 4 2 2 3 2 42 2 3 2 2 2 2 3 8 11" xfId="974"/>
    <cellStyle name="Normal 4 4 2 3 2 4 2 4 2 2 3 2 42 2 3 2 2 2 2 3 8 11 2" xfId="975"/>
    <cellStyle name="Normal 4 4 2 3 2 4 2 4 2 2 3 2 42 2 3 2 2 2 2 3 8 11 2 2" xfId="976"/>
    <cellStyle name="Normal 4 4 2 3 2 4 2 4 2 2 3 2 42 2 3 2 2 2 2 3 8 11 3" xfId="977"/>
    <cellStyle name="Normal 4 4 2 3 2 4 2 4 2 2 3 2 42 2 3 2 2 2 2 3 8 11 3 2" xfId="978"/>
    <cellStyle name="Normal 4 4 2 3 2 4 2 4 2 2 3 2 42 2 3 2 2 2 2 3 8 11 4" xfId="979"/>
    <cellStyle name="Normal 4 4 2 3 2 4 2 4 2 2 3 2 42 2 3 2 2 2 2 3 8 11 4 2" xfId="980"/>
    <cellStyle name="Normal 4 4 2 3 2 4 2 4 2 2 3 2 42 2 3 2 2 2 2 3 8 11 5" xfId="981"/>
    <cellStyle name="Normal 4 4 2 3 2 4 2 4 2 2 3 2 42 2 3 2 2 2 2 3 8 11 5 2" xfId="982"/>
    <cellStyle name="Normal 4 4 2 3 2 4 2 4 2 2 3 2 42 2 3 2 2 2 2 3 8 11 5 2 2" xfId="983"/>
    <cellStyle name="Normal 4 4 2 3 2 4 2 4 2 2 3 2 42 2 3 2 2 2 2 3 8 11 5 3" xfId="984"/>
    <cellStyle name="Normal 4 4 2 3 2 4 2 4 2 2 3 2 42 2 3 2 2 2 2 3 8 11 5 3 2" xfId="985"/>
    <cellStyle name="Normal 4 4 2 3 2 4 2 4 2 2 3 2 42 2 3 2 2 2 2 3 8 11 5 3 2 2" xfId="986"/>
    <cellStyle name="Normal 4 4 2 3 2 4 2 4 2 2 3 2 42 2 3 2 2 2 2 3 8 11 5 3 3" xfId="987"/>
    <cellStyle name="Normal 4 4 2 3 2 4 2 4 2 2 3 2 42 2 3 2 2 2 2 3 8 11 5 3 3 2" xfId="988"/>
    <cellStyle name="Normal 4 4 2 3 2 4 2 4 2 2 3 2 42 2 3 2 2 2 2 3 8 11 5 3 4" xfId="989"/>
    <cellStyle name="Normal 4 4 2 3 2 4 2 4 2 2 3 2 42 2 3 2 2 2 2 3 8 11 5 3 4 2" xfId="990"/>
    <cellStyle name="Normal 4 4 2 3 2 4 2 4 2 2 3 2 42 2 3 2 2 2 2 3 8 11 5 3 5" xfId="991"/>
    <cellStyle name="Normal 4 4 2 3 2 4 2 4 2 2 3 2 42 2 3 2 2 2 2 3 8 11 5 3 6" xfId="992"/>
    <cellStyle name="Normal 4 4 2 3 2 4 2 4 2 2 3 2 42 2 3 2 2 2 2 3 8 11 5 3 6 2" xfId="993"/>
    <cellStyle name="Normal 4 4 2 3 2 4 2 4 2 2 3 2 42 2 3 2 2 2 2 3 8 11 5 3 6 3" xfId="994"/>
    <cellStyle name="Normal 4 4 2 3 2 4 2 4 2 2 3 2 42 2 3 2 2 2 2 3 8 11 5 3 6 4" xfId="995"/>
    <cellStyle name="Normal 4 4 2 3 2 4 2 4 2 2 3 2 42 2 3 2 2 2 2 3 8 11 5 3 6 5" xfId="996"/>
    <cellStyle name="Normal 4 4 2 3 2 4 2 4 2 2 3 2 42 2 3 2 2 2 2 3 8 11 5 3 6 6" xfId="997"/>
    <cellStyle name="Normal 4 4 2 3 2 4 2 4 2 2 3 2 42 2 3 2 2 2 2 3 8 11 5 3 6 7" xfId="998"/>
    <cellStyle name="Normal 4 4 2 3 2 4 2 4 2 2 3 2 42 2 3 2 2 2 2 3 8 11 5 3 6 8" xfId="999"/>
    <cellStyle name="Normal 4 4 2 3 2 4 2 4 2 2 3 2 42 2 3 2 2 2 2 3 8 11 5 3 6 8 2" xfId="1000"/>
    <cellStyle name="Normal 4 4 2 3 2 4 2 4 2 2 3 2 42 2 3 2 2 2 2 3 8 11 5 3 6 8 3" xfId="1001"/>
    <cellStyle name="Normal 4 4 2 3 2 4 2 4 2 2 3 2 42 2 3 2 2 2 2 3 8 11 5 3 6 8 3 2" xfId="1002"/>
    <cellStyle name="Normal 4 4 2 3 2 4 2 4 2 2 3 2 42 2 3 2 2 2 2 3 8 11 5 3 6 8 3 3" xfId="1003"/>
    <cellStyle name="Normal 4 4 2 3 2 4 2 4 2 2 3 2 42 2 3 2 2 2 2 3 8 11 5 3 6 8 3 4" xfId="1004"/>
    <cellStyle name="Normal 4 4 2 3 2 4 2 4 2 2 3 2 42 2 3 2 2 2 2 3 8 11 5 3 6 8 3 5" xfId="1005"/>
    <cellStyle name="Normal 4 4 2 3 2 4 2 4 2 2 3 2 42 2 3 2 2 2 2 3 8 11 5 3 6 8 3 6" xfId="1006"/>
    <cellStyle name="Normal 4 4 2 3 2 4 2 4 2 2 3 2 42 2 3 2 2 2 2 3 8 11 5 3 6 8 3 7" xfId="1007"/>
    <cellStyle name="Normal 4 4 2 3 2 4 2 4 2 2 3 2 42 2 3 2 2 2 2 3 8 11 5 3 6 8 3 8" xfId="1008"/>
    <cellStyle name="Normal 4 4 2 3 2 4 2 4 2 2 3 2 42 2 3 2 2 2 2 3 8 2" xfId="1009"/>
    <cellStyle name="Normal 4 4 2 3 2 4 2 4 2 2 3 2 42 2 3 2 2 2 2 3 8 2 2" xfId="1010"/>
    <cellStyle name="Normal 4 4 2 3 2 4 2 4 2 2 3 2 42 2 3 2 2 2 2 3 8 3" xfId="1011"/>
    <cellStyle name="Normal 4 4 2 3 2 4 2 4 2 2 3 2 42 2 3 2 2 2 2 3 8 3 2" xfId="1012"/>
    <cellStyle name="Normal 4 4 2 3 2 4 2 4 2 2 3 2 42 2 3 2 2 2 2 3 8 4" xfId="1013"/>
    <cellStyle name="Normal 4 4 2 3 2 4 2 4 2 2 3 2 42 2 3 2 2 2 2 3 8 4 2" xfId="1014"/>
    <cellStyle name="Normal 4 4 2 3 2 4 2 4 2 2 3 2 42 2 3 2 2 2 2 3 8 5" xfId="1015"/>
    <cellStyle name="Normal 4 4 2 3 2 4 2 4 2 2 3 2 42 2 3 2 2 2 2 3 8 5 2" xfId="1016"/>
    <cellStyle name="Normal 4 4 2 3 2 4 2 4 2 2 3 2 42 2 3 2 2 2 2 3 8 6" xfId="1017"/>
    <cellStyle name="Normal 4 4 2 3 2 4 2 4 2 2 3 2 42 2 3 2 2 2 2 3 8 6 2" xfId="1018"/>
    <cellStyle name="Normal 4 4 2 3 2 4 2 4 2 2 3 2 42 2 3 2 2 2 2 3 8 7" xfId="1019"/>
    <cellStyle name="Normal 4 4 2 3 2 4 2 4 2 2 3 2 42 2 3 2 2 2 2 3 8 7 2" xfId="1020"/>
    <cellStyle name="Normal 4 4 2 3 2 4 2 4 2 2 3 2 42 2 3 2 2 2 2 3 8 8" xfId="1021"/>
    <cellStyle name="Normal 4 4 2 3 2 4 2 4 2 2 3 2 42 2 3 2 2 2 2 3 8 8 2" xfId="1022"/>
    <cellStyle name="Normal 4 4 2 3 2 4 2 4 2 2 3 2 42 2 3 2 2 2 2 3 8 9" xfId="1023"/>
    <cellStyle name="Normal 4 4 2 3 2 4 2 4 2 2 3 2 42 2 3 2 2 2 2 3 8 9 2" xfId="1024"/>
    <cellStyle name="Normal 4 4 2 3 2 4 2 4 2 2 3 2 5" xfId="1025"/>
    <cellStyle name="Normal 4 4 2 3 2 4 2 4 2 2 3 2 5 2" xfId="1026"/>
    <cellStyle name="Normal 4 4 2 3 2 4 2 4 2 2 3 2 6" xfId="1027"/>
    <cellStyle name="Normal 4 4 2 3 2 4 2 4 2 2 3 2 6 2" xfId="1028"/>
    <cellStyle name="Normal 4 4 2 3 2 4 2 4 2 2 3 2 7" xfId="1029"/>
    <cellStyle name="Normal 4 4 2 3 2 4 2 4 2 2 3 2 7 2" xfId="1030"/>
    <cellStyle name="Normal 4 4 2 3 2 4 2 4 2 2 3 2 8" xfId="1031"/>
    <cellStyle name="Normal 4 4 2 3 2 4 2 4 2 2 3 2 8 2" xfId="1032"/>
    <cellStyle name="Normal 4 4 2 3 2 4 2 4 2 2 3 2 9" xfId="1033"/>
    <cellStyle name="Normal 4 4 2 3 2 4 2 4 2 2 3 2 9 2" xfId="1034"/>
    <cellStyle name="Normal 4 4 2 3 2 4 2 5" xfId="1035"/>
    <cellStyle name="Normal 4 4 2 3 2 4 2 5 2" xfId="1036"/>
    <cellStyle name="Normal 4 4 2 3 2 4 2 6" xfId="1037"/>
    <cellStyle name="Normal 4 4 2 3 2 4 2 6 2" xfId="1038"/>
    <cellStyle name="Normal 4 4 2 3 2 4 2 6 2 2" xfId="1039"/>
    <cellStyle name="Normal 4 4 2 3 2 4 2 6 3" xfId="1040"/>
    <cellStyle name="Normal 4 4 2 3 2 4 2 6 3 2" xfId="1041"/>
    <cellStyle name="Normal 4 4 2 3 2 4 2 6 4" xfId="1042"/>
    <cellStyle name="Normal 4 4 2 3 2 4 2 6 4 2" xfId="1043"/>
    <cellStyle name="Normal 4 4 2 3 2 4 2 6 5" xfId="1044"/>
    <cellStyle name="Normal 4 4 2 3 2 4 2 6 5 2" xfId="1045"/>
    <cellStyle name="Normal 4 4 2 3 2 4 2 6 5 2 2" xfId="1046"/>
    <cellStyle name="Normal 4 4 2 3 2 4 2 6 5 3" xfId="1047"/>
    <cellStyle name="Normal 4 4 2 3 2 4 2 6 5 3 2" xfId="1048"/>
    <cellStyle name="Normal 4 4 2 3 2 4 2 6 5 4" xfId="1049"/>
    <cellStyle name="Normal 4 4 2 3 2 4 2 6 5 5" xfId="1050"/>
    <cellStyle name="Normal 4 4 2 3 2 4 2 6 5 6" xfId="1051"/>
    <cellStyle name="Normal 4 4 2 3 2 4 2 6 6" xfId="1052"/>
    <cellStyle name="Normal 4 4 2 3 2 4 2 6 6 2" xfId="1053"/>
    <cellStyle name="Normal 4 4 2 3 2 4 2 6 7" xfId="1054"/>
    <cellStyle name="Normal 4 4 2 3 2 4 2 6 7 2" xfId="1055"/>
    <cellStyle name="Normal 4 4 2 3 2 4 2 6 8" xfId="1056"/>
    <cellStyle name="Normal 4 4 2 3 2 5" xfId="1057"/>
    <cellStyle name="Normal 4 4 2 3 2 5 2" xfId="1058"/>
    <cellStyle name="Normal 4 4 2 3 2 6" xfId="1059"/>
    <cellStyle name="Normal 4 4 2 3 2 6 2" xfId="1060"/>
    <cellStyle name="Normal 4 4 2 3 2 7" xfId="1061"/>
    <cellStyle name="Normal 4 4 2 3 2 7 2" xfId="1062"/>
    <cellStyle name="Normal 4 4 2 3 2 8" xfId="1063"/>
    <cellStyle name="Normal 4 4 2 3 2 8 2" xfId="1064"/>
    <cellStyle name="Normal 4 4 2 3 2 8 2 2" xfId="1065"/>
    <cellStyle name="Normal 4 4 2 3 2 8 3" xfId="1066"/>
    <cellStyle name="Normal 4 4 2 3 2 9" xfId="1067"/>
    <cellStyle name="Normal 4 4 2 3 2 9 2" xfId="1068"/>
    <cellStyle name="Normal 4 5" xfId="847"/>
    <cellStyle name="Normal 5" xfId="1069"/>
    <cellStyle name="Normal 5 2" xfId="1070"/>
    <cellStyle name="Normal 5 2 2" xfId="1071"/>
    <cellStyle name="Normal 5 2 2 2" xfId="1072"/>
    <cellStyle name="Normal 5 2 3" xfId="1073"/>
    <cellStyle name="Normal 5 2 3 2" xfId="1074"/>
    <cellStyle name="Normal 5 2 4" xfId="1075"/>
    <cellStyle name="Normal 5 2 4 2" xfId="1076"/>
    <cellStyle name="Normal 5 2 4 2 2" xfId="1077"/>
    <cellStyle name="Normal 5 2 4 2 2 2" xfId="1078"/>
    <cellStyle name="Normal 5 2 4 2 2 2 2" xfId="1079"/>
    <cellStyle name="Normal 5 2 4 2 2 3" xfId="1080"/>
    <cellStyle name="Normal 5 2 4 2 2 4" xfId="1081"/>
    <cellStyle name="Normal 5 2 4 2 3" xfId="1082"/>
    <cellStyle name="Normal 5 2 4 3" xfId="1083"/>
    <cellStyle name="Normal 5 2 5" xfId="1084"/>
    <cellStyle name="Normal 5 3" xfId="1085"/>
    <cellStyle name="Normal 5 3 2" xfId="1086"/>
    <cellStyle name="Normal 5 3 3" xfId="1087"/>
    <cellStyle name="Normal 5 4" xfId="1088"/>
    <cellStyle name="Normal 5 4 2" xfId="1089"/>
    <cellStyle name="Normal 5 4 3" xfId="1090"/>
    <cellStyle name="Normal 5 5" xfId="1091"/>
    <cellStyle name="Normal 5 6" xfId="1092"/>
    <cellStyle name="Normal 6" xfId="1093"/>
    <cellStyle name="Normal 6 2" xfId="1094"/>
    <cellStyle name="Normal 7" xfId="1095"/>
    <cellStyle name="Normal 7 2" xfId="1096"/>
    <cellStyle name="Normal 7 2 2" xfId="1097"/>
    <cellStyle name="Normal 7 2 3" xfId="1098"/>
    <cellStyle name="Normal 7 3" xfId="1099"/>
    <cellStyle name="Normal 7 3 2" xfId="1100"/>
    <cellStyle name="Normal 7 3 3" xfId="1101"/>
    <cellStyle name="Normal 7 4" xfId="1102"/>
    <cellStyle name="Normal 7 4 2" xfId="1103"/>
    <cellStyle name="Normal 7 4 3" xfId="1104"/>
    <cellStyle name="Normal 7 5" xfId="1105"/>
    <cellStyle name="Normal 7 6" xfId="1106"/>
    <cellStyle name="Normal 8" xfId="1107"/>
    <cellStyle name="Normal 8 2" xfId="1108"/>
    <cellStyle name="Normal 8 3" xfId="1109"/>
    <cellStyle name="Normal 9" xfId="1110"/>
    <cellStyle name="Normal 9 2" xfId="1111"/>
    <cellStyle name="Normal 9 2 2" xfId="1112"/>
    <cellStyle name="Normal 9 2 3" xfId="1113"/>
    <cellStyle name="Normal 9 3" xfId="1114"/>
    <cellStyle name="Normal 9 4" xfId="1115"/>
    <cellStyle name="Normál_8gradk" xfId="197"/>
    <cellStyle name="Note 2" xfId="198"/>
    <cellStyle name="Note 2 2" xfId="1117"/>
    <cellStyle name="Note 2 2 2" xfId="1118"/>
    <cellStyle name="Note 2 2 3" xfId="1119"/>
    <cellStyle name="Note 2 3" xfId="1120"/>
    <cellStyle name="Note 2 3 2" xfId="1121"/>
    <cellStyle name="Note 2 3 3" xfId="1122"/>
    <cellStyle name="Note 2 4" xfId="1123"/>
    <cellStyle name="Note 2 4 2" xfId="1124"/>
    <cellStyle name="Note 2 4 3" xfId="1125"/>
    <cellStyle name="Note 2 5" xfId="1126"/>
    <cellStyle name="Note 2 6" xfId="1127"/>
    <cellStyle name="Note 2 7" xfId="1116"/>
    <cellStyle name="Note 3" xfId="1128"/>
    <cellStyle name="Note 3 2" xfId="1129"/>
    <cellStyle name="Note 3 2 2" xfId="1130"/>
    <cellStyle name="Note 3 2 3" xfId="1131"/>
    <cellStyle name="Note 3 3" xfId="1132"/>
    <cellStyle name="Note 3 3 2" xfId="1133"/>
    <cellStyle name="Note 3 3 3" xfId="1134"/>
    <cellStyle name="Note 3 4" xfId="1135"/>
    <cellStyle name="Note 3 4 2" xfId="1136"/>
    <cellStyle name="Note 3 4 3" xfId="1137"/>
    <cellStyle name="Note 3 5" xfId="1138"/>
    <cellStyle name="Note 3 6" xfId="1139"/>
    <cellStyle name="Note 4" xfId="1140"/>
    <cellStyle name="Note 4 2" xfId="1141"/>
    <cellStyle name="Note 4 2 2" xfId="1142"/>
    <cellStyle name="Note 4 2 3" xfId="1143"/>
    <cellStyle name="Note 4 3" xfId="1144"/>
    <cellStyle name="Note 4 3 2" xfId="1145"/>
    <cellStyle name="Note 4 3 3" xfId="1146"/>
    <cellStyle name="Note 4 4" xfId="1147"/>
    <cellStyle name="Note 4 4 2" xfId="1148"/>
    <cellStyle name="Note 4 4 3" xfId="1149"/>
    <cellStyle name="Note 4 5" xfId="1150"/>
    <cellStyle name="Note 4 6" xfId="1151"/>
    <cellStyle name="Notitie 2" xfId="199"/>
    <cellStyle name="Notitie 3" xfId="200"/>
    <cellStyle name="Notitie 4" xfId="201"/>
    <cellStyle name="Notitie 5" xfId="202"/>
    <cellStyle name="Ongeldig 2" xfId="203"/>
    <cellStyle name="Ongeldig 3" xfId="204"/>
    <cellStyle name="Output 2" xfId="205"/>
    <cellStyle name="Percent" xfId="449" builtinId="5"/>
    <cellStyle name="Percent 10" xfId="1152"/>
    <cellStyle name="Percent 11" xfId="1153"/>
    <cellStyle name="Percent 12" xfId="1154"/>
    <cellStyle name="Percent 13" xfId="1155"/>
    <cellStyle name="Percent 13 2" xfId="1156"/>
    <cellStyle name="Percent 14" xfId="1157"/>
    <cellStyle name="Percent 14 2" xfId="1158"/>
    <cellStyle name="Percent 15" xfId="1159"/>
    <cellStyle name="Percent 15 2" xfId="1160"/>
    <cellStyle name="Percent 16" xfId="1161"/>
    <cellStyle name="Percent 16 2" xfId="1162"/>
    <cellStyle name="Percent 17" xfId="1163"/>
    <cellStyle name="Percent 17 2" xfId="1164"/>
    <cellStyle name="Percent 18" xfId="1165"/>
    <cellStyle name="Percent 18 2" xfId="1166"/>
    <cellStyle name="Percent 19" xfId="1167"/>
    <cellStyle name="Percent 19 2" xfId="1168"/>
    <cellStyle name="Percent 2" xfId="14"/>
    <cellStyle name="Percent 2 2" xfId="1169"/>
    <cellStyle name="Percent 20" xfId="1170"/>
    <cellStyle name="Percent 20 2" xfId="1171"/>
    <cellStyle name="Percent 21" xfId="1172"/>
    <cellStyle name="Percent 21 2" xfId="1173"/>
    <cellStyle name="Percent 22" xfId="1174"/>
    <cellStyle name="Percent 23" xfId="1175"/>
    <cellStyle name="Percent 23 2" xfId="1176"/>
    <cellStyle name="Percent 24" xfId="1177"/>
    <cellStyle name="Percent 24 2" xfId="1178"/>
    <cellStyle name="Percent 25" xfId="1179"/>
    <cellStyle name="Percent 3" xfId="30"/>
    <cellStyle name="Percent 3 2" xfId="1181"/>
    <cellStyle name="Percent 3 3" xfId="1180"/>
    <cellStyle name="Percent 4" xfId="1182"/>
    <cellStyle name="Percent 5" xfId="1183"/>
    <cellStyle name="Percent 6" xfId="1184"/>
    <cellStyle name="Percent 7" xfId="1185"/>
    <cellStyle name="Percent 8" xfId="1186"/>
    <cellStyle name="Percent 9" xfId="1187"/>
    <cellStyle name="Procen - Opmaakprofiel2" xfId="206"/>
    <cellStyle name="Procent 2" xfId="207"/>
    <cellStyle name="Procent 3" xfId="208"/>
    <cellStyle name="Procent 3 2" xfId="209"/>
    <cellStyle name="Procent 4" xfId="210"/>
    <cellStyle name="Procent 4 2" xfId="211"/>
    <cellStyle name="Prozent_SubCatperStud" xfId="212"/>
    <cellStyle name="PUNT" xfId="9"/>
    <cellStyle name="PUNT 2" xfId="213"/>
    <cellStyle name="row" xfId="214"/>
    <cellStyle name="RowCodes" xfId="215"/>
    <cellStyle name="Row-Col Headings" xfId="216"/>
    <cellStyle name="RowTitles" xfId="217"/>
    <cellStyle name="RowTitles1-Detail" xfId="218"/>
    <cellStyle name="RowTitles-Col2" xfId="219"/>
    <cellStyle name="RowTitles-Detail" xfId="220"/>
    <cellStyle name="SAPBEXaggData" xfId="221"/>
    <cellStyle name="SAPBEXaggData 2" xfId="222"/>
    <cellStyle name="SAPBEXaggData 3" xfId="223"/>
    <cellStyle name="SAPBEXaggData 4" xfId="224"/>
    <cellStyle name="SAPBEXaggDataEmph" xfId="225"/>
    <cellStyle name="SAPBEXaggDataEmph 2" xfId="226"/>
    <cellStyle name="SAPBEXaggDataEmph 3" xfId="227"/>
    <cellStyle name="SAPBEXaggDataEmph 4" xfId="228"/>
    <cellStyle name="SAPBEXaggItem" xfId="229"/>
    <cellStyle name="SAPBEXaggItem 2" xfId="230"/>
    <cellStyle name="SAPBEXaggItem 3" xfId="231"/>
    <cellStyle name="SAPBEXaggItem 4" xfId="232"/>
    <cellStyle name="SAPBEXaggItemX" xfId="233"/>
    <cellStyle name="SAPBEXaggItemX 2" xfId="234"/>
    <cellStyle name="SAPBEXaggItemX 3" xfId="235"/>
    <cellStyle name="SAPBEXchaText" xfId="236"/>
    <cellStyle name="SAPBEXchaText 2" xfId="237"/>
    <cellStyle name="SAPBEXchaText 2 2" xfId="238"/>
    <cellStyle name="SAPBEXchaText 3" xfId="239"/>
    <cellStyle name="SAPBEXchaText 3 2" xfId="240"/>
    <cellStyle name="SAPBEXchaText 4" xfId="241"/>
    <cellStyle name="SAPBEXchaText_13 Totaal en tabellen begroting 2013 versie 21" xfId="242"/>
    <cellStyle name="SAPBEXexcBad7" xfId="243"/>
    <cellStyle name="SAPBEXexcBad7 2" xfId="244"/>
    <cellStyle name="SAPBEXexcBad7 3" xfId="245"/>
    <cellStyle name="SAPBEXexcBad7 4" xfId="246"/>
    <cellStyle name="SAPBEXexcBad8" xfId="247"/>
    <cellStyle name="SAPBEXexcBad8 2" xfId="248"/>
    <cellStyle name="SAPBEXexcBad8 3" xfId="249"/>
    <cellStyle name="SAPBEXexcBad8 4" xfId="250"/>
    <cellStyle name="SAPBEXexcBad9" xfId="251"/>
    <cellStyle name="SAPBEXexcBad9 2" xfId="252"/>
    <cellStyle name="SAPBEXexcBad9 3" xfId="253"/>
    <cellStyle name="SAPBEXexcBad9 4" xfId="254"/>
    <cellStyle name="SAPBEXexcCritical4" xfId="255"/>
    <cellStyle name="SAPBEXexcCritical4 2" xfId="256"/>
    <cellStyle name="SAPBEXexcCritical4 3" xfId="257"/>
    <cellStyle name="SAPBEXexcCritical4 4" xfId="258"/>
    <cellStyle name="SAPBEXexcCritical5" xfId="259"/>
    <cellStyle name="SAPBEXexcCritical5 2" xfId="260"/>
    <cellStyle name="SAPBEXexcCritical5 3" xfId="261"/>
    <cellStyle name="SAPBEXexcCritical5 4" xfId="262"/>
    <cellStyle name="SAPBEXexcCritical6" xfId="263"/>
    <cellStyle name="SAPBEXexcCritical6 2" xfId="264"/>
    <cellStyle name="SAPBEXexcCritical6 3" xfId="265"/>
    <cellStyle name="SAPBEXexcCritical6 4" xfId="266"/>
    <cellStyle name="SAPBEXexcGood1" xfId="267"/>
    <cellStyle name="SAPBEXexcGood1 2" xfId="268"/>
    <cellStyle name="SAPBEXexcGood1 3" xfId="269"/>
    <cellStyle name="SAPBEXexcGood1 4" xfId="270"/>
    <cellStyle name="SAPBEXexcGood2" xfId="271"/>
    <cellStyle name="SAPBEXexcGood2 2" xfId="272"/>
    <cellStyle name="SAPBEXexcGood2 3" xfId="273"/>
    <cellStyle name="SAPBEXexcGood2 4" xfId="274"/>
    <cellStyle name="SAPBEXexcGood3" xfId="275"/>
    <cellStyle name="SAPBEXexcGood3 2" xfId="276"/>
    <cellStyle name="SAPBEXexcGood3 3" xfId="277"/>
    <cellStyle name="SAPBEXexcGood3 4" xfId="278"/>
    <cellStyle name="SAPBEXfilterDrill" xfId="279"/>
    <cellStyle name="SAPBEXfilterDrill 2" xfId="280"/>
    <cellStyle name="SAPBEXfilterDrill 3" xfId="281"/>
    <cellStyle name="SAPBEXfilterDrill 4" xfId="282"/>
    <cellStyle name="SAPBEXfilterItem" xfId="283"/>
    <cellStyle name="SAPBEXfilterItem 2" xfId="284"/>
    <cellStyle name="SAPBEXfilterItem 3" xfId="285"/>
    <cellStyle name="SAPBEXfilterItem 4" xfId="286"/>
    <cellStyle name="SAPBEXfilterText" xfId="287"/>
    <cellStyle name="SAPBEXfilterText 2" xfId="288"/>
    <cellStyle name="SAPBEXfilterText 3" xfId="289"/>
    <cellStyle name="SAPBEXformats" xfId="290"/>
    <cellStyle name="SAPBEXformats 2" xfId="291"/>
    <cellStyle name="SAPBEXformats 2 2" xfId="292"/>
    <cellStyle name="SAPBEXformats 3" xfId="293"/>
    <cellStyle name="SAPBEXformats 3 2" xfId="294"/>
    <cellStyle name="SAPBEXformats 4" xfId="295"/>
    <cellStyle name="SAPBEXformats_20100402 standen 11 12 13 en mutaties 11" xfId="296"/>
    <cellStyle name="SAPBEXheaderItem" xfId="297"/>
    <cellStyle name="SAPBEXheaderItem 2" xfId="298"/>
    <cellStyle name="SAPBEXheaderItem 3" xfId="299"/>
    <cellStyle name="SAPBEXheaderItem 4" xfId="300"/>
    <cellStyle name="SAPBEXheaderText" xfId="301"/>
    <cellStyle name="SAPBEXheaderText 2" xfId="302"/>
    <cellStyle name="SAPBEXheaderText 3" xfId="303"/>
    <cellStyle name="SAPBEXheaderText 4" xfId="304"/>
    <cellStyle name="SAPBEXHLevel0" xfId="305"/>
    <cellStyle name="SAPBEXHLevel0 2" xfId="306"/>
    <cellStyle name="SAPBEXHLevel0 3" xfId="307"/>
    <cellStyle name="SAPBEXHLevel0X" xfId="308"/>
    <cellStyle name="SAPBEXHLevel0X 2" xfId="309"/>
    <cellStyle name="SAPBEXHLevel0X 3" xfId="310"/>
    <cellStyle name="SAPBEXHLevel1" xfId="311"/>
    <cellStyle name="SAPBEXHLevel1 2" xfId="312"/>
    <cellStyle name="SAPBEXHLevel1 3" xfId="313"/>
    <cellStyle name="SAPBEXHLevel1X" xfId="314"/>
    <cellStyle name="SAPBEXHLevel1X 2" xfId="315"/>
    <cellStyle name="SAPBEXHLevel1X 3" xfId="316"/>
    <cellStyle name="SAPBEXHLevel2" xfId="317"/>
    <cellStyle name="SAPBEXHLevel2 2" xfId="318"/>
    <cellStyle name="SAPBEXHLevel2 3" xfId="319"/>
    <cellStyle name="SAPBEXHLevel2X" xfId="320"/>
    <cellStyle name="SAPBEXHLevel2X 2" xfId="321"/>
    <cellStyle name="SAPBEXHLevel2X 3" xfId="322"/>
    <cellStyle name="SAPBEXHLevel3" xfId="323"/>
    <cellStyle name="SAPBEXHLevel3 2" xfId="324"/>
    <cellStyle name="SAPBEXHLevel3 3" xfId="325"/>
    <cellStyle name="SAPBEXHLevel3X" xfId="326"/>
    <cellStyle name="SAPBEXHLevel3X 2" xfId="327"/>
    <cellStyle name="SAPBEXHLevel3X 3" xfId="328"/>
    <cellStyle name="SAPBEXinputData" xfId="329"/>
    <cellStyle name="SAPBEXinputData 2" xfId="330"/>
    <cellStyle name="SAPBEXresData" xfId="331"/>
    <cellStyle name="SAPBEXresData 2" xfId="332"/>
    <cellStyle name="SAPBEXresData 3" xfId="333"/>
    <cellStyle name="SAPBEXresData 4" xfId="334"/>
    <cellStyle name="SAPBEXresDataEmph" xfId="335"/>
    <cellStyle name="SAPBEXresDataEmph 2" xfId="336"/>
    <cellStyle name="SAPBEXresDataEmph 3" xfId="337"/>
    <cellStyle name="SAPBEXresDataEmph 4" xfId="338"/>
    <cellStyle name="SAPBEXresItem" xfId="339"/>
    <cellStyle name="SAPBEXresItem 2" xfId="340"/>
    <cellStyle name="SAPBEXresItem 3" xfId="341"/>
    <cellStyle name="SAPBEXresItem 4" xfId="342"/>
    <cellStyle name="SAPBEXresItemX" xfId="343"/>
    <cellStyle name="SAPBEXresItemX 2" xfId="344"/>
    <cellStyle name="SAPBEXresItemX 3" xfId="345"/>
    <cellStyle name="SAPBEXstdData" xfId="346"/>
    <cellStyle name="SAPBEXstdData 2" xfId="347"/>
    <cellStyle name="SAPBEXstdData 2 2" xfId="348"/>
    <cellStyle name="SAPBEXstdData 3" xfId="349"/>
    <cellStyle name="SAPBEXstdData 3 2" xfId="350"/>
    <cellStyle name="SAPBEXstdData_2012 06 11 Mutaties MLN 2013 (zoals aangeleverd bij Fin)" xfId="351"/>
    <cellStyle name="SAPBEXstdDataEmph" xfId="352"/>
    <cellStyle name="SAPBEXstdDataEmph 2" xfId="353"/>
    <cellStyle name="SAPBEXstdDataEmph 3" xfId="354"/>
    <cellStyle name="SAPBEXstdDataEmph 4" xfId="355"/>
    <cellStyle name="SAPBEXstdItem" xfId="356"/>
    <cellStyle name="SAPBEXstdItem 2" xfId="357"/>
    <cellStyle name="SAPBEXstdItem 2 2" xfId="358"/>
    <cellStyle name="SAPBEXstdItem 3" xfId="359"/>
    <cellStyle name="SAPBEXstdItem 3 2" xfId="360"/>
    <cellStyle name="SAPBEXstdItem 4" xfId="361"/>
    <cellStyle name="SAPBEXstdItem_00 Totaal ramingsbijstellingen SF" xfId="362"/>
    <cellStyle name="SAPBEXstdItemX" xfId="363"/>
    <cellStyle name="SAPBEXstdItemX 2" xfId="364"/>
    <cellStyle name="SAPBEXstdItemX 3" xfId="365"/>
    <cellStyle name="SAPBEXtitle" xfId="366"/>
    <cellStyle name="SAPBEXtitle 2" xfId="367"/>
    <cellStyle name="SAPBEXtitle 3" xfId="368"/>
    <cellStyle name="SAPBEXtitle 4" xfId="369"/>
    <cellStyle name="SAPBEXundefined" xfId="370"/>
    <cellStyle name="SAPBEXundefined 2" xfId="371"/>
    <cellStyle name="SAPBEXundefined 3" xfId="372"/>
    <cellStyle name="SAPBEXundefined 4" xfId="373"/>
    <cellStyle name="Standaard 10" xfId="374"/>
    <cellStyle name="Standaard 11" xfId="375"/>
    <cellStyle name="Standaard 12" xfId="376"/>
    <cellStyle name="Standaard 13" xfId="377"/>
    <cellStyle name="Standaard 13 2" xfId="378"/>
    <cellStyle name="Standaard 13 3" xfId="379"/>
    <cellStyle name="Standaard 13 4" xfId="380"/>
    <cellStyle name="Standaard 14" xfId="381"/>
    <cellStyle name="Standaard 15" xfId="382"/>
    <cellStyle name="Standaard 16" xfId="383"/>
    <cellStyle name="Standaard 17" xfId="384"/>
    <cellStyle name="Standaard 18" xfId="385"/>
    <cellStyle name="Standaard 19" xfId="386"/>
    <cellStyle name="Standaard 2" xfId="15"/>
    <cellStyle name="Standaard 2 2" xfId="33"/>
    <cellStyle name="Standaard 2 3" xfId="387"/>
    <cellStyle name="Standaard 2 3 2" xfId="388"/>
    <cellStyle name="Standaard 2 4" xfId="389"/>
    <cellStyle name="Standaard 2 5" xfId="390"/>
    <cellStyle name="Standaard 2 6" xfId="34"/>
    <cellStyle name="Standaard 20" xfId="391"/>
    <cellStyle name="Standaard 21" xfId="392"/>
    <cellStyle name="Standaard 22" xfId="393"/>
    <cellStyle name="Standaard 23" xfId="394"/>
    <cellStyle name="Standaard 24" xfId="395"/>
    <cellStyle name="Standaard 25" xfId="396"/>
    <cellStyle name="Standaard 26" xfId="397"/>
    <cellStyle name="Standaard 3" xfId="25"/>
    <cellStyle name="Standaard 3 2" xfId="398"/>
    <cellStyle name="Standaard 3 3" xfId="399"/>
    <cellStyle name="Standaard 4" xfId="400"/>
    <cellStyle name="Standaard 4 2" xfId="401"/>
    <cellStyle name="Standaard 5" xfId="402"/>
    <cellStyle name="Standaard 5 2" xfId="403"/>
    <cellStyle name="Standaard 6" xfId="404"/>
    <cellStyle name="Standaard 6 2" xfId="405"/>
    <cellStyle name="Standaard 6 3" xfId="406"/>
    <cellStyle name="Standaard 7" xfId="407"/>
    <cellStyle name="Standaard 7 2" xfId="408"/>
    <cellStyle name="Standaard 7 2 2" xfId="409"/>
    <cellStyle name="Standaard 8" xfId="410"/>
    <cellStyle name="Standaard 9" xfId="411"/>
    <cellStyle name="Standaard_a" xfId="1188"/>
    <cellStyle name="STANDAARD1" xfId="10"/>
    <cellStyle name="Standaard2_Sserie1" xfId="1189"/>
    <cellStyle name="Standard_DIAGRAM" xfId="412"/>
    <cellStyle name="Sub-titles" xfId="413"/>
    <cellStyle name="Sub-titles Cols" xfId="414"/>
    <cellStyle name="Sub-titles rows" xfId="415"/>
    <cellStyle name="Table No." xfId="416"/>
    <cellStyle name="Table Title" xfId="417"/>
    <cellStyle name="temp" xfId="418"/>
    <cellStyle name="Title 2" xfId="419"/>
    <cellStyle name="title1" xfId="420"/>
    <cellStyle name="Titles" xfId="421"/>
    <cellStyle name="TOTAAL" xfId="11"/>
    <cellStyle name="Totaal 2" xfId="422"/>
    <cellStyle name="Totaal 2 2" xfId="423"/>
    <cellStyle name="Totaal 3" xfId="424"/>
    <cellStyle name="Totaal 4" xfId="1190"/>
    <cellStyle name="Total 2" xfId="425"/>
    <cellStyle name="TOTAL 2 2" xfId="1192"/>
    <cellStyle name="TOTAL 2 3" xfId="1191"/>
    <cellStyle name="TOTAL 3" xfId="1193"/>
    <cellStyle name="Tusental (0)_Blad2" xfId="426"/>
    <cellStyle name="Tusental_Blad2" xfId="427"/>
    <cellStyle name="Uitvoer 2" xfId="428"/>
    <cellStyle name="Uitvoer 3" xfId="429"/>
    <cellStyle name="Valuta (0)_Blad2" xfId="430"/>
    <cellStyle name="Valuta 2" xfId="431"/>
    <cellStyle name="Valuta 2 2" xfId="432"/>
    <cellStyle name="Valuta 2 3" xfId="433"/>
    <cellStyle name="Valuta 3" xfId="434"/>
    <cellStyle name="Valuta 4" xfId="435"/>
    <cellStyle name="Valuta 5" xfId="436"/>
    <cellStyle name="Valuta 6" xfId="437"/>
    <cellStyle name="Valuta 7" xfId="438"/>
    <cellStyle name="Valuta 8" xfId="439"/>
    <cellStyle name="Valuta0" xfId="440"/>
    <cellStyle name="Valuta0 10" xfId="1237"/>
    <cellStyle name="Valuta0 2" xfId="1195"/>
    <cellStyle name="Valuta0 2 2" xfId="1196"/>
    <cellStyle name="Valuta0 2 2 2" xfId="1197"/>
    <cellStyle name="Valuta0 2 2 2 2" xfId="1240"/>
    <cellStyle name="Valuta0 2 2 3" xfId="1198"/>
    <cellStyle name="Valuta0 2 2 3 2" xfId="1241"/>
    <cellStyle name="Valuta0 2 2 4" xfId="1239"/>
    <cellStyle name="Valuta0 2 3" xfId="1199"/>
    <cellStyle name="Valuta0 2 3 2" xfId="1200"/>
    <cellStyle name="Valuta0 2 3 2 2" xfId="1243"/>
    <cellStyle name="Valuta0 2 3 3" xfId="1201"/>
    <cellStyle name="Valuta0 2 3 3 2" xfId="1244"/>
    <cellStyle name="Valuta0 2 3 4" xfId="1242"/>
    <cellStyle name="Valuta0 2 4" xfId="1202"/>
    <cellStyle name="Valuta0 2 4 2" xfId="1203"/>
    <cellStyle name="Valuta0 2 4 2 2" xfId="1246"/>
    <cellStyle name="Valuta0 2 4 3" xfId="1204"/>
    <cellStyle name="Valuta0 2 4 3 2" xfId="1247"/>
    <cellStyle name="Valuta0 2 4 4" xfId="1245"/>
    <cellStyle name="Valuta0 2 5" xfId="1205"/>
    <cellStyle name="Valuta0 2 5 2" xfId="1248"/>
    <cellStyle name="Valuta0 2 6" xfId="1206"/>
    <cellStyle name="Valuta0 2 6 2" xfId="1249"/>
    <cellStyle name="Valuta0 2 7" xfId="1207"/>
    <cellStyle name="Valuta0 2 8" xfId="1238"/>
    <cellStyle name="Valuta0 3" xfId="1208"/>
    <cellStyle name="Valuta0 3 2" xfId="1209"/>
    <cellStyle name="Valuta0 3 2 2" xfId="1251"/>
    <cellStyle name="Valuta0 3 3" xfId="1210"/>
    <cellStyle name="Valuta0 3 3 2" xfId="1252"/>
    <cellStyle name="Valuta0 3 4" xfId="1211"/>
    <cellStyle name="Valuta0 3 5" xfId="1250"/>
    <cellStyle name="Valuta0 4" xfId="1212"/>
    <cellStyle name="Valuta0 4 2" xfId="1213"/>
    <cellStyle name="Valuta0 4 2 2" xfId="1254"/>
    <cellStyle name="Valuta0 4 3" xfId="1214"/>
    <cellStyle name="Valuta0 4 3 2" xfId="1255"/>
    <cellStyle name="Valuta0 4 4" xfId="1215"/>
    <cellStyle name="Valuta0 4 5" xfId="1253"/>
    <cellStyle name="Valuta0 5" xfId="1216"/>
    <cellStyle name="Valuta0 5 2" xfId="1217"/>
    <cellStyle name="Valuta0 5 2 2" xfId="1257"/>
    <cellStyle name="Valuta0 5 3" xfId="1218"/>
    <cellStyle name="Valuta0 5 3 2" xfId="1258"/>
    <cellStyle name="Valuta0 5 4" xfId="1256"/>
    <cellStyle name="Valuta0 6" xfId="1219"/>
    <cellStyle name="Valuta0 6 2" xfId="1259"/>
    <cellStyle name="Valuta0 7" xfId="1220"/>
    <cellStyle name="Valuta0 7 2" xfId="1260"/>
    <cellStyle name="Valuta0 8" xfId="1221"/>
    <cellStyle name="Valuta0 9" xfId="1194"/>
    <cellStyle name="Vast" xfId="441"/>
    <cellStyle name="Vast 2" xfId="1222"/>
    <cellStyle name="Vast1" xfId="1223"/>
    <cellStyle name="Vast1 2" xfId="1224"/>
    <cellStyle name="Verklarende tekst 2" xfId="442"/>
    <cellStyle name="Verklarende tekst 3" xfId="443"/>
    <cellStyle name="Waarschuwingstekst 2" xfId="444"/>
    <cellStyle name="Waarschuwingstekst 3" xfId="445"/>
    <cellStyle name="Währung [0]_DIAGRAM" xfId="446"/>
    <cellStyle name="Währung_DIAGRAM" xfId="447"/>
    <cellStyle name="Warning Text 2" xfId="44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iSa\Projects\15TwIn_TWIN%20begroting%202016\YYPrCd_Data\YYPrCd_DatOrig\Opgave%20IenM-TOF_begroting-2016%2008-1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toelichting R&amp;D"/>
      <sheetName val="toelichting innovatie"/>
      <sheetName val="NABScodering"/>
    </sheetNames>
    <sheetDataSet>
      <sheetData sheetId="0">
        <row r="88">
          <cell r="B88" t="str">
            <v>RWS Corporate innovatie (HWN, HWVN)</v>
          </cell>
        </row>
        <row r="96">
          <cell r="B96" t="str">
            <v>Opdrachten KDC</v>
          </cell>
        </row>
        <row r="98">
          <cell r="B98" t="str">
            <v>KLM Corporate Biofuel Programme</v>
          </cell>
        </row>
        <row r="100">
          <cell r="B100" t="str">
            <v>topsector logistiek - opdrachten</v>
          </cell>
        </row>
        <row r="102">
          <cell r="B102" t="str">
            <v>topsector logistiek - subsidies</v>
          </cell>
        </row>
        <row r="104">
          <cell r="B104" t="str">
            <v>subsidieregeling innovaties duurzame binnenvaart</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ijksoverheid.nl/documenten/begrotingen/2018/09/18/bijlagen-miljoenennota-2019https:/www.rijksoverheid.nl/documenten/begrotingen/2017/09/19/bijlagen-miljoenennota-2018" TargetMode="External"/><Relationship Id="rId1" Type="http://schemas.openxmlformats.org/officeDocument/2006/relationships/hyperlink" Target="https://www.rijksoverheid.nl/documenten/begrotingen/2018/09/18/bijlagen-miljoenennota-2019https:/www.rijksoverheid.nl/documenten/begrotingen/2017/09/19/bijlagen-miljoenennota-2018"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zoomScaleSheetLayoutView="100" workbookViewId="0"/>
  </sheetViews>
  <sheetFormatPr defaultRowHeight="15" customHeight="1"/>
  <cols>
    <col min="1" max="1" width="3.7109375" style="32" customWidth="1"/>
    <col min="2" max="2" width="129" style="32" customWidth="1"/>
    <col min="3" max="3" width="9.140625" style="32"/>
    <col min="4" max="4" width="9.28515625" style="170" customWidth="1"/>
    <col min="5" max="5" width="9.140625" style="170"/>
    <col min="6" max="16384" width="9.140625" style="32"/>
  </cols>
  <sheetData>
    <row r="1" spans="1:5" ht="20.100000000000001" customHeight="1">
      <c r="B1" s="74" t="s">
        <v>235</v>
      </c>
    </row>
    <row r="2" spans="1:5" ht="15" customHeight="1">
      <c r="B2" s="74"/>
    </row>
    <row r="3" spans="1:5" s="67" customFormat="1" ht="19.5" customHeight="1">
      <c r="A3" s="168"/>
      <c r="B3" s="167" t="s">
        <v>234</v>
      </c>
      <c r="D3" s="171"/>
      <c r="E3" s="171"/>
    </row>
    <row r="4" spans="1:5" s="67" customFormat="1" ht="19.5" customHeight="1">
      <c r="A4" s="168"/>
      <c r="B4" s="172" t="s">
        <v>559</v>
      </c>
      <c r="D4" s="171"/>
      <c r="E4" s="171"/>
    </row>
    <row r="5" spans="1:5" s="67" customFormat="1" ht="19.5" customHeight="1">
      <c r="A5" s="168"/>
      <c r="B5" s="172" t="s">
        <v>560</v>
      </c>
      <c r="D5" s="171"/>
      <c r="E5" s="171"/>
    </row>
    <row r="6" spans="1:5" s="67" customFormat="1" ht="19.5" customHeight="1">
      <c r="A6" s="168"/>
      <c r="B6" s="172" t="s">
        <v>561</v>
      </c>
      <c r="D6" s="171"/>
      <c r="E6" s="171"/>
    </row>
    <row r="7" spans="1:5" s="67" customFormat="1" ht="19.5" customHeight="1">
      <c r="A7" s="168"/>
      <c r="B7" s="172" t="s">
        <v>562</v>
      </c>
      <c r="D7" s="171"/>
      <c r="E7" s="171"/>
    </row>
    <row r="8" spans="1:5" s="67" customFormat="1" ht="19.5" customHeight="1">
      <c r="A8" s="168"/>
      <c r="B8" s="172" t="s">
        <v>563</v>
      </c>
      <c r="D8" s="171"/>
      <c r="E8" s="171"/>
    </row>
    <row r="9" spans="1:5" s="67" customFormat="1" ht="19.5" customHeight="1">
      <c r="A9" s="168"/>
      <c r="B9" s="172" t="s">
        <v>564</v>
      </c>
      <c r="D9" s="171"/>
      <c r="E9" s="171"/>
    </row>
    <row r="10" spans="1:5" s="67" customFormat="1" ht="19.5" customHeight="1">
      <c r="A10" s="168"/>
      <c r="B10" s="172" t="s">
        <v>565</v>
      </c>
      <c r="D10" s="171"/>
      <c r="E10" s="171"/>
    </row>
  </sheetData>
  <hyperlinks>
    <hyperlink ref="B3" location="Toelichting!A1" display="- Toelichting"/>
    <hyperlink ref="B4" location="Totaal!A1" display="- Totaaloverzicht: overheidsuitgaven voor R&amp;D en innovatie 2016-2022, in miljoenen euro en procenten van het BBP"/>
    <hyperlink ref="B5" location="'R&amp;D'!A1" display="- Overzicht: overheidsuitgaven voor R&amp;D en het aandeel innovatierelevante R&amp;D-uitgaven, per begrotingsartikel, 2016-2022, in miljoenen euro"/>
    <hyperlink ref="B6" location="Innovatie!A1" display="- Het overzicht van de overheidsuitgaven voor innovatie, 2016-2022, in miljoenen euro"/>
    <hyperlink ref="B7" location="'R&amp;D + Innovatie'!A1" display="- Het overzicht van de overheidsuitgaven voor R&amp;D en innovatie, per departement, 2016-2022, in miljoenen euro"/>
    <hyperlink ref="B8" location="Fiscaal!A1" display="- Het overzicht van fiscale instrumenten voor R&amp;D en innovatie, 2016-2022, in miljoenen euro"/>
    <hyperlink ref="B9" location="Type!A1" display="- Het overzicht van overheidsuitgaven voor R&amp;D naar type uitgaven, 2016-2022"/>
    <hyperlink ref="B10" location="'NABS 2007'!A1" display="- Een overzicht van de R&amp;D-uitgaven per NABS-categorie, 2016-2022 (Europese classificatie 2007)"/>
  </hyperlinks>
  <pageMargins left="0.70866141732283472" right="0.70866141732283472" top="0.74803149606299213" bottom="0.74803149606299213" header="0.31496062992125984" footer="0.31496062992125984"/>
  <pageSetup paperSize="9" orientation="landscape" r:id="rId1"/>
  <headerFooter>
    <oddFooter>&amp;L&amp;Z&amp;F</oddFooter>
  </headerFooter>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Normal="100" zoomScaleSheetLayoutView="100" workbookViewId="0"/>
  </sheetViews>
  <sheetFormatPr defaultRowHeight="15"/>
  <cols>
    <col min="1" max="1" width="218.5703125" style="90" customWidth="1"/>
    <col min="2" max="2" width="9.42578125" style="90" customWidth="1"/>
    <col min="3" max="8" width="9.140625" style="90" customWidth="1"/>
    <col min="9" max="16384" width="9.140625" style="90"/>
  </cols>
  <sheetData>
    <row r="1" spans="1:21" ht="18.75">
      <c r="A1" s="74" t="s">
        <v>281</v>
      </c>
    </row>
    <row r="3" spans="1:21" ht="15" customHeight="1">
      <c r="A3" s="43" t="s">
        <v>206</v>
      </c>
    </row>
    <row r="4" spans="1:21" ht="15" customHeight="1">
      <c r="A4" s="286" t="s">
        <v>655</v>
      </c>
      <c r="B4" s="287"/>
      <c r="C4" s="287"/>
      <c r="D4" s="287"/>
      <c r="E4" s="287"/>
      <c r="F4" s="287"/>
      <c r="G4" s="287"/>
      <c r="H4" s="287"/>
    </row>
    <row r="5" spans="1:21" ht="15" customHeight="1">
      <c r="A5" s="161" t="s">
        <v>656</v>
      </c>
      <c r="B5" s="94"/>
      <c r="C5" s="94"/>
      <c r="D5" s="94"/>
      <c r="E5" s="94"/>
      <c r="F5" s="94"/>
      <c r="G5" s="94"/>
      <c r="H5" s="94"/>
    </row>
    <row r="6" spans="1:21" ht="15" customHeight="1">
      <c r="A6" s="288" t="s">
        <v>545</v>
      </c>
      <c r="B6" s="289"/>
      <c r="C6" s="289"/>
      <c r="D6" s="289"/>
      <c r="E6" s="289"/>
      <c r="F6" s="289"/>
      <c r="G6" s="289"/>
      <c r="H6" s="289"/>
    </row>
    <row r="7" spans="1:21" ht="15" customHeight="1">
      <c r="A7" s="290" t="s">
        <v>657</v>
      </c>
      <c r="B7" s="287"/>
      <c r="C7" s="287"/>
      <c r="D7" s="287"/>
      <c r="E7" s="287"/>
      <c r="F7" s="287"/>
      <c r="G7" s="287"/>
      <c r="H7" s="287"/>
    </row>
    <row r="8" spans="1:21" ht="15" customHeight="1">
      <c r="A8" s="191" t="s">
        <v>658</v>
      </c>
      <c r="B8" s="94"/>
      <c r="C8" s="94"/>
      <c r="D8" s="94"/>
      <c r="E8" s="94"/>
      <c r="F8" s="94"/>
      <c r="G8" s="94"/>
      <c r="H8" s="94"/>
    </row>
    <row r="9" spans="1:21" ht="15" customHeight="1"/>
    <row r="10" spans="1:21" ht="15" customHeight="1">
      <c r="A10" s="63" t="s">
        <v>208</v>
      </c>
      <c r="B10" s="2"/>
      <c r="C10" s="2"/>
      <c r="D10" s="2"/>
      <c r="E10" s="2"/>
      <c r="F10" s="2"/>
      <c r="G10" s="2"/>
      <c r="H10" s="2"/>
      <c r="I10" s="2"/>
      <c r="J10" s="2"/>
      <c r="K10" s="2"/>
      <c r="L10" s="2"/>
      <c r="M10" s="2"/>
      <c r="N10" s="2"/>
    </row>
    <row r="11" spans="1:21" ht="15" customHeight="1">
      <c r="A11" s="63"/>
      <c r="B11" s="2"/>
      <c r="C11" s="2"/>
      <c r="D11" s="2"/>
      <c r="E11" s="2"/>
      <c r="F11" s="2"/>
      <c r="G11" s="2"/>
      <c r="H11" s="2"/>
      <c r="I11" s="2"/>
      <c r="J11" s="2"/>
      <c r="K11" s="2"/>
      <c r="L11" s="2"/>
      <c r="M11" s="2"/>
      <c r="N11" s="2"/>
    </row>
    <row r="12" spans="1:21" ht="15" customHeight="1">
      <c r="A12" s="3" t="s">
        <v>194</v>
      </c>
      <c r="B12" s="2"/>
      <c r="C12" s="2"/>
      <c r="D12" s="2"/>
      <c r="E12" s="2"/>
      <c r="F12" s="2"/>
      <c r="G12" s="2"/>
      <c r="H12" s="2"/>
      <c r="I12" s="2"/>
      <c r="J12" s="2"/>
      <c r="K12" s="2"/>
      <c r="L12" s="2"/>
      <c r="M12" s="2"/>
      <c r="N12" s="2"/>
    </row>
    <row r="13" spans="1:21" ht="15" customHeight="1">
      <c r="A13" s="66" t="s">
        <v>550</v>
      </c>
      <c r="B13" s="96"/>
      <c r="C13" s="96"/>
      <c r="D13" s="96"/>
      <c r="E13" s="96"/>
      <c r="F13" s="96"/>
      <c r="G13" s="96"/>
      <c r="H13" s="96"/>
      <c r="I13" s="96"/>
      <c r="J13" s="96"/>
      <c r="K13" s="96"/>
      <c r="L13" s="96"/>
      <c r="M13" s="96"/>
      <c r="N13" s="96"/>
    </row>
    <row r="14" spans="1:21" ht="15" customHeight="1">
      <c r="A14" s="169" t="s">
        <v>551</v>
      </c>
      <c r="B14" s="96"/>
      <c r="C14" s="96"/>
      <c r="D14" s="96"/>
      <c r="E14" s="96"/>
      <c r="F14" s="96"/>
      <c r="G14" s="96"/>
      <c r="H14" s="96"/>
      <c r="I14" s="96"/>
      <c r="J14" s="96"/>
      <c r="K14" s="96"/>
      <c r="L14" s="96"/>
      <c r="M14" s="96"/>
      <c r="N14" s="96"/>
      <c r="O14" s="2"/>
      <c r="P14" s="2"/>
      <c r="Q14" s="2"/>
      <c r="R14" s="95"/>
      <c r="S14" s="40"/>
      <c r="T14" s="95"/>
      <c r="U14" s="95"/>
    </row>
    <row r="15" spans="1:21" ht="15" customHeight="1">
      <c r="A15" s="2" t="s">
        <v>195</v>
      </c>
      <c r="B15" s="2"/>
      <c r="C15" s="2"/>
      <c r="D15" s="2"/>
      <c r="E15" s="2"/>
      <c r="F15" s="2"/>
      <c r="G15" s="2"/>
      <c r="H15" s="2"/>
      <c r="I15" s="2"/>
      <c r="J15" s="2"/>
      <c r="K15" s="2"/>
      <c r="L15" s="2"/>
      <c r="M15" s="2"/>
      <c r="N15" s="2"/>
      <c r="O15" s="2"/>
      <c r="P15" s="2"/>
      <c r="Q15" s="2"/>
      <c r="R15" s="95"/>
      <c r="S15" s="40"/>
      <c r="T15" s="95"/>
      <c r="U15" s="95"/>
    </row>
    <row r="16" spans="1:21" ht="15" customHeight="1">
      <c r="A16" s="2"/>
      <c r="B16" s="2"/>
      <c r="C16" s="2"/>
      <c r="D16" s="2"/>
      <c r="E16" s="2"/>
      <c r="F16" s="2"/>
      <c r="G16" s="2"/>
      <c r="H16" s="2"/>
      <c r="I16" s="2"/>
      <c r="J16" s="2"/>
      <c r="K16" s="2"/>
      <c r="L16" s="2"/>
      <c r="M16" s="2"/>
      <c r="N16" s="2"/>
      <c r="O16" s="2"/>
      <c r="P16" s="2"/>
      <c r="Q16" s="2"/>
      <c r="R16" s="95"/>
      <c r="S16" s="40"/>
      <c r="T16" s="95"/>
      <c r="U16" s="95"/>
    </row>
    <row r="17" spans="1:21" ht="15" customHeight="1">
      <c r="A17" s="3" t="s">
        <v>207</v>
      </c>
      <c r="B17" s="2"/>
      <c r="C17" s="2"/>
      <c r="D17" s="2"/>
      <c r="E17" s="2"/>
      <c r="F17" s="2"/>
      <c r="G17" s="2"/>
      <c r="H17" s="2"/>
      <c r="I17" s="2"/>
      <c r="J17" s="2"/>
      <c r="K17" s="2"/>
      <c r="L17" s="2"/>
      <c r="M17" s="2"/>
      <c r="N17" s="2"/>
      <c r="O17" s="41"/>
      <c r="P17" s="41"/>
      <c r="Q17" s="41"/>
      <c r="R17" s="41"/>
      <c r="S17" s="42"/>
      <c r="T17" s="41"/>
      <c r="U17" s="41"/>
    </row>
    <row r="18" spans="1:21" ht="15" customHeight="1">
      <c r="A18" s="64" t="s">
        <v>196</v>
      </c>
      <c r="B18" s="2"/>
      <c r="C18" s="2"/>
      <c r="D18" s="2"/>
      <c r="E18" s="2"/>
      <c r="F18" s="2"/>
      <c r="G18" s="2"/>
      <c r="H18" s="2"/>
      <c r="I18" s="2"/>
      <c r="J18" s="2"/>
      <c r="K18" s="2"/>
      <c r="L18" s="2"/>
      <c r="M18" s="2"/>
      <c r="N18" s="2"/>
    </row>
    <row r="19" spans="1:21" ht="15" customHeight="1">
      <c r="A19" s="64" t="s">
        <v>197</v>
      </c>
      <c r="B19" s="2"/>
      <c r="C19" s="2"/>
      <c r="D19" s="2"/>
      <c r="E19" s="2"/>
      <c r="F19" s="2"/>
      <c r="G19" s="2"/>
      <c r="H19" s="2"/>
      <c r="I19" s="2"/>
      <c r="J19" s="2"/>
      <c r="K19" s="2"/>
      <c r="L19" s="2"/>
      <c r="M19" s="2"/>
      <c r="N19" s="2"/>
    </row>
    <row r="20" spans="1:21" ht="15" customHeight="1">
      <c r="A20" s="64" t="s">
        <v>320</v>
      </c>
      <c r="B20" s="2"/>
      <c r="C20" s="2"/>
      <c r="D20" s="2"/>
      <c r="E20" s="2"/>
      <c r="F20" s="2"/>
      <c r="G20" s="2"/>
      <c r="H20" s="2"/>
      <c r="I20" s="2"/>
      <c r="J20" s="2"/>
      <c r="K20" s="2"/>
      <c r="L20" s="2"/>
      <c r="M20" s="2"/>
      <c r="N20" s="2"/>
    </row>
    <row r="21" spans="1:21" ht="15" customHeight="1">
      <c r="A21" s="64" t="s">
        <v>321</v>
      </c>
      <c r="B21" s="2"/>
      <c r="C21" s="2"/>
      <c r="D21" s="2"/>
      <c r="E21" s="2"/>
      <c r="F21" s="2"/>
      <c r="G21" s="2"/>
      <c r="H21" s="2"/>
      <c r="I21" s="2"/>
      <c r="J21" s="2"/>
      <c r="K21" s="2"/>
      <c r="L21" s="2"/>
      <c r="M21" s="2"/>
      <c r="N21" s="2"/>
    </row>
    <row r="22" spans="1:21" ht="15" customHeight="1">
      <c r="A22" s="2"/>
      <c r="B22" s="2"/>
      <c r="C22" s="2"/>
      <c r="D22" s="2"/>
      <c r="E22" s="2"/>
      <c r="F22" s="2"/>
      <c r="G22" s="2"/>
      <c r="H22" s="2"/>
      <c r="I22" s="2"/>
      <c r="J22" s="2"/>
      <c r="K22" s="2"/>
      <c r="L22" s="2"/>
      <c r="M22" s="2"/>
      <c r="N22" s="2"/>
    </row>
    <row r="23" spans="1:21" ht="15" customHeight="1">
      <c r="A23" s="3" t="s">
        <v>198</v>
      </c>
      <c r="B23" s="2"/>
      <c r="C23" s="2"/>
      <c r="D23" s="2"/>
      <c r="E23" s="2"/>
      <c r="F23" s="2"/>
      <c r="G23" s="2"/>
      <c r="H23" s="2"/>
      <c r="I23" s="2"/>
      <c r="J23" s="2"/>
      <c r="K23" s="2"/>
      <c r="L23" s="2"/>
      <c r="M23" s="2"/>
      <c r="N23" s="2"/>
    </row>
    <row r="24" spans="1:21" ht="48.75" customHeight="1">
      <c r="A24" s="66" t="s">
        <v>199</v>
      </c>
      <c r="B24" s="97"/>
      <c r="C24" s="97"/>
      <c r="D24" s="97"/>
      <c r="E24" s="97"/>
      <c r="F24" s="97"/>
      <c r="G24" s="97"/>
      <c r="H24" s="97"/>
      <c r="I24" s="97"/>
      <c r="J24" s="97"/>
      <c r="K24" s="97"/>
      <c r="L24" s="97"/>
      <c r="M24" s="97"/>
      <c r="N24" s="97"/>
    </row>
    <row r="25" spans="1:21" ht="15" customHeight="1">
      <c r="A25" s="2"/>
      <c r="B25" s="2"/>
      <c r="C25" s="2"/>
      <c r="D25" s="2"/>
      <c r="E25" s="2"/>
      <c r="F25" s="2"/>
      <c r="G25" s="2"/>
      <c r="H25" s="2"/>
      <c r="I25" s="2"/>
      <c r="J25" s="2"/>
      <c r="K25" s="2"/>
      <c r="L25" s="2"/>
      <c r="M25" s="2"/>
      <c r="N25" s="2"/>
    </row>
    <row r="26" spans="1:21" ht="15" customHeight="1">
      <c r="A26" s="3" t="s">
        <v>200</v>
      </c>
      <c r="B26" s="2"/>
      <c r="C26" s="2"/>
      <c r="D26" s="2"/>
      <c r="E26" s="2"/>
      <c r="F26" s="2"/>
      <c r="G26" s="2"/>
      <c r="H26" s="2"/>
      <c r="I26" s="2"/>
      <c r="J26" s="2"/>
      <c r="K26" s="2"/>
      <c r="L26" s="2"/>
      <c r="M26" s="2"/>
      <c r="N26" s="2"/>
    </row>
    <row r="27" spans="1:21" ht="45" customHeight="1">
      <c r="A27" s="66" t="s">
        <v>319</v>
      </c>
      <c r="B27" s="97"/>
      <c r="C27" s="97"/>
      <c r="D27" s="97"/>
      <c r="E27" s="97"/>
      <c r="F27" s="97"/>
      <c r="G27" s="97"/>
      <c r="H27" s="97"/>
      <c r="I27" s="97"/>
      <c r="J27" s="97"/>
      <c r="K27" s="97"/>
      <c r="L27" s="97"/>
      <c r="M27" s="97"/>
      <c r="N27" s="97"/>
    </row>
    <row r="28" spans="1:21" ht="15" customHeight="1">
      <c r="A28" s="2"/>
      <c r="B28" s="2"/>
      <c r="C28" s="2"/>
      <c r="D28" s="2"/>
      <c r="E28" s="2"/>
      <c r="F28" s="2"/>
      <c r="G28" s="2"/>
      <c r="H28" s="2"/>
      <c r="I28" s="2"/>
      <c r="J28" s="2"/>
      <c r="K28" s="2"/>
      <c r="L28" s="2"/>
      <c r="M28" s="2"/>
      <c r="N28" s="2"/>
    </row>
    <row r="29" spans="1:21" ht="15" customHeight="1">
      <c r="A29" s="3" t="s">
        <v>201</v>
      </c>
      <c r="B29" s="2"/>
      <c r="C29" s="2"/>
      <c r="D29" s="2"/>
      <c r="E29" s="2"/>
      <c r="F29" s="2"/>
      <c r="G29" s="2"/>
      <c r="H29" s="2"/>
      <c r="I29" s="2"/>
      <c r="J29" s="2"/>
      <c r="K29" s="2"/>
      <c r="L29" s="2"/>
      <c r="M29" s="2"/>
      <c r="N29" s="2"/>
    </row>
    <row r="30" spans="1:21" ht="15" customHeight="1">
      <c r="A30" s="2" t="s">
        <v>202</v>
      </c>
      <c r="B30" s="2"/>
      <c r="C30" s="2"/>
      <c r="D30" s="2"/>
      <c r="E30" s="2"/>
      <c r="F30" s="2"/>
      <c r="G30" s="2"/>
      <c r="H30" s="2"/>
      <c r="I30" s="2"/>
      <c r="J30" s="2"/>
      <c r="K30" s="2"/>
      <c r="L30" s="2"/>
      <c r="M30" s="2"/>
      <c r="N30" s="2"/>
    </row>
    <row r="31" spans="1:21" ht="15" customHeight="1">
      <c r="A31" s="2"/>
      <c r="B31" s="2"/>
      <c r="C31" s="2"/>
      <c r="D31" s="2"/>
      <c r="E31" s="2"/>
      <c r="F31" s="2"/>
      <c r="G31" s="2"/>
      <c r="H31" s="2"/>
      <c r="I31" s="2"/>
      <c r="J31" s="2"/>
      <c r="K31" s="2"/>
      <c r="L31" s="2"/>
      <c r="M31" s="2"/>
      <c r="N31" s="2"/>
    </row>
    <row r="32" spans="1:21" ht="15" customHeight="1">
      <c r="A32" s="3" t="s">
        <v>203</v>
      </c>
      <c r="B32" s="2"/>
      <c r="C32" s="2"/>
      <c r="D32" s="2"/>
      <c r="E32" s="2"/>
      <c r="F32" s="2"/>
      <c r="G32" s="2"/>
      <c r="H32" s="2"/>
      <c r="I32" s="2"/>
      <c r="J32" s="2"/>
      <c r="K32" s="2"/>
      <c r="L32" s="2"/>
      <c r="M32" s="2"/>
      <c r="N32" s="2"/>
    </row>
    <row r="33" spans="1:14" ht="30" customHeight="1">
      <c r="A33" s="66" t="s">
        <v>204</v>
      </c>
      <c r="B33" s="97"/>
      <c r="C33" s="97"/>
      <c r="D33" s="97"/>
      <c r="E33" s="97"/>
      <c r="F33" s="97"/>
      <c r="G33" s="97"/>
      <c r="H33" s="97"/>
      <c r="I33" s="97"/>
      <c r="J33" s="97"/>
      <c r="K33" s="97"/>
      <c r="L33" s="97"/>
      <c r="M33" s="97"/>
      <c r="N33" s="97"/>
    </row>
    <row r="34" spans="1:14" ht="15" customHeight="1">
      <c r="A34" s="66"/>
      <c r="B34" s="97"/>
      <c r="C34" s="97"/>
      <c r="D34" s="97"/>
      <c r="E34" s="97"/>
      <c r="F34" s="97"/>
      <c r="G34" s="97"/>
      <c r="H34" s="97"/>
      <c r="I34" s="97"/>
      <c r="J34" s="97"/>
      <c r="K34" s="97"/>
      <c r="L34" s="97"/>
      <c r="M34" s="97"/>
      <c r="N34" s="97"/>
    </row>
    <row r="35" spans="1:14" ht="15" customHeight="1">
      <c r="A35" s="3" t="s">
        <v>205</v>
      </c>
      <c r="B35" s="2"/>
      <c r="C35" s="2"/>
      <c r="D35" s="2"/>
      <c r="E35" s="2"/>
      <c r="F35" s="2"/>
      <c r="G35" s="2"/>
      <c r="H35" s="2"/>
      <c r="I35" s="2"/>
      <c r="J35" s="2"/>
      <c r="K35" s="2"/>
      <c r="L35" s="2"/>
      <c r="M35" s="2"/>
      <c r="N35" s="2"/>
    </row>
    <row r="36" spans="1:14" ht="15" customHeight="1">
      <c r="A36" s="66" t="s">
        <v>244</v>
      </c>
      <c r="B36" s="97"/>
      <c r="C36" s="97"/>
      <c r="D36" s="97"/>
      <c r="E36" s="97"/>
      <c r="F36" s="97"/>
      <c r="G36" s="97"/>
      <c r="H36" s="97"/>
      <c r="I36" s="97"/>
      <c r="J36" s="97"/>
      <c r="K36" s="97"/>
      <c r="L36" s="97"/>
      <c r="M36" s="97"/>
      <c r="N36" s="97"/>
    </row>
    <row r="37" spans="1:14" ht="15" customHeight="1"/>
    <row r="38" spans="1:14" ht="15" customHeight="1">
      <c r="A38" s="3" t="s">
        <v>209</v>
      </c>
    </row>
    <row r="39" spans="1:14" ht="15" customHeight="1">
      <c r="A39" s="2" t="s">
        <v>210</v>
      </c>
    </row>
    <row r="40" spans="1:14" ht="15" customHeight="1">
      <c r="A40" s="2" t="s">
        <v>546</v>
      </c>
    </row>
    <row r="41" spans="1:14" ht="15" customHeight="1">
      <c r="A41" s="2" t="s">
        <v>547</v>
      </c>
    </row>
    <row r="42" spans="1:14" ht="15" customHeight="1">
      <c r="A42" s="64" t="s">
        <v>211</v>
      </c>
    </row>
    <row r="43" spans="1:14" ht="15" customHeight="1">
      <c r="A43" s="64" t="s">
        <v>212</v>
      </c>
    </row>
    <row r="44" spans="1:14" ht="15" customHeight="1">
      <c r="A44" s="64" t="s">
        <v>213</v>
      </c>
    </row>
    <row r="45" spans="1:14" ht="15" customHeight="1">
      <c r="A45" s="64" t="s">
        <v>214</v>
      </c>
    </row>
    <row r="46" spans="1:14" ht="15" customHeight="1"/>
    <row r="47" spans="1:14" ht="15" customHeight="1">
      <c r="A47" s="3" t="s">
        <v>215</v>
      </c>
    </row>
    <row r="48" spans="1:14" ht="15" customHeight="1">
      <c r="A48" s="2" t="s">
        <v>216</v>
      </c>
    </row>
    <row r="49" spans="1:1" ht="15" customHeight="1"/>
    <row r="50" spans="1:1" ht="15" customHeight="1">
      <c r="A50" s="3" t="s">
        <v>217</v>
      </c>
    </row>
    <row r="51" spans="1:1" ht="15" customHeight="1">
      <c r="A51" s="2" t="s">
        <v>218</v>
      </c>
    </row>
    <row r="52" spans="1:1" ht="15" customHeight="1">
      <c r="A52" s="2" t="s">
        <v>548</v>
      </c>
    </row>
    <row r="53" spans="1:1" ht="15" customHeight="1">
      <c r="A53" s="2" t="s">
        <v>549</v>
      </c>
    </row>
    <row r="54" spans="1:1" ht="15" customHeight="1">
      <c r="A54" s="2"/>
    </row>
  </sheetData>
  <mergeCells count="3">
    <mergeCell ref="A4:H4"/>
    <mergeCell ref="A6:H6"/>
    <mergeCell ref="A7:H7"/>
  </mergeCells>
  <pageMargins left="0.70866141732283472" right="0.70866141732283472" top="0.74803149606299213" bottom="0.74803149606299213" header="0.31496062992125984" footer="0.31496062992125984"/>
  <pageSetup paperSize="9" scale="99" orientation="landscape" r:id="rId1"/>
  <headerFooter>
    <oddFooter>&amp;L&amp;Z&amp;F</oddFooter>
  </headerFooter>
  <rowBreaks count="1" manualBreakCount="1">
    <brk id="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tabSelected="1" zoomScaleNormal="100" workbookViewId="0"/>
  </sheetViews>
  <sheetFormatPr defaultRowHeight="12.75"/>
  <cols>
    <col min="1" max="1" width="5.5703125" style="87" customWidth="1"/>
    <col min="2" max="2" width="54.7109375" style="87" customWidth="1"/>
    <col min="3" max="3" width="9.42578125" style="87" bestFit="1" customWidth="1"/>
    <col min="4" max="4" width="9.140625" style="87"/>
    <col min="5" max="5" width="10.42578125" style="87" bestFit="1" customWidth="1"/>
    <col min="6" max="9" width="9.42578125" style="87" bestFit="1" customWidth="1"/>
    <col min="10" max="16384" width="9.140625" style="87"/>
  </cols>
  <sheetData>
    <row r="1" spans="1:23" ht="18.75">
      <c r="B1" s="70" t="s">
        <v>650</v>
      </c>
      <c r="C1" s="4"/>
      <c r="D1" s="4"/>
      <c r="E1" s="4"/>
      <c r="F1" s="4"/>
      <c r="G1" s="4"/>
      <c r="H1" s="4"/>
      <c r="I1" s="4"/>
    </row>
    <row r="2" spans="1:23" ht="15.75">
      <c r="B2" s="18"/>
      <c r="C2" s="4"/>
      <c r="D2" s="4"/>
      <c r="E2" s="4"/>
      <c r="F2" s="4"/>
      <c r="G2" s="4"/>
      <c r="H2" s="4"/>
      <c r="I2" s="4"/>
    </row>
    <row r="3" spans="1:23" ht="15">
      <c r="B3" s="3" t="s">
        <v>276</v>
      </c>
      <c r="C3" s="33">
        <v>2017</v>
      </c>
      <c r="D3" s="33">
        <v>2018</v>
      </c>
      <c r="E3" s="33">
        <v>2019</v>
      </c>
      <c r="F3" s="33">
        <v>2020</v>
      </c>
      <c r="G3" s="33">
        <v>2021</v>
      </c>
      <c r="H3" s="33">
        <v>2022</v>
      </c>
      <c r="I3" s="33">
        <v>2023</v>
      </c>
      <c r="J3" s="33"/>
      <c r="K3" s="69"/>
      <c r="L3" s="69"/>
      <c r="M3" s="69"/>
      <c r="N3" s="69"/>
      <c r="O3" s="69"/>
      <c r="P3" s="69"/>
      <c r="Q3"/>
    </row>
    <row r="4" spans="1:23" s="90" customFormat="1" ht="15">
      <c r="A4" s="90" t="s">
        <v>269</v>
      </c>
      <c r="B4" s="90" t="s">
        <v>156</v>
      </c>
      <c r="C4" s="98">
        <f>'R&amp;D'!C268</f>
        <v>4957.9422203081031</v>
      </c>
      <c r="D4" s="98">
        <f>'R&amp;D'!D268</f>
        <v>5566.2732919187438</v>
      </c>
      <c r="E4" s="98">
        <f>'R&amp;D'!E268</f>
        <v>5521.8480864504872</v>
      </c>
      <c r="F4" s="98">
        <f>'R&amp;D'!F268</f>
        <v>5566.6921322269645</v>
      </c>
      <c r="G4" s="98">
        <f>'R&amp;D'!G268</f>
        <v>5501.2666568591803</v>
      </c>
      <c r="H4" s="98">
        <f>'R&amp;D'!H268</f>
        <v>5485.2964894027509</v>
      </c>
      <c r="I4" s="98">
        <f>'R&amp;D'!I268</f>
        <v>5482.04227424694</v>
      </c>
      <c r="K4" s="279"/>
      <c r="L4" s="279"/>
      <c r="M4" s="279"/>
      <c r="N4" s="279"/>
      <c r="O4" s="279"/>
      <c r="P4" s="279"/>
      <c r="Q4" s="279"/>
      <c r="T4" s="142"/>
      <c r="U4" s="142"/>
      <c r="W4" s="198"/>
    </row>
    <row r="5" spans="1:23" s="46" customFormat="1" ht="15">
      <c r="B5" s="44" t="s">
        <v>158</v>
      </c>
      <c r="C5" s="45">
        <f>'R&amp;D'!P268</f>
        <v>1042.4646499999999</v>
      </c>
      <c r="D5" s="45">
        <f>'R&amp;D'!Q268</f>
        <v>1303.20117</v>
      </c>
      <c r="E5" s="45">
        <f>'R&amp;D'!R268</f>
        <v>1180.8411600000002</v>
      </c>
      <c r="F5" s="45">
        <f>'R&amp;D'!S268</f>
        <v>1211.7482100000002</v>
      </c>
      <c r="G5" s="45">
        <f>'R&amp;D'!T268</f>
        <v>1208.9606100000001</v>
      </c>
      <c r="H5" s="45">
        <f>'R&amp;D'!U268</f>
        <v>1210.5133800000001</v>
      </c>
      <c r="I5" s="45">
        <f>'R&amp;D'!V268</f>
        <v>1194.2445799999998</v>
      </c>
      <c r="K5" s="280"/>
      <c r="L5" s="280"/>
      <c r="M5" s="280"/>
      <c r="N5" s="280"/>
      <c r="O5" s="280"/>
      <c r="P5" s="280"/>
      <c r="Q5" s="280"/>
    </row>
    <row r="6" spans="1:23" s="90" customFormat="1" ht="15">
      <c r="A6" s="90" t="s">
        <v>270</v>
      </c>
      <c r="B6" s="2" t="s">
        <v>159</v>
      </c>
      <c r="C6" s="98">
        <f>Innovatie!C109</f>
        <v>326.44599999999997</v>
      </c>
      <c r="D6" s="98">
        <f>Innovatie!D109</f>
        <v>351.54999999999995</v>
      </c>
      <c r="E6" s="98">
        <f>Innovatie!E109</f>
        <v>352.41399999999999</v>
      </c>
      <c r="F6" s="98">
        <f>Innovatie!F109</f>
        <v>318.3069999999999</v>
      </c>
      <c r="G6" s="98">
        <f>Innovatie!G109</f>
        <v>264.49599999999998</v>
      </c>
      <c r="H6" s="98">
        <f>Innovatie!H109</f>
        <v>255.47099999999998</v>
      </c>
      <c r="I6" s="98">
        <f>Innovatie!I109</f>
        <v>232.06299999999996</v>
      </c>
      <c r="K6" s="280"/>
      <c r="L6" s="280"/>
      <c r="M6" s="280"/>
      <c r="N6" s="280"/>
      <c r="O6" s="280"/>
      <c r="P6" s="280"/>
      <c r="Q6" s="280"/>
    </row>
    <row r="7" spans="1:23" s="90" customFormat="1" ht="15">
      <c r="A7" s="90" t="s">
        <v>271</v>
      </c>
      <c r="B7" s="156" t="s">
        <v>155</v>
      </c>
      <c r="C7" s="98">
        <f>Fiscaal!B13</f>
        <v>1329</v>
      </c>
      <c r="D7" s="98">
        <f>Fiscaal!C13</f>
        <v>1308</v>
      </c>
      <c r="E7" s="98">
        <f>Fiscaal!D13</f>
        <v>1350</v>
      </c>
      <c r="F7" s="98">
        <f>Fiscaal!E13</f>
        <v>1426</v>
      </c>
      <c r="G7" s="98">
        <f>Fiscaal!F13</f>
        <v>1426</v>
      </c>
      <c r="H7" s="98">
        <f>Fiscaal!G13</f>
        <v>1426</v>
      </c>
      <c r="I7" s="98">
        <f>Fiscaal!H13</f>
        <v>1426</v>
      </c>
      <c r="K7" s="99"/>
      <c r="L7" s="99"/>
      <c r="M7" s="99"/>
      <c r="N7" s="99"/>
      <c r="O7" s="99"/>
      <c r="P7" s="99"/>
      <c r="Q7" s="99"/>
    </row>
    <row r="8" spans="1:23" s="90" customFormat="1" ht="15">
      <c r="B8" s="44" t="s">
        <v>692</v>
      </c>
      <c r="C8" s="45">
        <f>Fiscaal!B5</f>
        <v>1188</v>
      </c>
      <c r="D8" s="45">
        <f>Fiscaal!C5</f>
        <v>1169</v>
      </c>
      <c r="E8" s="45">
        <f>Fiscaal!D5</f>
        <v>1211</v>
      </c>
      <c r="F8" s="45">
        <f>Fiscaal!E5</f>
        <v>1287</v>
      </c>
      <c r="G8" s="45">
        <f>Fiscaal!F5</f>
        <v>1287</v>
      </c>
      <c r="H8" s="45">
        <f>Fiscaal!G5</f>
        <v>1287</v>
      </c>
      <c r="I8" s="45">
        <f>Fiscaal!H5</f>
        <v>1287</v>
      </c>
      <c r="K8" s="99"/>
      <c r="L8" s="99"/>
      <c r="M8" s="99"/>
      <c r="N8" s="99"/>
      <c r="O8" s="99"/>
      <c r="P8" s="99"/>
      <c r="Q8" s="99"/>
    </row>
    <row r="9" spans="1:23" s="46" customFormat="1" ht="15">
      <c r="B9" s="44" t="s">
        <v>690</v>
      </c>
      <c r="C9" s="45">
        <f>Fiscaal!B11</f>
        <v>141</v>
      </c>
      <c r="D9" s="45">
        <f>Fiscaal!C11</f>
        <v>139</v>
      </c>
      <c r="E9" s="45">
        <f>Fiscaal!D11</f>
        <v>139</v>
      </c>
      <c r="F9" s="45">
        <f>Fiscaal!E11</f>
        <v>139</v>
      </c>
      <c r="G9" s="45">
        <f>Fiscaal!F11</f>
        <v>139</v>
      </c>
      <c r="H9" s="45">
        <f>Fiscaal!G11</f>
        <v>139</v>
      </c>
      <c r="I9" s="45">
        <f>Fiscaal!H11</f>
        <v>139</v>
      </c>
      <c r="K9" s="203"/>
      <c r="L9" s="203"/>
      <c r="M9" s="203"/>
      <c r="N9" s="203"/>
      <c r="O9" s="203"/>
      <c r="P9" s="203"/>
      <c r="Q9" s="203"/>
    </row>
    <row r="10" spans="1:23" s="47" customFormat="1" ht="15.75">
      <c r="B10" s="47" t="s">
        <v>147</v>
      </c>
      <c r="C10" s="48">
        <f t="shared" ref="C10:I10" si="0">+C4+C6+C7</f>
        <v>6613.388220308103</v>
      </c>
      <c r="D10" s="48">
        <f t="shared" si="0"/>
        <v>7225.823291918744</v>
      </c>
      <c r="E10" s="48">
        <f t="shared" si="0"/>
        <v>7224.262086450487</v>
      </c>
      <c r="F10" s="48">
        <f t="shared" si="0"/>
        <v>7310.9991322269643</v>
      </c>
      <c r="G10" s="48">
        <f t="shared" si="0"/>
        <v>7191.7626568591804</v>
      </c>
      <c r="H10" s="48">
        <f t="shared" si="0"/>
        <v>7166.7674894027505</v>
      </c>
      <c r="I10" s="48">
        <f t="shared" si="0"/>
        <v>7140.1052742469401</v>
      </c>
      <c r="K10" s="278"/>
      <c r="L10" s="48"/>
      <c r="M10" s="48"/>
      <c r="N10" s="48"/>
      <c r="O10" s="48"/>
      <c r="P10" s="48"/>
      <c r="Q10" s="48"/>
    </row>
    <row r="11" spans="1:23" s="46" customFormat="1" ht="15">
      <c r="B11" s="44" t="s">
        <v>401</v>
      </c>
      <c r="C11" s="45">
        <f t="shared" ref="C11:I11" si="1">+C5+C6+C7</f>
        <v>2697.9106499999998</v>
      </c>
      <c r="D11" s="45">
        <f t="shared" si="1"/>
        <v>2962.75117</v>
      </c>
      <c r="E11" s="45">
        <f t="shared" si="1"/>
        <v>2883.2551600000002</v>
      </c>
      <c r="F11" s="45">
        <f t="shared" si="1"/>
        <v>2956.05521</v>
      </c>
      <c r="G11" s="45">
        <f t="shared" si="1"/>
        <v>2899.4566100000002</v>
      </c>
      <c r="H11" s="45">
        <f t="shared" si="1"/>
        <v>2891.9843799999999</v>
      </c>
      <c r="I11" s="45">
        <f t="shared" si="1"/>
        <v>2852.3075799999997</v>
      </c>
      <c r="N11" s="151"/>
    </row>
    <row r="12" spans="1:23" s="73" customFormat="1" ht="15">
      <c r="B12" s="44" t="s">
        <v>239</v>
      </c>
      <c r="C12" s="72">
        <f>+C11/C10*100</f>
        <v>40.79468133619276</v>
      </c>
      <c r="D12" s="72">
        <f t="shared" ref="D12:I12" si="2">+D11/D10*100</f>
        <v>41.002264382987306</v>
      </c>
      <c r="E12" s="72">
        <f t="shared" si="2"/>
        <v>39.910722029419567</v>
      </c>
      <c r="F12" s="72">
        <f t="shared" si="2"/>
        <v>40.432985376371832</v>
      </c>
      <c r="G12" s="72">
        <f t="shared" si="2"/>
        <v>40.316355646617851</v>
      </c>
      <c r="H12" s="72">
        <f t="shared" si="2"/>
        <v>40.352702725130634</v>
      </c>
      <c r="I12" s="72">
        <f t="shared" si="2"/>
        <v>39.947696433661193</v>
      </c>
      <c r="K12" s="202"/>
      <c r="L12" s="202"/>
      <c r="M12" s="150"/>
    </row>
    <row r="13" spans="1:23" s="90" customFormat="1" ht="15">
      <c r="C13" s="152"/>
      <c r="D13" s="152"/>
      <c r="E13" s="153"/>
      <c r="F13" s="152"/>
      <c r="G13" s="152"/>
      <c r="H13" s="152"/>
      <c r="I13" s="152"/>
    </row>
    <row r="14" spans="1:23" ht="15">
      <c r="B14" s="33" t="s">
        <v>275</v>
      </c>
      <c r="C14" s="33">
        <f t="shared" ref="C14:I14" si="3">C3</f>
        <v>2017</v>
      </c>
      <c r="D14" s="33">
        <f t="shared" si="3"/>
        <v>2018</v>
      </c>
      <c r="E14" s="33">
        <f t="shared" si="3"/>
        <v>2019</v>
      </c>
      <c r="F14" s="33">
        <f t="shared" si="3"/>
        <v>2020</v>
      </c>
      <c r="G14" s="33">
        <f t="shared" si="3"/>
        <v>2021</v>
      </c>
      <c r="H14" s="33">
        <f t="shared" si="3"/>
        <v>2022</v>
      </c>
      <c r="I14" s="33">
        <f t="shared" si="3"/>
        <v>2023</v>
      </c>
      <c r="L14" s="201"/>
      <c r="M14" s="200"/>
      <c r="S14" s="192"/>
    </row>
    <row r="15" spans="1:23" s="90" customFormat="1" ht="15">
      <c r="A15" s="90" t="s">
        <v>269</v>
      </c>
      <c r="B15" s="90" t="s">
        <v>272</v>
      </c>
      <c r="C15" s="99">
        <f t="shared" ref="C15:I15" si="4">+C4/C21/10</f>
        <v>0.67271943287762592</v>
      </c>
      <c r="D15" s="99">
        <f t="shared" si="4"/>
        <v>0.72195503137726891</v>
      </c>
      <c r="E15" s="99">
        <f t="shared" si="4"/>
        <v>0.6901447427134717</v>
      </c>
      <c r="F15" s="99">
        <f t="shared" si="4"/>
        <v>0.68546753481270062</v>
      </c>
      <c r="G15" s="99">
        <f t="shared" si="4"/>
        <v>0.66937867322105427</v>
      </c>
      <c r="H15" s="99">
        <f t="shared" si="4"/>
        <v>0.66082719614523544</v>
      </c>
      <c r="I15" s="99">
        <f t="shared" si="4"/>
        <v>0.65389619091062756</v>
      </c>
      <c r="L15" s="153"/>
    </row>
    <row r="16" spans="1:23" s="90" customFormat="1" ht="15">
      <c r="A16" s="90" t="s">
        <v>270</v>
      </c>
      <c r="B16" s="2" t="s">
        <v>273</v>
      </c>
      <c r="C16" s="99">
        <f t="shared" ref="C16:I16" si="5">+C6/C21/10</f>
        <v>4.4293894165535953E-2</v>
      </c>
      <c r="D16" s="99">
        <f t="shared" si="5"/>
        <v>4.5596627756160822E-2</v>
      </c>
      <c r="E16" s="99">
        <f t="shared" si="5"/>
        <v>4.4046244219472563E-2</v>
      </c>
      <c r="F16" s="99">
        <f t="shared" si="5"/>
        <v>3.9195470024375019E-2</v>
      </c>
      <c r="G16" s="99">
        <f t="shared" si="5"/>
        <v>3.2183130285372744E-2</v>
      </c>
      <c r="H16" s="99">
        <f t="shared" si="5"/>
        <v>3.0777221423230871E-2</v>
      </c>
      <c r="I16" s="99">
        <f t="shared" si="5"/>
        <v>2.7680397953906317E-2</v>
      </c>
      <c r="K16" s="98"/>
    </row>
    <row r="17" spans="1:20" s="90" customFormat="1" ht="15">
      <c r="A17" s="90" t="s">
        <v>271</v>
      </c>
      <c r="B17" s="156" t="s">
        <v>691</v>
      </c>
      <c r="C17" s="99">
        <f t="shared" ref="C17:I17" si="6">+C7/C21/10</f>
        <v>0.18032564450474897</v>
      </c>
      <c r="D17" s="99">
        <f t="shared" si="6"/>
        <v>0.16964980544747083</v>
      </c>
      <c r="E17" s="99">
        <f t="shared" si="6"/>
        <v>0.1687289088863892</v>
      </c>
      <c r="F17" s="99">
        <f t="shared" si="6"/>
        <v>0.17559381432000801</v>
      </c>
      <c r="G17" s="99">
        <f t="shared" si="6"/>
        <v>0.17351167422925692</v>
      </c>
      <c r="H17" s="99">
        <f t="shared" si="6"/>
        <v>0.17179373686065041</v>
      </c>
      <c r="I17" s="99">
        <f t="shared" si="6"/>
        <v>0.17009280877292121</v>
      </c>
    </row>
    <row r="18" spans="1:20" s="90" customFormat="1" ht="15">
      <c r="B18" s="33" t="s">
        <v>274</v>
      </c>
      <c r="C18" s="91">
        <f t="shared" ref="C18:I18" si="7">+C10/C21/10</f>
        <v>0.89733897154791076</v>
      </c>
      <c r="D18" s="91">
        <f t="shared" si="7"/>
        <v>0.93720146458090059</v>
      </c>
      <c r="E18" s="91">
        <f t="shared" si="7"/>
        <v>0.90291989581933341</v>
      </c>
      <c r="F18" s="91">
        <f t="shared" si="7"/>
        <v>0.90025681915708355</v>
      </c>
      <c r="G18" s="91">
        <f t="shared" si="7"/>
        <v>0.875073477735684</v>
      </c>
      <c r="H18" s="91">
        <f t="shared" si="7"/>
        <v>0.86339815442911672</v>
      </c>
      <c r="I18" s="91">
        <f t="shared" si="7"/>
        <v>0.85166939763745508</v>
      </c>
    </row>
    <row r="19" spans="1:20" ht="15">
      <c r="B19" s="44" t="s">
        <v>402</v>
      </c>
      <c r="C19" s="93">
        <f t="shared" ref="C19:I19" si="8">+C11/C21/10</f>
        <v>0.36606657394843956</v>
      </c>
      <c r="D19" s="93">
        <f t="shared" si="8"/>
        <v>0.38427382230869001</v>
      </c>
      <c r="E19" s="93">
        <f t="shared" si="8"/>
        <v>0.36036184976877894</v>
      </c>
      <c r="F19" s="93">
        <f t="shared" si="8"/>
        <v>0.36400070803957385</v>
      </c>
      <c r="G19" s="93">
        <f t="shared" si="8"/>
        <v>0.35279773545314563</v>
      </c>
      <c r="H19" s="93">
        <f t="shared" si="8"/>
        <v>0.34840449059104578</v>
      </c>
      <c r="I19" s="93">
        <f t="shared" si="8"/>
        <v>0.34022230558660144</v>
      </c>
      <c r="N19" s="197"/>
      <c r="O19" s="197"/>
      <c r="P19" s="197"/>
      <c r="Q19" s="197"/>
      <c r="R19" s="197"/>
      <c r="S19" s="197"/>
      <c r="T19" s="197"/>
    </row>
    <row r="20" spans="1:20">
      <c r="B20" s="92"/>
      <c r="N20" s="78"/>
      <c r="O20" s="78"/>
      <c r="P20" s="78"/>
      <c r="Q20" s="78"/>
      <c r="R20" s="78"/>
      <c r="S20" s="78"/>
      <c r="T20" s="78"/>
    </row>
    <row r="21" spans="1:20" s="2" customFormat="1" ht="15">
      <c r="B21" s="2" t="s">
        <v>687</v>
      </c>
      <c r="C21" s="291">
        <v>737</v>
      </c>
      <c r="D21" s="291">
        <v>771</v>
      </c>
      <c r="E21" s="291">
        <v>800.1</v>
      </c>
      <c r="F21" s="134">
        <f>(100+F22)*E21/100</f>
        <v>812.1015000000001</v>
      </c>
      <c r="G21" s="134">
        <f t="shared" ref="G21:I21" si="9">(100+G22)*F21/100</f>
        <v>821.84671800000012</v>
      </c>
      <c r="H21" s="134">
        <f t="shared" si="9"/>
        <v>830.06518518000007</v>
      </c>
      <c r="I21" s="134">
        <f t="shared" si="9"/>
        <v>838.36583703180008</v>
      </c>
      <c r="N21" s="292"/>
      <c r="O21" s="292"/>
      <c r="P21" s="292"/>
      <c r="Q21" s="292"/>
      <c r="R21" s="292"/>
      <c r="S21" s="292"/>
      <c r="T21" s="292"/>
    </row>
    <row r="22" spans="1:20" s="2" customFormat="1" ht="15">
      <c r="B22" s="2" t="s">
        <v>686</v>
      </c>
      <c r="C22" s="291"/>
      <c r="D22" s="291"/>
      <c r="E22" s="291"/>
      <c r="F22" s="134">
        <v>1.5</v>
      </c>
      <c r="G22" s="134">
        <v>1.2</v>
      </c>
      <c r="H22" s="134">
        <v>1</v>
      </c>
      <c r="I22" s="134">
        <v>1</v>
      </c>
      <c r="J22" s="134"/>
    </row>
    <row r="23" spans="1:20">
      <c r="B23" s="4"/>
      <c r="D23" s="192"/>
      <c r="E23" s="192"/>
      <c r="F23" s="78"/>
      <c r="G23" s="78"/>
      <c r="H23" s="78"/>
      <c r="I23" s="78"/>
    </row>
    <row r="24" spans="1:20">
      <c r="B24" s="4" t="s">
        <v>684</v>
      </c>
      <c r="D24" s="78"/>
    </row>
    <row r="25" spans="1:20">
      <c r="B25" s="4" t="s">
        <v>685</v>
      </c>
    </row>
    <row r="26" spans="1:20">
      <c r="B26" s="158" t="s">
        <v>683</v>
      </c>
    </row>
    <row r="27" spans="1:20" ht="15">
      <c r="B27" s="156"/>
      <c r="C27" s="199"/>
      <c r="D27" s="199"/>
      <c r="E27" s="199"/>
      <c r="F27" s="199"/>
      <c r="G27" s="199"/>
      <c r="H27" s="199"/>
      <c r="I27" s="199"/>
    </row>
    <row r="28" spans="1:20">
      <c r="I28" s="199"/>
    </row>
    <row r="30" spans="1:20">
      <c r="F30" s="159"/>
      <c r="G30" s="159"/>
      <c r="H30" s="159"/>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01"/>
  <sheetViews>
    <sheetView zoomScaleNormal="100" zoomScaleSheetLayoutView="100" workbookViewId="0"/>
  </sheetViews>
  <sheetFormatPr defaultRowHeight="12.75"/>
  <cols>
    <col min="1" max="1" width="13.7109375" style="6" customWidth="1"/>
    <col min="2" max="2" width="51.5703125" style="6" customWidth="1"/>
    <col min="3" max="9" width="14.140625" style="6" customWidth="1"/>
    <col min="10" max="10" width="10.85546875" style="6" customWidth="1"/>
    <col min="11" max="11" width="9.140625" style="6"/>
    <col min="12" max="12" width="31.140625" style="6" customWidth="1"/>
    <col min="13" max="13" width="12" style="6" customWidth="1"/>
    <col min="14" max="14" width="6.28515625" style="6" customWidth="1"/>
    <col min="15" max="15" width="10.5703125" style="59" bestFit="1" customWidth="1"/>
    <col min="16" max="22" width="13.28515625" style="57" customWidth="1"/>
    <col min="23" max="16384" width="9.140625" style="6"/>
  </cols>
  <sheetData>
    <row r="1" spans="1:22" ht="18.75">
      <c r="A1" s="209" t="s">
        <v>618</v>
      </c>
      <c r="B1" s="210"/>
      <c r="C1" s="210"/>
      <c r="D1" s="210"/>
      <c r="E1" s="210"/>
      <c r="F1" s="210"/>
      <c r="G1" s="210"/>
      <c r="H1" s="210"/>
      <c r="I1" s="210"/>
      <c r="J1" s="210"/>
      <c r="K1" s="210"/>
      <c r="L1" s="101"/>
      <c r="M1" s="210"/>
      <c r="N1" s="210"/>
    </row>
    <row r="3" spans="1:22">
      <c r="A3" s="211" t="s">
        <v>72</v>
      </c>
      <c r="B3" s="212" t="s">
        <v>73</v>
      </c>
      <c r="C3" s="21" t="s">
        <v>237</v>
      </c>
      <c r="D3" s="212" t="s">
        <v>74</v>
      </c>
      <c r="E3" s="212" t="s">
        <v>75</v>
      </c>
      <c r="F3" s="212" t="s">
        <v>76</v>
      </c>
      <c r="G3" s="212"/>
      <c r="H3" s="212"/>
      <c r="I3" s="212"/>
      <c r="J3" s="212" t="s">
        <v>409</v>
      </c>
      <c r="K3" s="213" t="s">
        <v>77</v>
      </c>
      <c r="L3" s="212" t="s">
        <v>51</v>
      </c>
      <c r="M3" s="212" t="s">
        <v>205</v>
      </c>
      <c r="N3" s="212" t="s">
        <v>1</v>
      </c>
      <c r="O3" s="181" t="s">
        <v>245</v>
      </c>
      <c r="P3" s="57" t="s">
        <v>552</v>
      </c>
    </row>
    <row r="4" spans="1:22">
      <c r="A4" s="211"/>
      <c r="B4" s="212"/>
      <c r="C4" s="21">
        <f>Totaal!C3</f>
        <v>2017</v>
      </c>
      <c r="D4" s="21">
        <f>Totaal!D3</f>
        <v>2018</v>
      </c>
      <c r="E4" s="21">
        <f>Totaal!E3</f>
        <v>2019</v>
      </c>
      <c r="F4" s="21">
        <f>Totaal!F3</f>
        <v>2020</v>
      </c>
      <c r="G4" s="21">
        <f>Totaal!G3</f>
        <v>2021</v>
      </c>
      <c r="H4" s="21">
        <f>Totaal!H3</f>
        <v>2022</v>
      </c>
      <c r="I4" s="21">
        <f>Totaal!I3</f>
        <v>2023</v>
      </c>
      <c r="J4" s="212"/>
      <c r="K4" s="213"/>
      <c r="L4" s="212"/>
      <c r="M4" s="212"/>
      <c r="N4" s="212"/>
      <c r="O4" s="181" t="s">
        <v>246</v>
      </c>
      <c r="P4" s="21">
        <f t="shared" ref="P4:V4" si="0">C4</f>
        <v>2017</v>
      </c>
      <c r="Q4" s="21">
        <f t="shared" si="0"/>
        <v>2018</v>
      </c>
      <c r="R4" s="21">
        <f t="shared" si="0"/>
        <v>2019</v>
      </c>
      <c r="S4" s="21">
        <f t="shared" si="0"/>
        <v>2020</v>
      </c>
      <c r="T4" s="21">
        <f t="shared" si="0"/>
        <v>2021</v>
      </c>
      <c r="U4" s="21">
        <f t="shared" si="0"/>
        <v>2022</v>
      </c>
      <c r="V4" s="21">
        <f t="shared" si="0"/>
        <v>2023</v>
      </c>
    </row>
    <row r="5" spans="1:22" s="21" customFormat="1">
      <c r="O5" s="181"/>
      <c r="P5" s="121"/>
      <c r="Q5" s="121"/>
      <c r="R5" s="121"/>
      <c r="S5" s="121"/>
      <c r="T5" s="121"/>
      <c r="U5" s="121"/>
      <c r="V5" s="121"/>
    </row>
    <row r="6" spans="1:22" s="13" customFormat="1" ht="15">
      <c r="B6" s="13" t="s">
        <v>43</v>
      </c>
      <c r="L6" s="12"/>
      <c r="P6" s="230"/>
      <c r="Q6" s="230"/>
      <c r="R6" s="230"/>
      <c r="S6" s="230"/>
      <c r="T6" s="230"/>
      <c r="U6" s="230"/>
      <c r="V6" s="230"/>
    </row>
    <row r="7" spans="1:22" ht="25.5">
      <c r="A7" s="6" t="s">
        <v>59</v>
      </c>
      <c r="B7" s="214" t="s">
        <v>57</v>
      </c>
      <c r="C7" s="104">
        <v>0.51</v>
      </c>
      <c r="D7" s="101">
        <v>0.59399999999999997</v>
      </c>
      <c r="E7" s="101">
        <v>0.59399999999999997</v>
      </c>
      <c r="F7" s="101">
        <v>0.59399999999999997</v>
      </c>
      <c r="G7" s="101">
        <v>0.59399999999999997</v>
      </c>
      <c r="H7" s="101">
        <v>0.59399999999999997</v>
      </c>
      <c r="I7" s="101">
        <v>0.59399999999999997</v>
      </c>
      <c r="J7" s="6">
        <v>100</v>
      </c>
      <c r="K7" s="6">
        <v>11</v>
      </c>
      <c r="L7" s="101" t="s">
        <v>58</v>
      </c>
      <c r="M7" s="6" t="s">
        <v>9</v>
      </c>
      <c r="N7" s="6" t="s">
        <v>41</v>
      </c>
      <c r="O7" s="59">
        <v>0</v>
      </c>
    </row>
    <row r="8" spans="1:22" s="69" customFormat="1" ht="15">
      <c r="B8" s="215" t="s">
        <v>61</v>
      </c>
      <c r="C8" s="107">
        <f t="shared" ref="C8:I8" si="1">C7</f>
        <v>0.51</v>
      </c>
      <c r="D8" s="107">
        <f t="shared" si="1"/>
        <v>0.59399999999999997</v>
      </c>
      <c r="E8" s="107">
        <f t="shared" si="1"/>
        <v>0.59399999999999997</v>
      </c>
      <c r="F8" s="107">
        <f t="shared" si="1"/>
        <v>0.59399999999999997</v>
      </c>
      <c r="G8" s="107">
        <f t="shared" si="1"/>
        <v>0.59399999999999997</v>
      </c>
      <c r="H8" s="107">
        <f t="shared" si="1"/>
        <v>0.59399999999999997</v>
      </c>
      <c r="I8" s="107">
        <f t="shared" si="1"/>
        <v>0.59399999999999997</v>
      </c>
      <c r="J8" s="21"/>
      <c r="K8" s="21"/>
      <c r="L8" s="212"/>
      <c r="M8" s="21"/>
      <c r="N8" s="21"/>
      <c r="O8" s="181"/>
      <c r="P8" s="106"/>
      <c r="Q8" s="106"/>
      <c r="R8" s="106"/>
      <c r="S8" s="106"/>
      <c r="T8" s="106"/>
      <c r="U8" s="106"/>
      <c r="V8" s="106"/>
    </row>
    <row r="9" spans="1:22" s="21" customFormat="1">
      <c r="C9" s="89"/>
      <c r="D9" s="89"/>
      <c r="E9" s="89"/>
      <c r="F9" s="89"/>
      <c r="G9" s="89"/>
      <c r="H9" s="89"/>
      <c r="I9" s="89"/>
      <c r="O9" s="181"/>
      <c r="P9" s="121"/>
      <c r="Q9" s="121"/>
      <c r="R9" s="121"/>
      <c r="S9" s="121"/>
      <c r="T9" s="121"/>
      <c r="U9" s="121"/>
      <c r="V9" s="121"/>
    </row>
    <row r="10" spans="1:22" s="13" customFormat="1" ht="15">
      <c r="B10" s="13" t="s">
        <v>44</v>
      </c>
      <c r="C10" s="50"/>
      <c r="D10" s="50"/>
      <c r="E10" s="50"/>
      <c r="F10" s="50"/>
      <c r="G10" s="50"/>
      <c r="H10" s="50"/>
      <c r="I10" s="50"/>
      <c r="L10" s="12"/>
      <c r="P10" s="230"/>
      <c r="Q10" s="230"/>
      <c r="R10" s="230"/>
      <c r="S10" s="230"/>
      <c r="T10" s="230"/>
      <c r="U10" s="230"/>
      <c r="V10" s="230"/>
    </row>
    <row r="11" spans="1:22">
      <c r="A11" s="6">
        <v>5</v>
      </c>
      <c r="B11" s="6" t="s">
        <v>160</v>
      </c>
      <c r="C11" s="54">
        <v>0.35599999999999998</v>
      </c>
      <c r="D11" s="54">
        <v>0.32200000000000001</v>
      </c>
      <c r="E11" s="54">
        <v>0.24199999999999999</v>
      </c>
      <c r="F11" s="54">
        <v>0.24199999999999999</v>
      </c>
      <c r="G11" s="54">
        <v>0.24199999999999999</v>
      </c>
      <c r="H11" s="54">
        <v>0.24199999999999999</v>
      </c>
      <c r="I11" s="54">
        <v>0.24199999999999999</v>
      </c>
      <c r="J11" s="6">
        <v>10</v>
      </c>
      <c r="K11" s="101">
        <v>11</v>
      </c>
      <c r="L11" s="101" t="s">
        <v>58</v>
      </c>
      <c r="M11" s="6" t="s">
        <v>7</v>
      </c>
      <c r="N11" s="6" t="s">
        <v>40</v>
      </c>
      <c r="O11" s="59">
        <v>0</v>
      </c>
    </row>
    <row r="12" spans="1:22">
      <c r="A12" s="6">
        <v>17</v>
      </c>
      <c r="B12" s="6" t="s">
        <v>161</v>
      </c>
      <c r="C12" s="54">
        <v>4.3899999999999997</v>
      </c>
      <c r="D12" s="54">
        <v>3</v>
      </c>
      <c r="E12" s="54">
        <v>3</v>
      </c>
      <c r="F12" s="54">
        <v>3</v>
      </c>
      <c r="G12" s="54">
        <v>3</v>
      </c>
      <c r="H12" s="54">
        <v>3</v>
      </c>
      <c r="I12" s="54">
        <v>3</v>
      </c>
      <c r="J12" s="6">
        <v>100</v>
      </c>
      <c r="K12" s="101">
        <v>11</v>
      </c>
      <c r="L12" s="101" t="s">
        <v>58</v>
      </c>
      <c r="M12" s="6" t="s">
        <v>10</v>
      </c>
      <c r="N12" s="6" t="s">
        <v>41</v>
      </c>
      <c r="O12" s="59">
        <v>0</v>
      </c>
    </row>
    <row r="13" spans="1:22">
      <c r="A13" s="6">
        <v>17</v>
      </c>
      <c r="B13" s="6" t="s">
        <v>263</v>
      </c>
      <c r="C13" s="54">
        <v>23.402999999999999</v>
      </c>
      <c r="D13" s="54">
        <v>24.699000000000002</v>
      </c>
      <c r="E13" s="54">
        <v>22.102</v>
      </c>
      <c r="F13" s="54">
        <v>20.969000000000001</v>
      </c>
      <c r="G13" s="54">
        <v>20.884</v>
      </c>
      <c r="H13" s="54">
        <v>20.869</v>
      </c>
      <c r="I13" s="54">
        <v>20.869</v>
      </c>
      <c r="J13" s="6">
        <v>5</v>
      </c>
      <c r="K13" s="101">
        <v>11</v>
      </c>
      <c r="L13" s="101" t="s">
        <v>58</v>
      </c>
      <c r="M13" s="6" t="s">
        <v>10</v>
      </c>
      <c r="N13" s="6" t="s">
        <v>41</v>
      </c>
      <c r="O13" s="59">
        <v>0</v>
      </c>
    </row>
    <row r="14" spans="1:22">
      <c r="A14" s="6">
        <v>17</v>
      </c>
      <c r="B14" s="6" t="s">
        <v>264</v>
      </c>
      <c r="C14" s="88">
        <v>5.3140000000000001</v>
      </c>
      <c r="D14" s="88">
        <v>5.5750000000000002</v>
      </c>
      <c r="E14" s="88">
        <v>4.7039999999999997</v>
      </c>
      <c r="F14" s="88">
        <v>4.6440000000000001</v>
      </c>
      <c r="G14" s="88">
        <v>4.6440000000000001</v>
      </c>
      <c r="H14" s="88">
        <v>4.6440000000000001</v>
      </c>
      <c r="I14" s="88">
        <v>4.6440000000000001</v>
      </c>
      <c r="J14" s="6">
        <v>5</v>
      </c>
      <c r="K14" s="101">
        <v>11</v>
      </c>
      <c r="L14" s="101" t="s">
        <v>58</v>
      </c>
      <c r="M14" s="6" t="s">
        <v>10</v>
      </c>
      <c r="N14" s="6" t="s">
        <v>41</v>
      </c>
      <c r="O14" s="59">
        <v>0</v>
      </c>
    </row>
    <row r="15" spans="1:22">
      <c r="A15" s="6">
        <v>17</v>
      </c>
      <c r="B15" s="6" t="s">
        <v>265</v>
      </c>
      <c r="C15" s="88">
        <v>5.532</v>
      </c>
      <c r="D15" s="88">
        <v>6.0149999999999997</v>
      </c>
      <c r="E15" s="88">
        <v>3.3180000000000001</v>
      </c>
      <c r="F15" s="88">
        <v>3.2879999999999998</v>
      </c>
      <c r="G15" s="88">
        <v>3.2879999999999998</v>
      </c>
      <c r="H15" s="88">
        <v>3.2879999999999998</v>
      </c>
      <c r="I15" s="88">
        <v>3.2879999999999998</v>
      </c>
      <c r="J15" s="6">
        <v>5</v>
      </c>
      <c r="K15" s="101">
        <v>11</v>
      </c>
      <c r="L15" s="101" t="s">
        <v>58</v>
      </c>
      <c r="M15" s="6" t="s">
        <v>10</v>
      </c>
      <c r="N15" s="6" t="s">
        <v>41</v>
      </c>
      <c r="O15" s="59">
        <v>0</v>
      </c>
    </row>
    <row r="16" spans="1:22" s="69" customFormat="1" ht="15">
      <c r="B16" s="69" t="s">
        <v>62</v>
      </c>
      <c r="C16" s="107">
        <f t="shared" ref="C16:I16" si="2">SUM(C11:C15)</f>
        <v>38.99499999999999</v>
      </c>
      <c r="D16" s="107">
        <f t="shared" si="2"/>
        <v>39.611000000000004</v>
      </c>
      <c r="E16" s="107">
        <f t="shared" si="2"/>
        <v>33.366</v>
      </c>
      <c r="F16" s="107">
        <f t="shared" si="2"/>
        <v>32.143000000000001</v>
      </c>
      <c r="G16" s="107">
        <f t="shared" si="2"/>
        <v>32.058</v>
      </c>
      <c r="H16" s="107">
        <f t="shared" si="2"/>
        <v>32.042999999999999</v>
      </c>
      <c r="I16" s="107">
        <f t="shared" si="2"/>
        <v>32.042999999999999</v>
      </c>
      <c r="O16" s="108"/>
      <c r="P16" s="106"/>
      <c r="Q16" s="106"/>
      <c r="R16" s="106"/>
      <c r="S16" s="106"/>
      <c r="T16" s="106"/>
      <c r="U16" s="106"/>
      <c r="V16" s="106"/>
    </row>
    <row r="17" spans="1:22" s="21" customFormat="1">
      <c r="C17" s="89"/>
      <c r="D17" s="89"/>
      <c r="E17" s="89"/>
      <c r="F17" s="89"/>
      <c r="G17" s="89"/>
      <c r="H17" s="89"/>
      <c r="I17" s="89"/>
      <c r="O17" s="181"/>
      <c r="P17" s="121"/>
      <c r="Q17" s="121"/>
      <c r="R17" s="121"/>
      <c r="S17" s="121"/>
      <c r="T17" s="121"/>
      <c r="U17" s="121"/>
      <c r="V17" s="121"/>
    </row>
    <row r="18" spans="1:22" s="12" customFormat="1" ht="15">
      <c r="B18" s="13" t="s">
        <v>539</v>
      </c>
      <c r="C18" s="51"/>
      <c r="D18" s="51"/>
      <c r="E18" s="51"/>
      <c r="F18" s="51"/>
      <c r="G18" s="51"/>
      <c r="H18" s="51"/>
      <c r="I18" s="51"/>
      <c r="P18" s="231"/>
      <c r="Q18" s="231"/>
      <c r="R18" s="231"/>
      <c r="S18" s="231"/>
      <c r="T18" s="231"/>
      <c r="U18" s="231"/>
      <c r="V18" s="231"/>
    </row>
    <row r="19" spans="1:22">
      <c r="A19" s="101"/>
      <c r="B19" s="101" t="s">
        <v>612</v>
      </c>
      <c r="C19" s="104">
        <v>2.726</v>
      </c>
      <c r="D19" s="104">
        <v>2.6280000000000001</v>
      </c>
      <c r="E19" s="104">
        <v>2.5539999999999998</v>
      </c>
      <c r="F19" s="104">
        <v>2.5379999999999998</v>
      </c>
      <c r="G19" s="104">
        <v>2.544</v>
      </c>
      <c r="H19" s="104">
        <v>2.544</v>
      </c>
      <c r="I19" s="104">
        <v>2.5449999999999999</v>
      </c>
      <c r="J19" s="101">
        <v>10</v>
      </c>
      <c r="K19" s="101">
        <v>11</v>
      </c>
      <c r="L19" s="101" t="s">
        <v>58</v>
      </c>
      <c r="M19" s="101" t="s">
        <v>69</v>
      </c>
      <c r="N19" s="6" t="s">
        <v>41</v>
      </c>
      <c r="O19" s="59">
        <v>0</v>
      </c>
    </row>
    <row r="20" spans="1:22">
      <c r="A20" s="101"/>
      <c r="B20" s="101" t="s">
        <v>613</v>
      </c>
      <c r="C20" s="104">
        <v>2.7269999999999999</v>
      </c>
      <c r="D20" s="104">
        <v>2.6280000000000001</v>
      </c>
      <c r="E20" s="104">
        <v>2.5539999999999998</v>
      </c>
      <c r="F20" s="104">
        <v>2.5379999999999998</v>
      </c>
      <c r="G20" s="104">
        <v>2.544</v>
      </c>
      <c r="H20" s="104">
        <v>2.544</v>
      </c>
      <c r="I20" s="104">
        <v>2.5449999999999999</v>
      </c>
      <c r="J20" s="101">
        <v>10</v>
      </c>
      <c r="K20" s="101">
        <v>11</v>
      </c>
      <c r="L20" s="101" t="s">
        <v>58</v>
      </c>
      <c r="M20" s="101" t="s">
        <v>7</v>
      </c>
      <c r="N20" s="6" t="s">
        <v>41</v>
      </c>
      <c r="O20" s="59">
        <v>0</v>
      </c>
    </row>
    <row r="21" spans="1:22">
      <c r="A21" s="101" t="s">
        <v>639</v>
      </c>
      <c r="B21" s="101" t="s">
        <v>611</v>
      </c>
      <c r="C21" s="104">
        <v>6.4470000000000001</v>
      </c>
      <c r="D21" s="104">
        <v>6.7</v>
      </c>
      <c r="E21" s="104">
        <v>6.7</v>
      </c>
      <c r="F21" s="104">
        <v>6.7</v>
      </c>
      <c r="G21" s="104">
        <v>6.7</v>
      </c>
      <c r="H21" s="104">
        <v>6.7</v>
      </c>
      <c r="I21" s="104">
        <v>6.7</v>
      </c>
      <c r="J21" s="101">
        <v>15</v>
      </c>
      <c r="K21" s="101">
        <v>11</v>
      </c>
      <c r="L21" s="101" t="s">
        <v>58</v>
      </c>
      <c r="M21" s="101" t="s">
        <v>9</v>
      </c>
      <c r="N21" s="101" t="s">
        <v>40</v>
      </c>
      <c r="O21" s="59">
        <v>0</v>
      </c>
    </row>
    <row r="22" spans="1:22">
      <c r="A22" s="101" t="s">
        <v>411</v>
      </c>
      <c r="B22" s="101" t="s">
        <v>71</v>
      </c>
      <c r="C22" s="104">
        <v>9.9849999999999994</v>
      </c>
      <c r="D22" s="104">
        <v>10.179</v>
      </c>
      <c r="E22" s="104">
        <v>10.207000000000001</v>
      </c>
      <c r="F22" s="104">
        <v>9.8719999999999999</v>
      </c>
      <c r="G22" s="104">
        <v>9.9320000000000004</v>
      </c>
      <c r="H22" s="104">
        <v>9.9309999999999992</v>
      </c>
      <c r="I22" s="104">
        <v>9.9309999999999992</v>
      </c>
      <c r="J22" s="129">
        <v>15</v>
      </c>
      <c r="K22" s="101">
        <v>11</v>
      </c>
      <c r="L22" s="101" t="s">
        <v>58</v>
      </c>
      <c r="M22" s="101" t="s">
        <v>9</v>
      </c>
      <c r="N22" s="101" t="s">
        <v>40</v>
      </c>
      <c r="O22" s="59">
        <v>33</v>
      </c>
      <c r="P22" s="57">
        <f t="shared" ref="P22:V22" si="3">+$O22/100*C22</f>
        <v>3.2950499999999998</v>
      </c>
      <c r="Q22" s="57">
        <f t="shared" si="3"/>
        <v>3.3590700000000004</v>
      </c>
      <c r="R22" s="57">
        <f t="shared" si="3"/>
        <v>3.3683100000000006</v>
      </c>
      <c r="S22" s="57">
        <f t="shared" si="3"/>
        <v>3.2577600000000002</v>
      </c>
      <c r="T22" s="57">
        <f t="shared" si="3"/>
        <v>3.2775600000000003</v>
      </c>
      <c r="U22" s="57">
        <f t="shared" si="3"/>
        <v>3.2772299999999999</v>
      </c>
      <c r="V22" s="57">
        <f t="shared" si="3"/>
        <v>3.2772299999999999</v>
      </c>
    </row>
    <row r="23" spans="1:22" s="69" customFormat="1" ht="15">
      <c r="B23" s="69" t="s">
        <v>63</v>
      </c>
      <c r="C23" s="107">
        <f t="shared" ref="C23:I23" si="4">SUM(C19:C22)</f>
        <v>21.884999999999998</v>
      </c>
      <c r="D23" s="107">
        <f t="shared" si="4"/>
        <v>22.134999999999998</v>
      </c>
      <c r="E23" s="107">
        <f t="shared" si="4"/>
        <v>22.015000000000001</v>
      </c>
      <c r="F23" s="107">
        <f t="shared" si="4"/>
        <v>21.648</v>
      </c>
      <c r="G23" s="107">
        <f t="shared" si="4"/>
        <v>21.72</v>
      </c>
      <c r="H23" s="107">
        <f t="shared" si="4"/>
        <v>21.719000000000001</v>
      </c>
      <c r="I23" s="107">
        <f t="shared" si="4"/>
        <v>21.720999999999997</v>
      </c>
      <c r="L23" s="21"/>
      <c r="O23" s="108"/>
      <c r="P23" s="106">
        <f t="shared" ref="P23:V23" si="5">SUM(P19:P22)</f>
        <v>3.2950499999999998</v>
      </c>
      <c r="Q23" s="106">
        <f t="shared" si="5"/>
        <v>3.3590700000000004</v>
      </c>
      <c r="R23" s="106">
        <f t="shared" si="5"/>
        <v>3.3683100000000006</v>
      </c>
      <c r="S23" s="106">
        <f t="shared" si="5"/>
        <v>3.2577600000000002</v>
      </c>
      <c r="T23" s="106">
        <f t="shared" si="5"/>
        <v>3.2775600000000003</v>
      </c>
      <c r="U23" s="106">
        <f t="shared" si="5"/>
        <v>3.2772299999999999</v>
      </c>
      <c r="V23" s="106">
        <f t="shared" si="5"/>
        <v>3.2772299999999999</v>
      </c>
    </row>
    <row r="24" spans="1:22" s="69" customFormat="1" ht="15">
      <c r="C24" s="107"/>
      <c r="D24" s="107"/>
      <c r="E24" s="107"/>
      <c r="F24" s="107"/>
      <c r="G24" s="107"/>
      <c r="H24" s="107"/>
      <c r="I24" s="107"/>
      <c r="L24" s="21"/>
      <c r="O24" s="108"/>
      <c r="P24" s="106"/>
      <c r="Q24" s="106"/>
      <c r="R24" s="106"/>
      <c r="S24" s="106"/>
      <c r="T24" s="106"/>
      <c r="U24" s="106"/>
      <c r="V24" s="106"/>
    </row>
    <row r="25" spans="1:22" s="13" customFormat="1" ht="15">
      <c r="B25" s="13" t="s">
        <v>65</v>
      </c>
      <c r="C25" s="50"/>
      <c r="D25" s="50"/>
      <c r="E25" s="50"/>
      <c r="F25" s="50"/>
      <c r="G25" s="50"/>
      <c r="H25" s="50"/>
      <c r="I25" s="50"/>
      <c r="L25" s="12"/>
      <c r="P25" s="230"/>
      <c r="Q25" s="230"/>
      <c r="R25" s="230"/>
      <c r="S25" s="230"/>
      <c r="T25" s="230"/>
      <c r="U25" s="230"/>
      <c r="V25" s="230"/>
    </row>
    <row r="26" spans="1:22" s="21" customFormat="1" ht="15">
      <c r="A26" s="101" t="s">
        <v>571</v>
      </c>
      <c r="B26" s="101" t="s">
        <v>572</v>
      </c>
      <c r="C26" s="104">
        <v>2.0590000000000002</v>
      </c>
      <c r="D26" s="104">
        <v>2.8839999999999999</v>
      </c>
      <c r="E26" s="104">
        <v>2.468</v>
      </c>
      <c r="F26" s="104">
        <v>2.528</v>
      </c>
      <c r="G26" s="104">
        <v>2.8580000000000001</v>
      </c>
      <c r="H26" s="104">
        <v>2.9710000000000001</v>
      </c>
      <c r="I26" s="104">
        <v>2.68</v>
      </c>
      <c r="J26" s="101">
        <v>80</v>
      </c>
      <c r="K26" s="109" t="s">
        <v>570</v>
      </c>
      <c r="L26" s="101" t="s">
        <v>575</v>
      </c>
      <c r="M26" s="102" t="s">
        <v>573</v>
      </c>
      <c r="N26" s="101" t="s">
        <v>41</v>
      </c>
      <c r="O26" s="216">
        <v>10</v>
      </c>
      <c r="P26" s="57">
        <f t="shared" ref="P26:V28" si="6">+$O26/100*C26</f>
        <v>0.20590000000000003</v>
      </c>
      <c r="Q26" s="57">
        <f t="shared" si="6"/>
        <v>0.28839999999999999</v>
      </c>
      <c r="R26" s="57">
        <f t="shared" si="6"/>
        <v>0.24680000000000002</v>
      </c>
      <c r="S26" s="57">
        <f t="shared" si="6"/>
        <v>0.25280000000000002</v>
      </c>
      <c r="T26" s="57">
        <f t="shared" si="6"/>
        <v>0.2858</v>
      </c>
      <c r="U26" s="57">
        <f t="shared" si="6"/>
        <v>0.29710000000000003</v>
      </c>
      <c r="V26" s="57">
        <f t="shared" si="6"/>
        <v>0.26800000000000002</v>
      </c>
    </row>
    <row r="27" spans="1:22" s="21" customFormat="1" ht="15">
      <c r="A27" s="101" t="s">
        <v>571</v>
      </c>
      <c r="B27" s="101" t="s">
        <v>572</v>
      </c>
      <c r="C27" s="104">
        <v>0.14699999999999999</v>
      </c>
      <c r="D27" s="104">
        <v>0.20599999999999999</v>
      </c>
      <c r="E27" s="104">
        <v>0.17599999999999999</v>
      </c>
      <c r="F27" s="104">
        <v>0.18099999999999999</v>
      </c>
      <c r="G27" s="104">
        <v>0.20399999999999999</v>
      </c>
      <c r="H27" s="104">
        <v>0.21199999999999999</v>
      </c>
      <c r="I27" s="104">
        <v>0.192</v>
      </c>
      <c r="J27" s="101">
        <v>80</v>
      </c>
      <c r="K27" s="109" t="s">
        <v>570</v>
      </c>
      <c r="L27" s="101" t="s">
        <v>575</v>
      </c>
      <c r="M27" s="101" t="s">
        <v>574</v>
      </c>
      <c r="N27" s="101" t="s">
        <v>41</v>
      </c>
      <c r="O27" s="216">
        <v>10</v>
      </c>
      <c r="P27" s="57">
        <f t="shared" si="6"/>
        <v>1.47E-2</v>
      </c>
      <c r="Q27" s="57">
        <f t="shared" si="6"/>
        <v>2.06E-2</v>
      </c>
      <c r="R27" s="57">
        <f t="shared" si="6"/>
        <v>1.7600000000000001E-2</v>
      </c>
      <c r="S27" s="57">
        <f t="shared" si="6"/>
        <v>1.8100000000000002E-2</v>
      </c>
      <c r="T27" s="57">
        <f t="shared" si="6"/>
        <v>2.0400000000000001E-2</v>
      </c>
      <c r="U27" s="57">
        <f t="shared" si="6"/>
        <v>2.12E-2</v>
      </c>
      <c r="V27" s="57">
        <f t="shared" si="6"/>
        <v>1.9200000000000002E-2</v>
      </c>
    </row>
    <row r="28" spans="1:22" s="21" customFormat="1" ht="15">
      <c r="A28" s="101" t="s">
        <v>571</v>
      </c>
      <c r="B28" s="101" t="s">
        <v>572</v>
      </c>
      <c r="C28" s="104">
        <v>5.149</v>
      </c>
      <c r="D28" s="104">
        <v>7.2089999999999996</v>
      </c>
      <c r="E28" s="104">
        <v>6.1710000000000003</v>
      </c>
      <c r="F28" s="104">
        <v>6.32</v>
      </c>
      <c r="G28" s="104">
        <v>7.1440000000000001</v>
      </c>
      <c r="H28" s="104">
        <v>7.4269999999999996</v>
      </c>
      <c r="I28" s="104">
        <v>6.7</v>
      </c>
      <c r="J28" s="101">
        <v>80</v>
      </c>
      <c r="K28" s="109" t="s">
        <v>570</v>
      </c>
      <c r="L28" s="101" t="s">
        <v>575</v>
      </c>
      <c r="M28" s="102" t="s">
        <v>573</v>
      </c>
      <c r="N28" s="101" t="s">
        <v>41</v>
      </c>
      <c r="O28" s="216">
        <v>10</v>
      </c>
      <c r="P28" s="57">
        <f t="shared" si="6"/>
        <v>0.51490000000000002</v>
      </c>
      <c r="Q28" s="57">
        <f t="shared" si="6"/>
        <v>0.72089999999999999</v>
      </c>
      <c r="R28" s="57">
        <f t="shared" si="6"/>
        <v>0.61710000000000009</v>
      </c>
      <c r="S28" s="57">
        <f t="shared" si="6"/>
        <v>0.63200000000000012</v>
      </c>
      <c r="T28" s="57">
        <f t="shared" si="6"/>
        <v>0.71440000000000003</v>
      </c>
      <c r="U28" s="57">
        <f t="shared" si="6"/>
        <v>0.74270000000000003</v>
      </c>
      <c r="V28" s="57">
        <f t="shared" si="6"/>
        <v>0.67</v>
      </c>
    </row>
    <row r="29" spans="1:22" s="69" customFormat="1" ht="15">
      <c r="B29" s="69" t="s">
        <v>66</v>
      </c>
      <c r="C29" s="106">
        <f t="shared" ref="C29:I29" si="7">SUM(C26:C28)</f>
        <v>7.3550000000000004</v>
      </c>
      <c r="D29" s="106">
        <f t="shared" si="7"/>
        <v>10.298999999999999</v>
      </c>
      <c r="E29" s="106">
        <f t="shared" si="7"/>
        <v>8.8150000000000013</v>
      </c>
      <c r="F29" s="106">
        <f t="shared" si="7"/>
        <v>9.0289999999999999</v>
      </c>
      <c r="G29" s="106">
        <f t="shared" si="7"/>
        <v>10.206</v>
      </c>
      <c r="H29" s="106">
        <f t="shared" si="7"/>
        <v>10.61</v>
      </c>
      <c r="I29" s="106">
        <f t="shared" si="7"/>
        <v>9.572000000000001</v>
      </c>
      <c r="L29" s="21"/>
      <c r="O29" s="216"/>
      <c r="P29" s="106">
        <f t="shared" ref="P29:V29" si="8">SUM(P26:P28)</f>
        <v>0.73550000000000004</v>
      </c>
      <c r="Q29" s="106">
        <f t="shared" si="8"/>
        <v>1.0299</v>
      </c>
      <c r="R29" s="106">
        <f t="shared" si="8"/>
        <v>0.88150000000000017</v>
      </c>
      <c r="S29" s="106">
        <f t="shared" si="8"/>
        <v>0.90290000000000015</v>
      </c>
      <c r="T29" s="106">
        <f t="shared" si="8"/>
        <v>1.0206</v>
      </c>
      <c r="U29" s="106">
        <f t="shared" si="8"/>
        <v>1.0609999999999999</v>
      </c>
      <c r="V29" s="106">
        <f t="shared" si="8"/>
        <v>0.95720000000000005</v>
      </c>
    </row>
    <row r="30" spans="1:22" s="21" customFormat="1">
      <c r="C30" s="217"/>
      <c r="D30" s="217"/>
      <c r="E30" s="217"/>
      <c r="F30" s="217"/>
      <c r="G30" s="217"/>
      <c r="H30" s="217"/>
      <c r="I30" s="234"/>
      <c r="J30" s="89"/>
      <c r="O30" s="181"/>
      <c r="P30" s="121"/>
      <c r="Q30" s="121"/>
      <c r="R30" s="121"/>
      <c r="S30" s="121"/>
      <c r="T30" s="121"/>
      <c r="U30" s="121"/>
      <c r="V30" s="121"/>
    </row>
    <row r="31" spans="1:22" s="12" customFormat="1" ht="15">
      <c r="B31" s="13" t="s">
        <v>45</v>
      </c>
      <c r="C31" s="51"/>
      <c r="D31" s="51"/>
      <c r="E31" s="51"/>
      <c r="F31" s="51"/>
      <c r="G31" s="51"/>
      <c r="H31" s="51"/>
      <c r="I31" s="51"/>
      <c r="P31" s="231"/>
      <c r="Q31" s="231"/>
      <c r="R31" s="231"/>
      <c r="S31" s="231"/>
      <c r="T31" s="231"/>
      <c r="U31" s="231"/>
      <c r="V31" s="231"/>
    </row>
    <row r="32" spans="1:22" s="21" customFormat="1">
      <c r="A32" s="112">
        <v>7</v>
      </c>
      <c r="B32" s="113" t="s">
        <v>659</v>
      </c>
      <c r="C32" s="116">
        <v>2480.4852937960036</v>
      </c>
      <c r="D32" s="116">
        <v>2528.9882887620761</v>
      </c>
      <c r="E32" s="116">
        <v>2558.1559570849508</v>
      </c>
      <c r="F32" s="116">
        <v>2583.5016716172881</v>
      </c>
      <c r="G32" s="116">
        <v>2570.2169068544322</v>
      </c>
      <c r="H32" s="116">
        <v>2577.3556345788365</v>
      </c>
      <c r="I32" s="116">
        <v>2599.7374194230247</v>
      </c>
      <c r="J32" s="135">
        <f>0.589728589840193*100</f>
        <v>58.972858984019304</v>
      </c>
      <c r="K32" s="115" t="s">
        <v>399</v>
      </c>
      <c r="L32" s="113" t="s">
        <v>553</v>
      </c>
      <c r="M32" s="115"/>
      <c r="N32" s="113" t="s">
        <v>40</v>
      </c>
      <c r="O32" s="181"/>
      <c r="P32" s="121"/>
      <c r="Q32" s="121"/>
      <c r="R32" s="121"/>
      <c r="S32" s="121"/>
      <c r="T32" s="121"/>
      <c r="U32" s="121"/>
      <c r="V32" s="121"/>
    </row>
    <row r="33" spans="1:23" s="21" customFormat="1">
      <c r="A33" s="112">
        <v>7</v>
      </c>
      <c r="B33" s="113" t="s">
        <v>84</v>
      </c>
      <c r="C33" s="116">
        <v>213.411</v>
      </c>
      <c r="D33" s="116">
        <v>213.7938</v>
      </c>
      <c r="E33" s="116">
        <v>214.30419999999998</v>
      </c>
      <c r="F33" s="116">
        <v>214.84649999999999</v>
      </c>
      <c r="G33" s="116">
        <v>215.35690000000002</v>
      </c>
      <c r="H33" s="116">
        <v>215.5164</v>
      </c>
      <c r="I33" s="116">
        <v>216.4734</v>
      </c>
      <c r="J33" s="113">
        <v>31.9</v>
      </c>
      <c r="K33" s="115" t="s">
        <v>222</v>
      </c>
      <c r="L33" s="113" t="s">
        <v>105</v>
      </c>
      <c r="M33" s="115"/>
      <c r="N33" s="113" t="s">
        <v>40</v>
      </c>
      <c r="O33" s="181"/>
      <c r="P33" s="121"/>
      <c r="Q33" s="121"/>
      <c r="R33" s="121"/>
      <c r="S33" s="121"/>
      <c r="T33" s="121"/>
      <c r="U33" s="121"/>
      <c r="V33" s="121"/>
    </row>
    <row r="34" spans="1:23" s="21" customFormat="1">
      <c r="A34" s="112">
        <v>6</v>
      </c>
      <c r="B34" s="113" t="s">
        <v>638</v>
      </c>
      <c r="C34" s="116">
        <v>73.960999999999999</v>
      </c>
      <c r="D34" s="116">
        <v>80.191000000000003</v>
      </c>
      <c r="E34" s="116">
        <v>81.751000000000005</v>
      </c>
      <c r="F34" s="116">
        <v>83.302999999999997</v>
      </c>
      <c r="G34" s="116">
        <v>83.346999999999994</v>
      </c>
      <c r="H34" s="116">
        <v>83.382999999999996</v>
      </c>
      <c r="I34" s="116">
        <v>83.382999999999996</v>
      </c>
      <c r="J34" s="113">
        <v>100</v>
      </c>
      <c r="K34" s="115" t="s">
        <v>399</v>
      </c>
      <c r="L34" s="113" t="s">
        <v>553</v>
      </c>
      <c r="M34" s="115"/>
      <c r="N34" s="113" t="s">
        <v>40</v>
      </c>
      <c r="O34" s="181"/>
      <c r="P34" s="121"/>
      <c r="Q34" s="121"/>
      <c r="R34" s="121"/>
      <c r="S34" s="121"/>
      <c r="T34" s="121"/>
      <c r="U34" s="121"/>
      <c r="V34" s="121"/>
    </row>
    <row r="35" spans="1:23" s="21" customFormat="1">
      <c r="A35" s="112">
        <v>6</v>
      </c>
      <c r="B35" s="157" t="s">
        <v>392</v>
      </c>
      <c r="C35" s="116">
        <v>29.329000000000001</v>
      </c>
      <c r="D35" s="116">
        <v>45.963000000000001</v>
      </c>
      <c r="E35" s="116">
        <v>48.512999999999998</v>
      </c>
      <c r="F35" s="116">
        <v>52.015000000000001</v>
      </c>
      <c r="G35" s="116">
        <v>52.012999999999998</v>
      </c>
      <c r="H35" s="116">
        <v>52.064999999999998</v>
      </c>
      <c r="I35" s="116">
        <v>52.064999999999998</v>
      </c>
      <c r="J35" s="113">
        <v>100</v>
      </c>
      <c r="K35" s="115" t="s">
        <v>399</v>
      </c>
      <c r="L35" s="113" t="s">
        <v>553</v>
      </c>
      <c r="M35" s="115"/>
      <c r="N35" s="113" t="s">
        <v>41</v>
      </c>
      <c r="O35" s="181"/>
      <c r="P35" s="121"/>
      <c r="Q35" s="121"/>
      <c r="R35" s="121"/>
      <c r="S35" s="121"/>
      <c r="T35" s="121"/>
      <c r="U35" s="121"/>
      <c r="V35" s="121"/>
    </row>
    <row r="36" spans="1:23" s="21" customFormat="1">
      <c r="A36" s="112">
        <v>7</v>
      </c>
      <c r="B36" s="113" t="s">
        <v>85</v>
      </c>
      <c r="C36" s="114">
        <v>2.1502500000000002</v>
      </c>
      <c r="D36" s="114">
        <v>2.2255499999999997</v>
      </c>
      <c r="E36" s="114">
        <v>2.1979500000000001</v>
      </c>
      <c r="F36" s="114">
        <v>2.1937500000000001</v>
      </c>
      <c r="G36" s="114">
        <v>2.1937500000000001</v>
      </c>
      <c r="H36" s="114">
        <v>2.19075</v>
      </c>
      <c r="I36" s="114">
        <v>2.19075</v>
      </c>
      <c r="J36" s="113">
        <v>15</v>
      </c>
      <c r="K36" s="115">
        <v>11</v>
      </c>
      <c r="L36" s="101" t="s">
        <v>58</v>
      </c>
      <c r="M36" s="113" t="s">
        <v>7</v>
      </c>
      <c r="N36" s="113" t="s">
        <v>40</v>
      </c>
      <c r="O36" s="181"/>
      <c r="P36" s="121"/>
      <c r="Q36" s="121"/>
      <c r="R36" s="121"/>
      <c r="S36" s="121"/>
      <c r="T36" s="121"/>
      <c r="U36" s="121"/>
      <c r="V36" s="121"/>
    </row>
    <row r="37" spans="1:23" s="21" customFormat="1">
      <c r="A37" s="112">
        <v>7</v>
      </c>
      <c r="B37" s="113" t="s">
        <v>86</v>
      </c>
      <c r="C37" s="114">
        <v>0.70125000000000004</v>
      </c>
      <c r="D37" s="114">
        <v>0.71775</v>
      </c>
      <c r="E37" s="114">
        <v>0.71775</v>
      </c>
      <c r="F37" s="114">
        <v>0.71775</v>
      </c>
      <c r="G37" s="114">
        <v>0.71775</v>
      </c>
      <c r="H37" s="114">
        <v>0.71775</v>
      </c>
      <c r="I37" s="114">
        <v>0.71775</v>
      </c>
      <c r="J37" s="113">
        <v>75</v>
      </c>
      <c r="K37" s="115" t="s">
        <v>87</v>
      </c>
      <c r="L37" s="101" t="s">
        <v>88</v>
      </c>
      <c r="M37" s="113" t="s">
        <v>7</v>
      </c>
      <c r="N37" s="113" t="s">
        <v>40</v>
      </c>
      <c r="O37" s="181"/>
      <c r="P37" s="121"/>
      <c r="Q37" s="121"/>
      <c r="R37" s="121"/>
      <c r="S37" s="121"/>
      <c r="T37" s="121"/>
      <c r="U37" s="121"/>
      <c r="V37" s="121"/>
    </row>
    <row r="38" spans="1:23" s="21" customFormat="1">
      <c r="A38" s="112">
        <v>16</v>
      </c>
      <c r="B38" s="113" t="s">
        <v>89</v>
      </c>
      <c r="C38" s="116">
        <v>68.075479999999999</v>
      </c>
      <c r="D38" s="116">
        <v>68.790260000000004</v>
      </c>
      <c r="E38" s="116">
        <v>68.69632</v>
      </c>
      <c r="F38" s="116">
        <v>68.694009999999992</v>
      </c>
      <c r="G38" s="116">
        <v>68.894514000000001</v>
      </c>
      <c r="H38" s="116">
        <v>68.988168000000002</v>
      </c>
      <c r="I38" s="116">
        <v>68.988168000000002</v>
      </c>
      <c r="J38" s="113">
        <v>77</v>
      </c>
      <c r="K38" s="115">
        <v>13</v>
      </c>
      <c r="L38" s="101" t="s">
        <v>109</v>
      </c>
      <c r="M38" s="113" t="s">
        <v>89</v>
      </c>
      <c r="N38" s="113" t="s">
        <v>40</v>
      </c>
      <c r="O38" s="182">
        <f>P38/C38</f>
        <v>0.20565407691579993</v>
      </c>
      <c r="P38" s="57">
        <v>14</v>
      </c>
      <c r="Q38" s="57">
        <v>14</v>
      </c>
      <c r="R38" s="57">
        <v>14</v>
      </c>
      <c r="S38" s="57">
        <v>14</v>
      </c>
      <c r="T38" s="57">
        <v>14</v>
      </c>
      <c r="U38" s="57">
        <v>14</v>
      </c>
      <c r="V38" s="57">
        <v>14</v>
      </c>
    </row>
    <row r="39" spans="1:23" s="21" customFormat="1">
      <c r="A39" s="112">
        <v>16</v>
      </c>
      <c r="B39" s="113" t="s">
        <v>20</v>
      </c>
      <c r="C39" s="116">
        <v>441.13966651209813</v>
      </c>
      <c r="D39" s="116">
        <v>509.41203315666723</v>
      </c>
      <c r="E39" s="116">
        <v>530.31385936553625</v>
      </c>
      <c r="F39" s="116">
        <v>537.1294906096756</v>
      </c>
      <c r="G39" s="116">
        <v>535.31254600474699</v>
      </c>
      <c r="H39" s="116">
        <v>536.53900682391441</v>
      </c>
      <c r="I39" s="116">
        <v>536.53900682391441</v>
      </c>
      <c r="J39" s="138">
        <v>93</v>
      </c>
      <c r="K39" s="115">
        <v>13</v>
      </c>
      <c r="L39" s="101" t="s">
        <v>109</v>
      </c>
      <c r="M39" s="113" t="s">
        <v>20</v>
      </c>
      <c r="N39" s="113" t="s">
        <v>247</v>
      </c>
      <c r="O39" s="182">
        <f>P39/C39</f>
        <v>0.62338533774191485</v>
      </c>
      <c r="P39" s="57">
        <v>275</v>
      </c>
      <c r="Q39" s="57">
        <v>275</v>
      </c>
      <c r="R39" s="57">
        <v>275</v>
      </c>
      <c r="S39" s="57">
        <v>275</v>
      </c>
      <c r="T39" s="57">
        <v>275</v>
      </c>
      <c r="U39" s="57">
        <v>275</v>
      </c>
      <c r="V39" s="57">
        <v>275</v>
      </c>
      <c r="W39" s="6"/>
    </row>
    <row r="40" spans="1:23" s="21" customFormat="1">
      <c r="A40" s="112">
        <v>16</v>
      </c>
      <c r="B40" s="113" t="s">
        <v>671</v>
      </c>
      <c r="C40" s="116"/>
      <c r="D40" s="116">
        <v>70</v>
      </c>
      <c r="E40" s="116">
        <v>108</v>
      </c>
      <c r="F40" s="116">
        <v>130</v>
      </c>
      <c r="G40" s="116">
        <v>130</v>
      </c>
      <c r="H40" s="116">
        <v>130</v>
      </c>
      <c r="I40" s="116">
        <v>130</v>
      </c>
      <c r="J40" s="138">
        <v>100</v>
      </c>
      <c r="K40" s="115">
        <v>13</v>
      </c>
      <c r="L40" s="101" t="s">
        <v>109</v>
      </c>
      <c r="M40" s="113" t="s">
        <v>20</v>
      </c>
      <c r="N40" s="113" t="s">
        <v>41</v>
      </c>
      <c r="O40" s="182"/>
      <c r="P40" s="57"/>
      <c r="Q40" s="57"/>
      <c r="R40" s="57"/>
      <c r="S40" s="57"/>
      <c r="T40" s="57"/>
      <c r="U40" s="57"/>
      <c r="V40" s="57"/>
      <c r="W40" s="6"/>
    </row>
    <row r="41" spans="1:23" s="21" customFormat="1">
      <c r="A41" s="112">
        <v>16</v>
      </c>
      <c r="B41" s="113" t="s">
        <v>523</v>
      </c>
      <c r="C41" s="116">
        <v>9.2624999999999993</v>
      </c>
      <c r="D41" s="116">
        <v>9.3337000000000003</v>
      </c>
      <c r="E41" s="116">
        <v>4.7172999999999998</v>
      </c>
      <c r="F41" s="116">
        <v>4.7171000000000003</v>
      </c>
      <c r="G41" s="116">
        <v>4.7171000000000003</v>
      </c>
      <c r="H41" s="116">
        <v>4.7234000000000007</v>
      </c>
      <c r="I41" s="116">
        <v>4.7234000000000007</v>
      </c>
      <c r="J41" s="113">
        <v>10</v>
      </c>
      <c r="K41" s="115">
        <v>10</v>
      </c>
      <c r="L41" s="101" t="s">
        <v>68</v>
      </c>
      <c r="M41" s="113" t="s">
        <v>9</v>
      </c>
      <c r="N41" s="113" t="s">
        <v>40</v>
      </c>
      <c r="O41" s="181"/>
      <c r="P41" s="57"/>
      <c r="Q41" s="121"/>
      <c r="R41" s="121"/>
      <c r="S41" s="121"/>
      <c r="T41" s="121"/>
      <c r="U41" s="121"/>
      <c r="V41" s="121"/>
    </row>
    <row r="42" spans="1:23" s="21" customFormat="1">
      <c r="A42" s="112">
        <v>16</v>
      </c>
      <c r="B42" s="113" t="s">
        <v>400</v>
      </c>
      <c r="C42" s="117">
        <v>161.24600000000001</v>
      </c>
      <c r="D42" s="117">
        <v>160.88499999999999</v>
      </c>
      <c r="E42" s="117">
        <v>170.88499999999999</v>
      </c>
      <c r="F42" s="117">
        <v>165.88499999999999</v>
      </c>
      <c r="G42" s="117">
        <v>165.88499999999999</v>
      </c>
      <c r="H42" s="117">
        <v>165.88499999999999</v>
      </c>
      <c r="I42" s="117">
        <v>165.88499999999999</v>
      </c>
      <c r="J42" s="113">
        <v>100</v>
      </c>
      <c r="K42" s="115">
        <v>13</v>
      </c>
      <c r="L42" s="101" t="s">
        <v>109</v>
      </c>
      <c r="M42" s="113" t="s">
        <v>20</v>
      </c>
      <c r="N42" s="113" t="s">
        <v>41</v>
      </c>
      <c r="O42" s="262"/>
      <c r="P42" s="57"/>
      <c r="Q42" s="121"/>
      <c r="R42" s="121"/>
      <c r="S42" s="121"/>
      <c r="T42" s="121"/>
      <c r="U42" s="121"/>
      <c r="V42" s="121"/>
    </row>
    <row r="43" spans="1:23" s="21" customFormat="1">
      <c r="A43" s="112">
        <v>16</v>
      </c>
      <c r="B43" s="113" t="s">
        <v>248</v>
      </c>
      <c r="C43" s="117">
        <v>8</v>
      </c>
      <c r="D43" s="117">
        <v>8</v>
      </c>
      <c r="E43" s="117">
        <v>8</v>
      </c>
      <c r="F43" s="117">
        <v>8</v>
      </c>
      <c r="G43" s="117">
        <v>8</v>
      </c>
      <c r="H43" s="117">
        <v>8</v>
      </c>
      <c r="I43" s="117">
        <v>8</v>
      </c>
      <c r="J43" s="113">
        <v>100</v>
      </c>
      <c r="K43" s="115" t="s">
        <v>102</v>
      </c>
      <c r="L43" s="101" t="s">
        <v>103</v>
      </c>
      <c r="M43" s="113" t="s">
        <v>108</v>
      </c>
      <c r="N43" s="113" t="s">
        <v>41</v>
      </c>
      <c r="O43" s="59"/>
      <c r="P43" s="57"/>
      <c r="Q43" s="57"/>
      <c r="R43" s="57"/>
      <c r="S43" s="57"/>
      <c r="T43" s="57"/>
      <c r="U43" s="57"/>
      <c r="V43" s="57"/>
    </row>
    <row r="44" spans="1:23" s="21" customFormat="1">
      <c r="A44" s="112">
        <v>16</v>
      </c>
      <c r="B44" s="113" t="s">
        <v>249</v>
      </c>
      <c r="C44" s="117">
        <v>55.381999999999998</v>
      </c>
      <c r="D44" s="117">
        <v>85.38</v>
      </c>
      <c r="E44" s="117">
        <v>85.38</v>
      </c>
      <c r="F44" s="117">
        <v>55.38</v>
      </c>
      <c r="G44" s="117">
        <v>55.38</v>
      </c>
      <c r="H44" s="117">
        <v>55.38</v>
      </c>
      <c r="I44" s="117">
        <v>55.38</v>
      </c>
      <c r="J44" s="113">
        <v>100</v>
      </c>
      <c r="K44" s="115">
        <v>13</v>
      </c>
      <c r="L44" s="101" t="s">
        <v>109</v>
      </c>
      <c r="M44" s="113" t="s">
        <v>20</v>
      </c>
      <c r="N44" s="113" t="s">
        <v>41</v>
      </c>
      <c r="O44" s="181"/>
      <c r="P44" s="183"/>
      <c r="Q44" s="121"/>
      <c r="R44" s="121"/>
      <c r="S44" s="121"/>
      <c r="T44" s="121"/>
      <c r="U44" s="121"/>
      <c r="V44" s="121"/>
    </row>
    <row r="45" spans="1:23" s="21" customFormat="1">
      <c r="A45" s="112">
        <v>16</v>
      </c>
      <c r="B45" s="113" t="s">
        <v>250</v>
      </c>
      <c r="C45" s="117">
        <v>25.933</v>
      </c>
      <c r="D45" s="117">
        <v>24.347999999999999</v>
      </c>
      <c r="E45" s="117">
        <v>20.89</v>
      </c>
      <c r="F45" s="117">
        <v>19.943999999999999</v>
      </c>
      <c r="G45" s="117">
        <v>17.452000000000002</v>
      </c>
      <c r="H45" s="117">
        <v>16.251999999999999</v>
      </c>
      <c r="I45" s="117">
        <v>16.251999999999999</v>
      </c>
      <c r="J45" s="113">
        <v>100</v>
      </c>
      <c r="K45" s="115">
        <v>9</v>
      </c>
      <c r="L45" s="101" t="s">
        <v>107</v>
      </c>
      <c r="M45" s="113" t="s">
        <v>20</v>
      </c>
      <c r="N45" s="113" t="s">
        <v>41</v>
      </c>
      <c r="O45" s="183"/>
      <c r="P45" s="121"/>
      <c r="Q45" s="121"/>
      <c r="R45" s="121"/>
      <c r="S45" s="121"/>
      <c r="T45" s="121"/>
      <c r="U45" s="121"/>
      <c r="V45" s="121"/>
    </row>
    <row r="46" spans="1:23" s="21" customFormat="1">
      <c r="A46" s="112">
        <v>16</v>
      </c>
      <c r="B46" s="113" t="s">
        <v>395</v>
      </c>
      <c r="C46" s="116">
        <v>6.2649999999999997</v>
      </c>
      <c r="D46" s="116">
        <v>6.2649999999999997</v>
      </c>
      <c r="E46" s="116">
        <v>6.2649999999999997</v>
      </c>
      <c r="F46" s="116">
        <v>6.2649999999999997</v>
      </c>
      <c r="G46" s="116">
        <v>6.266</v>
      </c>
      <c r="H46" s="116">
        <v>6.266</v>
      </c>
      <c r="I46" s="116">
        <v>6.266</v>
      </c>
      <c r="J46" s="113">
        <v>100</v>
      </c>
      <c r="K46" s="115" t="s">
        <v>90</v>
      </c>
      <c r="L46" s="101" t="s">
        <v>91</v>
      </c>
      <c r="M46" s="113" t="s">
        <v>92</v>
      </c>
      <c r="N46" s="113" t="s">
        <v>40</v>
      </c>
      <c r="O46" s="181"/>
      <c r="P46" s="121"/>
      <c r="Q46" s="121"/>
      <c r="R46" s="121"/>
      <c r="S46" s="121"/>
      <c r="T46" s="121"/>
      <c r="U46" s="121"/>
      <c r="V46" s="121"/>
    </row>
    <row r="47" spans="1:23" s="21" customFormat="1">
      <c r="A47" s="112">
        <v>16</v>
      </c>
      <c r="B47" s="113" t="s">
        <v>99</v>
      </c>
      <c r="C47" s="116">
        <v>9.6080000000000005</v>
      </c>
      <c r="D47" s="116">
        <v>9.6080000000000005</v>
      </c>
      <c r="E47" s="116">
        <v>9.6080000000000005</v>
      </c>
      <c r="F47" s="116">
        <v>9.6080000000000005</v>
      </c>
      <c r="G47" s="116">
        <v>9.609</v>
      </c>
      <c r="H47" s="116">
        <v>9.609</v>
      </c>
      <c r="I47" s="116">
        <v>9.609</v>
      </c>
      <c r="J47" s="113">
        <v>100</v>
      </c>
      <c r="K47" s="115">
        <v>7</v>
      </c>
      <c r="L47" s="101" t="s">
        <v>100</v>
      </c>
      <c r="M47" s="113" t="s">
        <v>7</v>
      </c>
      <c r="N47" s="113" t="s">
        <v>40</v>
      </c>
      <c r="O47" s="181"/>
      <c r="P47" s="121"/>
      <c r="Q47" s="121"/>
      <c r="R47" s="121"/>
      <c r="S47" s="121"/>
      <c r="T47" s="121"/>
      <c r="U47" s="121"/>
      <c r="V47" s="121"/>
    </row>
    <row r="48" spans="1:23" s="21" customFormat="1">
      <c r="A48" s="112">
        <v>16</v>
      </c>
      <c r="B48" s="113" t="s">
        <v>101</v>
      </c>
      <c r="C48" s="116">
        <v>0.221</v>
      </c>
      <c r="D48" s="116">
        <v>0.221</v>
      </c>
      <c r="E48" s="116">
        <v>0.221</v>
      </c>
      <c r="F48" s="116">
        <v>0.221</v>
      </c>
      <c r="G48" s="116">
        <v>0.221</v>
      </c>
      <c r="H48" s="116">
        <v>0.221</v>
      </c>
      <c r="I48" s="116">
        <v>0.221</v>
      </c>
      <c r="J48" s="113">
        <v>100</v>
      </c>
      <c r="K48" s="115" t="s">
        <v>102</v>
      </c>
      <c r="L48" s="101" t="s">
        <v>103</v>
      </c>
      <c r="M48" s="113" t="s">
        <v>7</v>
      </c>
      <c r="N48" s="113" t="s">
        <v>40</v>
      </c>
      <c r="O48" s="181"/>
      <c r="P48" s="121"/>
      <c r="Q48" s="121"/>
      <c r="R48" s="121"/>
      <c r="S48" s="121"/>
      <c r="T48" s="121"/>
      <c r="U48" s="121"/>
      <c r="V48" s="121"/>
    </row>
    <row r="49" spans="1:22" s="21" customFormat="1">
      <c r="A49" s="112">
        <v>16</v>
      </c>
      <c r="B49" s="113" t="s">
        <v>398</v>
      </c>
      <c r="C49" s="116">
        <v>2.5</v>
      </c>
      <c r="D49" s="116">
        <v>2.5</v>
      </c>
      <c r="E49" s="116">
        <v>2.5</v>
      </c>
      <c r="F49" s="116">
        <v>2.5</v>
      </c>
      <c r="G49" s="116">
        <v>2.5</v>
      </c>
      <c r="H49" s="116">
        <v>2.5</v>
      </c>
      <c r="I49" s="116">
        <v>2.5</v>
      </c>
      <c r="J49" s="113">
        <v>100</v>
      </c>
      <c r="K49" s="115">
        <v>1</v>
      </c>
      <c r="L49" s="101" t="s">
        <v>110</v>
      </c>
      <c r="M49" s="113" t="s">
        <v>20</v>
      </c>
      <c r="N49" s="113" t="s">
        <v>41</v>
      </c>
      <c r="O49" s="181"/>
      <c r="P49" s="121"/>
      <c r="Q49" s="121"/>
      <c r="R49" s="121"/>
      <c r="S49" s="121"/>
      <c r="T49" s="121"/>
      <c r="U49" s="121"/>
      <c r="V49" s="121"/>
    </row>
    <row r="50" spans="1:22" s="21" customFormat="1">
      <c r="A50" s="112">
        <v>16</v>
      </c>
      <c r="B50" s="113" t="s">
        <v>104</v>
      </c>
      <c r="C50" s="116">
        <v>3.1469999999999998</v>
      </c>
      <c r="D50" s="116">
        <v>3.1469999999999998</v>
      </c>
      <c r="E50" s="116">
        <v>3.1469999999999998</v>
      </c>
      <c r="F50" s="116">
        <v>3.1469999999999998</v>
      </c>
      <c r="G50" s="116">
        <v>1.5</v>
      </c>
      <c r="H50" s="116">
        <v>1.5</v>
      </c>
      <c r="I50" s="116">
        <v>1.5</v>
      </c>
      <c r="J50" s="113">
        <v>100</v>
      </c>
      <c r="K50" s="115" t="s">
        <v>90</v>
      </c>
      <c r="L50" s="101" t="s">
        <v>91</v>
      </c>
      <c r="M50" s="113" t="s">
        <v>20</v>
      </c>
      <c r="N50" s="113" t="s">
        <v>41</v>
      </c>
      <c r="O50" s="181"/>
      <c r="P50" s="121"/>
      <c r="Q50" s="121"/>
      <c r="R50" s="121"/>
      <c r="S50" s="121"/>
      <c r="T50" s="121"/>
      <c r="U50" s="121"/>
      <c r="V50" s="121"/>
    </row>
    <row r="51" spans="1:22" s="21" customFormat="1">
      <c r="A51" s="112">
        <v>16</v>
      </c>
      <c r="B51" s="113" t="s">
        <v>111</v>
      </c>
      <c r="C51" s="116">
        <v>0.627</v>
      </c>
      <c r="D51" s="116">
        <v>2.0945</v>
      </c>
      <c r="E51" s="116">
        <v>2.5975000000000001</v>
      </c>
      <c r="F51" s="116">
        <v>2.9015</v>
      </c>
      <c r="G51" s="116">
        <v>3.1259999999999999</v>
      </c>
      <c r="H51" s="116">
        <v>3.1259999999999999</v>
      </c>
      <c r="I51" s="116">
        <v>3.1259999999999999</v>
      </c>
      <c r="J51" s="113">
        <v>50</v>
      </c>
      <c r="K51" s="115">
        <v>13</v>
      </c>
      <c r="L51" s="101" t="s">
        <v>109</v>
      </c>
      <c r="M51" s="113" t="s">
        <v>41</v>
      </c>
      <c r="N51" s="113" t="s">
        <v>41</v>
      </c>
      <c r="O51" s="181"/>
      <c r="P51" s="121"/>
      <c r="Q51" s="121"/>
      <c r="R51" s="121"/>
      <c r="S51" s="121"/>
      <c r="T51" s="121"/>
      <c r="U51" s="121"/>
      <c r="V51" s="121"/>
    </row>
    <row r="52" spans="1:22" s="21" customFormat="1">
      <c r="A52" s="112">
        <v>16</v>
      </c>
      <c r="B52" s="113" t="s">
        <v>112</v>
      </c>
      <c r="C52" s="116">
        <v>0</v>
      </c>
      <c r="D52" s="116">
        <v>0</v>
      </c>
      <c r="E52" s="116">
        <v>0</v>
      </c>
      <c r="F52" s="116">
        <v>0</v>
      </c>
      <c r="G52" s="116">
        <v>0</v>
      </c>
      <c r="H52" s="116">
        <v>0</v>
      </c>
      <c r="I52" s="116">
        <v>0</v>
      </c>
      <c r="J52" s="113">
        <v>100</v>
      </c>
      <c r="K52" s="115">
        <v>13</v>
      </c>
      <c r="L52" s="101" t="s">
        <v>109</v>
      </c>
      <c r="M52" s="113" t="s">
        <v>41</v>
      </c>
      <c r="N52" s="113" t="s">
        <v>41</v>
      </c>
      <c r="O52" s="59"/>
      <c r="P52" s="57"/>
      <c r="Q52" s="57"/>
      <c r="R52" s="57"/>
      <c r="S52" s="57"/>
      <c r="T52" s="57"/>
      <c r="U52" s="57"/>
      <c r="V52" s="57"/>
    </row>
    <row r="53" spans="1:22" s="21" customFormat="1">
      <c r="A53" s="112">
        <v>16</v>
      </c>
      <c r="B53" s="113" t="s">
        <v>93</v>
      </c>
      <c r="C53" s="116">
        <v>0.85299999999999998</v>
      </c>
      <c r="D53" s="116">
        <v>0.85299999999999998</v>
      </c>
      <c r="E53" s="116">
        <v>0.85299999999999998</v>
      </c>
      <c r="F53" s="116">
        <v>0.85299999999999998</v>
      </c>
      <c r="G53" s="116">
        <v>0.85299999999999998</v>
      </c>
      <c r="H53" s="116">
        <v>0.85299999999999998</v>
      </c>
      <c r="I53" s="116">
        <v>0.85299999999999998</v>
      </c>
      <c r="J53" s="113">
        <v>100</v>
      </c>
      <c r="K53" s="115" t="s">
        <v>90</v>
      </c>
      <c r="L53" s="101" t="s">
        <v>91</v>
      </c>
      <c r="M53" s="113" t="s">
        <v>10</v>
      </c>
      <c r="N53" s="113" t="s">
        <v>40</v>
      </c>
      <c r="O53" s="59"/>
      <c r="P53" s="57"/>
      <c r="Q53" s="57"/>
      <c r="R53" s="57"/>
      <c r="S53" s="57"/>
      <c r="T53" s="57"/>
      <c r="U53" s="57"/>
      <c r="V53" s="57"/>
    </row>
    <row r="54" spans="1:22" s="21" customFormat="1">
      <c r="A54" s="112">
        <v>16</v>
      </c>
      <c r="B54" s="113" t="s">
        <v>94</v>
      </c>
      <c r="C54" s="116">
        <v>5.1980000000000004</v>
      </c>
      <c r="D54" s="116">
        <v>5.1980000000000004</v>
      </c>
      <c r="E54" s="116">
        <v>5.1980000000000004</v>
      </c>
      <c r="F54" s="116">
        <v>5.1980000000000004</v>
      </c>
      <c r="G54" s="116">
        <v>5.1980000000000004</v>
      </c>
      <c r="H54" s="116">
        <v>5.1980000000000004</v>
      </c>
      <c r="I54" s="116">
        <v>5.1980000000000004</v>
      </c>
      <c r="J54" s="113">
        <v>100</v>
      </c>
      <c r="K54" s="115" t="s">
        <v>90</v>
      </c>
      <c r="L54" s="101" t="s">
        <v>91</v>
      </c>
      <c r="M54" s="113" t="s">
        <v>10</v>
      </c>
      <c r="N54" s="113" t="s">
        <v>40</v>
      </c>
      <c r="O54" s="181"/>
      <c r="P54" s="121"/>
      <c r="Q54" s="121"/>
      <c r="R54" s="121"/>
      <c r="S54" s="121"/>
      <c r="T54" s="121"/>
      <c r="U54" s="121"/>
      <c r="V54" s="121"/>
    </row>
    <row r="55" spans="1:22" s="21" customFormat="1">
      <c r="A55" s="112">
        <v>16</v>
      </c>
      <c r="B55" s="113" t="s">
        <v>95</v>
      </c>
      <c r="C55" s="116">
        <v>31.065000000000001</v>
      </c>
      <c r="D55" s="116">
        <v>31.065000000000001</v>
      </c>
      <c r="E55" s="116">
        <v>31.065000000000001</v>
      </c>
      <c r="F55" s="116">
        <v>31.065000000000001</v>
      </c>
      <c r="G55" s="116">
        <v>31.065000000000001</v>
      </c>
      <c r="H55" s="116">
        <v>31.065000000000001</v>
      </c>
      <c r="I55" s="116">
        <v>31.065000000000001</v>
      </c>
      <c r="J55" s="113">
        <v>100</v>
      </c>
      <c r="K55" s="115">
        <v>3</v>
      </c>
      <c r="L55" s="101" t="s">
        <v>96</v>
      </c>
      <c r="M55" s="113" t="s">
        <v>10</v>
      </c>
      <c r="N55" s="113" t="s">
        <v>41</v>
      </c>
      <c r="O55" s="181"/>
      <c r="P55" s="121"/>
      <c r="Q55" s="121"/>
      <c r="R55" s="121"/>
      <c r="S55" s="121"/>
      <c r="T55" s="121"/>
      <c r="U55" s="121"/>
      <c r="V55" s="121"/>
    </row>
    <row r="56" spans="1:22" s="21" customFormat="1">
      <c r="A56" s="112">
        <v>16</v>
      </c>
      <c r="B56" s="113" t="s">
        <v>97</v>
      </c>
      <c r="C56" s="116">
        <v>49.890999999999998</v>
      </c>
      <c r="D56" s="116">
        <v>44.8</v>
      </c>
      <c r="E56" s="116">
        <v>44.8</v>
      </c>
      <c r="F56" s="116">
        <v>44.8</v>
      </c>
      <c r="G56" s="116">
        <v>44.8</v>
      </c>
      <c r="H56" s="116">
        <v>44.8</v>
      </c>
      <c r="I56" s="116">
        <v>44.8</v>
      </c>
      <c r="J56" s="113">
        <v>100</v>
      </c>
      <c r="K56" s="115" t="s">
        <v>90</v>
      </c>
      <c r="L56" s="101" t="s">
        <v>91</v>
      </c>
      <c r="M56" s="113" t="s">
        <v>10</v>
      </c>
      <c r="N56" s="113" t="s">
        <v>40</v>
      </c>
      <c r="O56" s="181"/>
      <c r="P56" s="121"/>
      <c r="Q56" s="121"/>
      <c r="R56" s="121"/>
      <c r="S56" s="121"/>
      <c r="T56" s="121"/>
      <c r="U56" s="121"/>
      <c r="V56" s="121"/>
    </row>
    <row r="57" spans="1:22" s="21" customFormat="1">
      <c r="A57" s="112">
        <v>16</v>
      </c>
      <c r="B57" s="113" t="s">
        <v>98</v>
      </c>
      <c r="C57" s="116">
        <v>8.7729999999999997</v>
      </c>
      <c r="D57" s="116">
        <v>10.019</v>
      </c>
      <c r="E57" s="116">
        <v>10.019</v>
      </c>
      <c r="F57" s="116">
        <v>10.019</v>
      </c>
      <c r="G57" s="116">
        <v>10.019</v>
      </c>
      <c r="H57" s="116">
        <v>10.019</v>
      </c>
      <c r="I57" s="116">
        <v>10.019</v>
      </c>
      <c r="J57" s="113">
        <v>100</v>
      </c>
      <c r="K57" s="115" t="s">
        <v>90</v>
      </c>
      <c r="L57" s="101" t="s">
        <v>91</v>
      </c>
      <c r="M57" s="113" t="s">
        <v>10</v>
      </c>
      <c r="N57" s="113" t="s">
        <v>40</v>
      </c>
      <c r="O57" s="181"/>
      <c r="P57" s="121"/>
      <c r="Q57" s="121"/>
      <c r="R57" s="121"/>
      <c r="S57" s="121"/>
      <c r="T57" s="121"/>
      <c r="U57" s="121"/>
      <c r="V57" s="121"/>
    </row>
    <row r="58" spans="1:22" s="21" customFormat="1">
      <c r="A58" s="112" t="s">
        <v>406</v>
      </c>
      <c r="B58" s="113" t="s">
        <v>403</v>
      </c>
      <c r="C58" s="116">
        <v>2.6</v>
      </c>
      <c r="D58" s="116">
        <v>3.6</v>
      </c>
      <c r="E58" s="116">
        <v>3.6</v>
      </c>
      <c r="F58" s="116">
        <v>3.6</v>
      </c>
      <c r="G58" s="116">
        <v>3.6</v>
      </c>
      <c r="H58" s="116">
        <v>3.6</v>
      </c>
      <c r="I58" s="116">
        <v>3.6</v>
      </c>
      <c r="J58" s="113">
        <v>100</v>
      </c>
      <c r="K58" s="115">
        <v>9</v>
      </c>
      <c r="L58" s="101" t="s">
        <v>107</v>
      </c>
      <c r="M58" s="113" t="s">
        <v>41</v>
      </c>
      <c r="N58" s="113" t="s">
        <v>41</v>
      </c>
      <c r="O58" s="181"/>
      <c r="P58" s="121"/>
      <c r="Q58" s="121"/>
      <c r="R58" s="121"/>
      <c r="S58" s="121"/>
      <c r="T58" s="121"/>
      <c r="U58" s="121"/>
      <c r="V58" s="121"/>
    </row>
    <row r="59" spans="1:22">
      <c r="A59" s="112">
        <v>14</v>
      </c>
      <c r="B59" s="113" t="s">
        <v>524</v>
      </c>
      <c r="C59" s="116"/>
      <c r="D59" s="116">
        <v>9.0999999999999998E-2</v>
      </c>
      <c r="E59" s="116">
        <v>4.8</v>
      </c>
      <c r="F59" s="116">
        <v>4.9749999999999996</v>
      </c>
      <c r="G59" s="116">
        <v>5</v>
      </c>
      <c r="H59" s="116">
        <v>4.9000000000000004</v>
      </c>
      <c r="I59" s="116">
        <v>4.9000000000000004</v>
      </c>
      <c r="J59" s="113">
        <v>10</v>
      </c>
      <c r="K59" s="115">
        <v>10</v>
      </c>
      <c r="L59" s="101" t="s">
        <v>68</v>
      </c>
      <c r="M59" s="113" t="s">
        <v>9</v>
      </c>
      <c r="N59" s="113" t="s">
        <v>40</v>
      </c>
    </row>
    <row r="60" spans="1:22" s="21" customFormat="1">
      <c r="A60" s="112" t="s">
        <v>113</v>
      </c>
      <c r="B60" s="113" t="s">
        <v>251</v>
      </c>
      <c r="C60" s="116">
        <v>8.8268400000000007</v>
      </c>
      <c r="D60" s="116">
        <v>9.6365700000000007</v>
      </c>
      <c r="E60" s="116">
        <v>8.7974099999999993</v>
      </c>
      <c r="F60" s="116">
        <v>8.7955199999999998</v>
      </c>
      <c r="G60" s="116">
        <v>8.80335</v>
      </c>
      <c r="H60" s="116">
        <v>8.6135400000000004</v>
      </c>
      <c r="I60" s="116">
        <v>8.6135400000000004</v>
      </c>
      <c r="J60" s="113">
        <v>27</v>
      </c>
      <c r="K60" s="115">
        <v>10</v>
      </c>
      <c r="L60" s="101" t="s">
        <v>68</v>
      </c>
      <c r="M60" s="113" t="s">
        <v>9</v>
      </c>
      <c r="N60" s="113" t="s">
        <v>40</v>
      </c>
      <c r="O60" s="181"/>
      <c r="P60" s="121"/>
      <c r="Q60" s="121"/>
      <c r="R60" s="121"/>
      <c r="S60" s="121"/>
      <c r="T60" s="121"/>
      <c r="U60" s="121"/>
      <c r="V60" s="121"/>
    </row>
    <row r="61" spans="1:22" s="21" customFormat="1">
      <c r="A61" s="112" t="s">
        <v>113</v>
      </c>
      <c r="B61" s="113" t="s">
        <v>114</v>
      </c>
      <c r="C61" s="116">
        <v>0.30893999999999999</v>
      </c>
      <c r="D61" s="116">
        <v>0.31583999999999995</v>
      </c>
      <c r="E61" s="116">
        <v>0.31583999999999995</v>
      </c>
      <c r="F61" s="116">
        <v>0.31583999999999995</v>
      </c>
      <c r="G61" s="116">
        <v>0.31583999999999995</v>
      </c>
      <c r="H61" s="116">
        <v>0.31583999999999995</v>
      </c>
      <c r="I61" s="184">
        <v>0.31583999999999995</v>
      </c>
      <c r="J61" s="113">
        <v>6</v>
      </c>
      <c r="K61" s="115">
        <v>10</v>
      </c>
      <c r="L61" s="101" t="s">
        <v>68</v>
      </c>
      <c r="M61" s="113" t="s">
        <v>9</v>
      </c>
      <c r="N61" s="113" t="s">
        <v>40</v>
      </c>
      <c r="O61" s="181"/>
      <c r="P61" s="121"/>
      <c r="Q61" s="121"/>
      <c r="R61" s="121"/>
      <c r="S61" s="121"/>
      <c r="T61" s="121"/>
      <c r="U61" s="121"/>
      <c r="V61" s="121"/>
    </row>
    <row r="62" spans="1:22" s="21" customFormat="1">
      <c r="A62" s="112" t="s">
        <v>113</v>
      </c>
      <c r="B62" s="113" t="s">
        <v>115</v>
      </c>
      <c r="C62" s="116">
        <v>2.2330000000000001</v>
      </c>
      <c r="D62" s="116">
        <v>1.9379999999999999</v>
      </c>
      <c r="E62" s="116">
        <v>2.101</v>
      </c>
      <c r="F62" s="116">
        <v>2.0760000000000001</v>
      </c>
      <c r="G62" s="116">
        <v>2.1259999999999999</v>
      </c>
      <c r="H62" s="116">
        <v>2.101</v>
      </c>
      <c r="I62" s="184">
        <v>1.976</v>
      </c>
      <c r="J62" s="113">
        <v>100</v>
      </c>
      <c r="K62" s="115">
        <v>10</v>
      </c>
      <c r="L62" s="101" t="s">
        <v>68</v>
      </c>
      <c r="M62" s="113" t="s">
        <v>41</v>
      </c>
      <c r="N62" s="113" t="s">
        <v>41</v>
      </c>
      <c r="O62" s="181"/>
      <c r="P62" s="121"/>
      <c r="Q62" s="121"/>
      <c r="R62" s="121"/>
      <c r="S62" s="121"/>
      <c r="T62" s="121"/>
      <c r="U62" s="121"/>
      <c r="V62" s="121"/>
    </row>
    <row r="63" spans="1:22" s="21" customFormat="1">
      <c r="A63" s="112" t="s">
        <v>113</v>
      </c>
      <c r="B63" s="113" t="s">
        <v>116</v>
      </c>
      <c r="C63" s="116">
        <v>0.74399999999999999</v>
      </c>
      <c r="D63" s="116">
        <v>0.76200000000000001</v>
      </c>
      <c r="E63" s="116">
        <v>0.76200000000000001</v>
      </c>
      <c r="F63" s="116">
        <v>0.76200000000000001</v>
      </c>
      <c r="G63" s="116">
        <v>0.76200000000000001</v>
      </c>
      <c r="H63" s="116">
        <v>0.76200000000000001</v>
      </c>
      <c r="I63" s="116">
        <v>0.76200000000000001</v>
      </c>
      <c r="J63" s="113">
        <v>100</v>
      </c>
      <c r="K63" s="115">
        <v>10</v>
      </c>
      <c r="L63" s="101" t="s">
        <v>68</v>
      </c>
      <c r="M63" s="113" t="s">
        <v>7</v>
      </c>
      <c r="N63" s="113" t="s">
        <v>40</v>
      </c>
      <c r="O63" s="181"/>
      <c r="P63" s="121"/>
      <c r="Q63" s="121"/>
      <c r="R63" s="121"/>
      <c r="S63" s="121"/>
      <c r="T63" s="121"/>
      <c r="U63" s="121"/>
      <c r="V63" s="121"/>
    </row>
    <row r="64" spans="1:22" s="69" customFormat="1" ht="15">
      <c r="B64" s="69" t="s">
        <v>64</v>
      </c>
      <c r="C64" s="107">
        <f t="shared" ref="C64:I64" si="9">SUM(C32:C63)</f>
        <v>3701.9372203081025</v>
      </c>
      <c r="D64" s="107">
        <f t="shared" si="9"/>
        <v>3940.1422919187439</v>
      </c>
      <c r="E64" s="107">
        <f>SUM(E32:E63)</f>
        <v>4039.1720864504873</v>
      </c>
      <c r="F64" s="107">
        <f t="shared" si="9"/>
        <v>4063.4291322269637</v>
      </c>
      <c r="G64" s="107">
        <f t="shared" si="9"/>
        <v>4045.2506568591807</v>
      </c>
      <c r="H64" s="107">
        <f t="shared" si="9"/>
        <v>4052.4454894027513</v>
      </c>
      <c r="I64" s="107">
        <f t="shared" si="9"/>
        <v>4075.6592742469393</v>
      </c>
      <c r="L64" s="21"/>
      <c r="O64" s="108"/>
      <c r="P64" s="106">
        <f t="shared" ref="P64:V64" si="10">SUM(P32:P63)</f>
        <v>289</v>
      </c>
      <c r="Q64" s="106">
        <f t="shared" si="10"/>
        <v>289</v>
      </c>
      <c r="R64" s="106">
        <f t="shared" si="10"/>
        <v>289</v>
      </c>
      <c r="S64" s="106">
        <f t="shared" si="10"/>
        <v>289</v>
      </c>
      <c r="T64" s="106">
        <f t="shared" si="10"/>
        <v>289</v>
      </c>
      <c r="U64" s="106">
        <f t="shared" si="10"/>
        <v>289</v>
      </c>
      <c r="V64" s="106">
        <f t="shared" si="10"/>
        <v>289</v>
      </c>
    </row>
    <row r="65" spans="1:23">
      <c r="C65" s="88"/>
      <c r="D65" s="88"/>
      <c r="E65" s="88"/>
      <c r="F65" s="88"/>
      <c r="G65" s="88"/>
      <c r="H65" s="88"/>
      <c r="I65" s="88"/>
    </row>
    <row r="66" spans="1:23" s="12" customFormat="1" ht="15">
      <c r="B66" s="13" t="s">
        <v>42</v>
      </c>
      <c r="C66" s="51"/>
      <c r="D66" s="51"/>
      <c r="E66" s="51"/>
      <c r="F66" s="51"/>
      <c r="G66" s="51"/>
      <c r="H66" s="51"/>
      <c r="I66" s="51"/>
      <c r="P66" s="231"/>
      <c r="Q66" s="231"/>
      <c r="R66" s="231"/>
      <c r="S66" s="231"/>
      <c r="T66" s="231"/>
      <c r="U66" s="231"/>
      <c r="V66" s="231"/>
    </row>
    <row r="67" spans="1:23">
      <c r="A67" s="101" t="s">
        <v>53</v>
      </c>
      <c r="B67" s="101" t="s">
        <v>252</v>
      </c>
      <c r="C67" s="101">
        <v>36.646999999999998</v>
      </c>
      <c r="D67" s="101">
        <v>40.308</v>
      </c>
      <c r="E67" s="101">
        <v>42.808</v>
      </c>
      <c r="F67" s="101">
        <v>42.808</v>
      </c>
      <c r="G67" s="101">
        <v>42.808</v>
      </c>
      <c r="H67" s="101">
        <v>42.808</v>
      </c>
      <c r="I67" s="101">
        <v>42.808</v>
      </c>
      <c r="J67" s="101">
        <v>100</v>
      </c>
      <c r="K67" s="101">
        <v>14</v>
      </c>
      <c r="L67" s="101" t="s">
        <v>54</v>
      </c>
      <c r="M67" s="101" t="s">
        <v>396</v>
      </c>
      <c r="N67" s="6" t="s">
        <v>40</v>
      </c>
      <c r="O67" s="59">
        <v>100</v>
      </c>
      <c r="P67" s="57">
        <f t="shared" ref="P67:V71" si="11">+$O67/100*C67</f>
        <v>36.646999999999998</v>
      </c>
      <c r="Q67" s="57">
        <f t="shared" si="11"/>
        <v>40.308</v>
      </c>
      <c r="R67" s="57">
        <f t="shared" si="11"/>
        <v>42.808</v>
      </c>
      <c r="S67" s="57">
        <f t="shared" si="11"/>
        <v>42.808</v>
      </c>
      <c r="T67" s="57">
        <f t="shared" si="11"/>
        <v>42.808</v>
      </c>
      <c r="U67" s="57">
        <f t="shared" si="11"/>
        <v>42.808</v>
      </c>
      <c r="V67" s="57">
        <f t="shared" si="11"/>
        <v>42.808</v>
      </c>
      <c r="W67" s="57"/>
    </row>
    <row r="68" spans="1:23">
      <c r="A68" s="101" t="s">
        <v>53</v>
      </c>
      <c r="B68" s="101" t="s">
        <v>55</v>
      </c>
      <c r="C68" s="101">
        <v>0.51700000000000002</v>
      </c>
      <c r="D68" s="101">
        <v>0.51700000000000002</v>
      </c>
      <c r="E68" s="101">
        <v>0.51700000000000002</v>
      </c>
      <c r="F68" s="101">
        <v>0.51700000000000002</v>
      </c>
      <c r="G68" s="101">
        <v>0.51700000000000002</v>
      </c>
      <c r="H68" s="101">
        <v>0.51700000000000002</v>
      </c>
      <c r="I68" s="101">
        <v>0.51700000000000002</v>
      </c>
      <c r="J68" s="101">
        <v>100</v>
      </c>
      <c r="K68" s="101">
        <v>14</v>
      </c>
      <c r="L68" s="101" t="s">
        <v>54</v>
      </c>
      <c r="M68" s="101" t="s">
        <v>7</v>
      </c>
      <c r="N68" s="6" t="s">
        <v>40</v>
      </c>
      <c r="O68" s="59">
        <v>100</v>
      </c>
      <c r="P68" s="57">
        <f t="shared" si="11"/>
        <v>0.51700000000000002</v>
      </c>
      <c r="Q68" s="57">
        <f t="shared" si="11"/>
        <v>0.51700000000000002</v>
      </c>
      <c r="R68" s="57">
        <f t="shared" si="11"/>
        <v>0.51700000000000002</v>
      </c>
      <c r="S68" s="57">
        <f t="shared" si="11"/>
        <v>0.51700000000000002</v>
      </c>
      <c r="T68" s="57">
        <f t="shared" si="11"/>
        <v>0.51700000000000002</v>
      </c>
      <c r="U68" s="57">
        <f t="shared" si="11"/>
        <v>0.51700000000000002</v>
      </c>
      <c r="V68" s="57">
        <f t="shared" si="11"/>
        <v>0.51700000000000002</v>
      </c>
      <c r="W68" s="57"/>
    </row>
    <row r="69" spans="1:23">
      <c r="A69" s="101" t="s">
        <v>53</v>
      </c>
      <c r="B69" s="101" t="s">
        <v>566</v>
      </c>
      <c r="C69" s="101">
        <v>3.331</v>
      </c>
      <c r="D69" s="101">
        <v>6.766</v>
      </c>
      <c r="E69" s="101">
        <v>6.86</v>
      </c>
      <c r="F69" s="101">
        <v>8.89</v>
      </c>
      <c r="G69" s="101">
        <v>8.9209999999999994</v>
      </c>
      <c r="H69" s="101">
        <v>8.9510000000000005</v>
      </c>
      <c r="I69" s="101">
        <v>8.9510000000000005</v>
      </c>
      <c r="J69" s="101">
        <v>100</v>
      </c>
      <c r="K69" s="101">
        <v>14</v>
      </c>
      <c r="L69" s="101" t="s">
        <v>54</v>
      </c>
      <c r="M69" s="101" t="s">
        <v>11</v>
      </c>
      <c r="N69" s="6" t="s">
        <v>41</v>
      </c>
      <c r="O69" s="59">
        <v>100</v>
      </c>
      <c r="P69" s="57">
        <f t="shared" si="11"/>
        <v>3.331</v>
      </c>
      <c r="Q69" s="57">
        <f t="shared" si="11"/>
        <v>6.766</v>
      </c>
      <c r="R69" s="57">
        <f t="shared" si="11"/>
        <v>6.86</v>
      </c>
      <c r="S69" s="57">
        <f t="shared" si="11"/>
        <v>8.89</v>
      </c>
      <c r="T69" s="57">
        <f t="shared" si="11"/>
        <v>8.9209999999999994</v>
      </c>
      <c r="U69" s="57">
        <f t="shared" si="11"/>
        <v>8.9510000000000005</v>
      </c>
      <c r="V69" s="57">
        <f t="shared" si="11"/>
        <v>8.9510000000000005</v>
      </c>
      <c r="W69" s="57"/>
    </row>
    <row r="70" spans="1:23">
      <c r="A70" s="101" t="s">
        <v>53</v>
      </c>
      <c r="B70" s="101" t="s">
        <v>567</v>
      </c>
      <c r="C70" s="101">
        <v>13.981999999999999</v>
      </c>
      <c r="D70" s="101">
        <v>19.521000000000001</v>
      </c>
      <c r="E70" s="101">
        <v>20.053000000000001</v>
      </c>
      <c r="F70" s="101">
        <v>20.052</v>
      </c>
      <c r="G70" s="101">
        <v>20.052</v>
      </c>
      <c r="H70" s="101">
        <v>20.052</v>
      </c>
      <c r="I70" s="101">
        <v>20.052</v>
      </c>
      <c r="J70" s="101">
        <v>100</v>
      </c>
      <c r="K70" s="101">
        <v>14</v>
      </c>
      <c r="L70" s="101" t="s">
        <v>54</v>
      </c>
      <c r="M70" s="101" t="s">
        <v>397</v>
      </c>
      <c r="N70" s="6" t="s">
        <v>41</v>
      </c>
      <c r="O70" s="59">
        <v>100</v>
      </c>
      <c r="P70" s="57">
        <f t="shared" si="11"/>
        <v>13.981999999999999</v>
      </c>
      <c r="Q70" s="57">
        <f t="shared" si="11"/>
        <v>19.521000000000001</v>
      </c>
      <c r="R70" s="57">
        <f t="shared" si="11"/>
        <v>20.053000000000001</v>
      </c>
      <c r="S70" s="57">
        <f t="shared" si="11"/>
        <v>20.052</v>
      </c>
      <c r="T70" s="57">
        <f t="shared" si="11"/>
        <v>20.052</v>
      </c>
      <c r="U70" s="57">
        <f t="shared" si="11"/>
        <v>20.052</v>
      </c>
      <c r="V70" s="57">
        <f t="shared" si="11"/>
        <v>20.052</v>
      </c>
      <c r="W70" s="57"/>
    </row>
    <row r="71" spans="1:23">
      <c r="A71" s="101" t="s">
        <v>53</v>
      </c>
      <c r="B71" s="101" t="s">
        <v>567</v>
      </c>
      <c r="C71" s="101">
        <v>0.27900000000000003</v>
      </c>
      <c r="D71" s="104">
        <v>0</v>
      </c>
      <c r="E71" s="104">
        <v>0</v>
      </c>
      <c r="F71" s="104">
        <v>0</v>
      </c>
      <c r="G71" s="104">
        <v>0</v>
      </c>
      <c r="H71" s="104">
        <v>0</v>
      </c>
      <c r="I71" s="104">
        <v>0</v>
      </c>
      <c r="J71" s="101">
        <v>100</v>
      </c>
      <c r="K71" s="101">
        <v>14</v>
      </c>
      <c r="L71" s="101" t="s">
        <v>54</v>
      </c>
      <c r="M71" s="101" t="s">
        <v>69</v>
      </c>
      <c r="N71" s="6" t="s">
        <v>41</v>
      </c>
      <c r="O71" s="59">
        <v>100</v>
      </c>
      <c r="P71" s="57">
        <f t="shared" si="11"/>
        <v>0.27900000000000003</v>
      </c>
      <c r="Q71" s="57">
        <f t="shared" si="11"/>
        <v>0</v>
      </c>
      <c r="R71" s="57">
        <f t="shared" si="11"/>
        <v>0</v>
      </c>
      <c r="S71" s="57">
        <f t="shared" si="11"/>
        <v>0</v>
      </c>
      <c r="T71" s="57">
        <f t="shared" si="11"/>
        <v>0</v>
      </c>
      <c r="U71" s="57">
        <f t="shared" si="11"/>
        <v>0</v>
      </c>
      <c r="V71" s="57">
        <f t="shared" si="11"/>
        <v>0</v>
      </c>
      <c r="W71" s="57"/>
    </row>
    <row r="72" spans="1:23" s="69" customFormat="1" ht="15">
      <c r="B72" s="69" t="s">
        <v>56</v>
      </c>
      <c r="C72" s="107">
        <f t="shared" ref="C72:I72" si="12">SUM(C67:C71)</f>
        <v>54.756000000000007</v>
      </c>
      <c r="D72" s="107">
        <f t="shared" si="12"/>
        <v>67.111999999999995</v>
      </c>
      <c r="E72" s="107">
        <f t="shared" si="12"/>
        <v>70.238</v>
      </c>
      <c r="F72" s="107">
        <f t="shared" si="12"/>
        <v>72.266999999999996</v>
      </c>
      <c r="G72" s="107">
        <f t="shared" si="12"/>
        <v>72.298000000000002</v>
      </c>
      <c r="H72" s="107">
        <f t="shared" si="12"/>
        <v>72.328000000000003</v>
      </c>
      <c r="I72" s="107">
        <f t="shared" si="12"/>
        <v>72.328000000000003</v>
      </c>
      <c r="L72" s="21"/>
      <c r="O72" s="108"/>
      <c r="P72" s="106">
        <f t="shared" ref="P72:V72" si="13">SUM(P67:P71)</f>
        <v>54.756000000000007</v>
      </c>
      <c r="Q72" s="106">
        <f t="shared" si="13"/>
        <v>67.111999999999995</v>
      </c>
      <c r="R72" s="106">
        <f t="shared" si="13"/>
        <v>70.238</v>
      </c>
      <c r="S72" s="106">
        <f t="shared" si="13"/>
        <v>72.266999999999996</v>
      </c>
      <c r="T72" s="106">
        <f t="shared" si="13"/>
        <v>72.298000000000002</v>
      </c>
      <c r="U72" s="106">
        <f t="shared" si="13"/>
        <v>72.328000000000003</v>
      </c>
      <c r="V72" s="106">
        <f t="shared" si="13"/>
        <v>72.328000000000003</v>
      </c>
    </row>
    <row r="73" spans="1:23" s="69" customFormat="1" ht="15">
      <c r="C73" s="107"/>
      <c r="D73" s="107"/>
      <c r="E73" s="107"/>
      <c r="F73" s="107"/>
      <c r="G73" s="107"/>
      <c r="H73" s="107"/>
      <c r="I73" s="107"/>
      <c r="L73" s="21"/>
      <c r="O73" s="108"/>
      <c r="P73" s="106"/>
      <c r="Q73" s="106"/>
      <c r="R73" s="106"/>
      <c r="S73" s="106"/>
      <c r="T73" s="106"/>
      <c r="U73" s="106"/>
      <c r="V73" s="106"/>
    </row>
    <row r="74" spans="1:23" s="13" customFormat="1" ht="15">
      <c r="B74" s="26" t="s">
        <v>415</v>
      </c>
      <c r="C74" s="50"/>
      <c r="D74" s="53"/>
      <c r="E74" s="53"/>
      <c r="F74" s="53"/>
      <c r="G74" s="53"/>
      <c r="H74" s="53"/>
      <c r="I74" s="53"/>
      <c r="J74" s="27"/>
      <c r="K74" s="26"/>
      <c r="L74" s="82"/>
      <c r="M74" s="82"/>
      <c r="N74" s="26"/>
      <c r="O74" s="26"/>
      <c r="P74" s="230"/>
      <c r="Q74" s="230"/>
      <c r="R74" s="230"/>
      <c r="S74" s="230"/>
      <c r="T74" s="230"/>
      <c r="U74" s="230"/>
      <c r="V74" s="230"/>
    </row>
    <row r="75" spans="1:23" s="69" customFormat="1" ht="15">
      <c r="A75" s="101" t="s">
        <v>138</v>
      </c>
      <c r="B75" s="101" t="s">
        <v>130</v>
      </c>
      <c r="C75" s="104">
        <v>3.3000000000000002E-2</v>
      </c>
      <c r="D75" s="104">
        <v>3.3000000000000002E-2</v>
      </c>
      <c r="E75" s="104">
        <v>3.3000000000000002E-2</v>
      </c>
      <c r="F75" s="104">
        <v>3.3000000000000002E-2</v>
      </c>
      <c r="G75" s="104">
        <v>0</v>
      </c>
      <c r="H75" s="104">
        <v>3.3000000000000002E-2</v>
      </c>
      <c r="I75" s="104">
        <v>3.3000000000000002E-2</v>
      </c>
      <c r="J75" s="105">
        <v>0</v>
      </c>
      <c r="K75" s="101">
        <v>4</v>
      </c>
      <c r="L75" s="101" t="s">
        <v>322</v>
      </c>
      <c r="M75" s="101" t="s">
        <v>131</v>
      </c>
      <c r="N75" s="101" t="s">
        <v>40</v>
      </c>
      <c r="O75" s="185">
        <v>0</v>
      </c>
      <c r="P75" s="106"/>
      <c r="Q75" s="106"/>
      <c r="R75" s="106"/>
      <c r="S75" s="106"/>
      <c r="T75" s="106"/>
      <c r="U75" s="106"/>
      <c r="V75" s="106"/>
    </row>
    <row r="76" spans="1:23" s="69" customFormat="1" ht="15">
      <c r="A76" s="101" t="s">
        <v>138</v>
      </c>
      <c r="B76" s="101" t="s">
        <v>282</v>
      </c>
      <c r="C76" s="104">
        <v>0.2</v>
      </c>
      <c r="D76" s="104">
        <v>0.2</v>
      </c>
      <c r="E76" s="104">
        <v>0.15</v>
      </c>
      <c r="F76" s="104">
        <v>0.15</v>
      </c>
      <c r="G76" s="104">
        <v>0.15</v>
      </c>
      <c r="H76" s="104">
        <v>0.15</v>
      </c>
      <c r="I76" s="104">
        <v>0.15</v>
      </c>
      <c r="J76" s="105">
        <v>0</v>
      </c>
      <c r="K76" s="101">
        <v>4</v>
      </c>
      <c r="L76" s="101" t="s">
        <v>322</v>
      </c>
      <c r="M76" s="101" t="s">
        <v>128</v>
      </c>
      <c r="N76" s="101" t="s">
        <v>40</v>
      </c>
      <c r="O76" s="185">
        <v>0</v>
      </c>
      <c r="P76" s="106"/>
      <c r="Q76" s="106"/>
      <c r="R76" s="106"/>
      <c r="S76" s="106"/>
      <c r="T76" s="106"/>
      <c r="U76" s="106"/>
      <c r="V76" s="106"/>
    </row>
    <row r="77" spans="1:23" s="69" customFormat="1" ht="15">
      <c r="A77" s="101" t="s">
        <v>138</v>
      </c>
      <c r="B77" s="101" t="s">
        <v>136</v>
      </c>
      <c r="C77" s="104">
        <v>0.6</v>
      </c>
      <c r="D77" s="104">
        <v>0.6</v>
      </c>
      <c r="E77" s="104">
        <v>0.6</v>
      </c>
      <c r="F77" s="104">
        <v>0.6</v>
      </c>
      <c r="G77" s="104">
        <v>0.6</v>
      </c>
      <c r="H77" s="104">
        <v>0.6</v>
      </c>
      <c r="I77" s="104">
        <v>0.6</v>
      </c>
      <c r="J77" s="105">
        <v>0.1</v>
      </c>
      <c r="K77" s="101">
        <v>4</v>
      </c>
      <c r="L77" s="101" t="s">
        <v>322</v>
      </c>
      <c r="M77" s="101" t="s">
        <v>137</v>
      </c>
      <c r="N77" s="101" t="s">
        <v>40</v>
      </c>
      <c r="O77" s="185">
        <v>0</v>
      </c>
      <c r="P77" s="106"/>
      <c r="Q77" s="106"/>
      <c r="R77" s="106"/>
      <c r="S77" s="106"/>
      <c r="T77" s="106"/>
      <c r="U77" s="106"/>
      <c r="V77" s="106"/>
    </row>
    <row r="78" spans="1:23" s="69" customFormat="1" ht="15">
      <c r="A78" s="101" t="s">
        <v>138</v>
      </c>
      <c r="B78" s="101" t="s">
        <v>576</v>
      </c>
      <c r="C78" s="104">
        <v>0.42399999999999999</v>
      </c>
      <c r="D78" s="104">
        <v>0.36299999999999999</v>
      </c>
      <c r="E78" s="186" t="s">
        <v>368</v>
      </c>
      <c r="F78" s="186" t="s">
        <v>368</v>
      </c>
      <c r="G78" s="186" t="s">
        <v>368</v>
      </c>
      <c r="H78" s="186" t="s">
        <v>368</v>
      </c>
      <c r="I78" s="186" t="s">
        <v>368</v>
      </c>
      <c r="J78" s="105">
        <v>0</v>
      </c>
      <c r="K78" s="101">
        <v>4</v>
      </c>
      <c r="L78" s="101" t="s">
        <v>322</v>
      </c>
      <c r="M78" s="101" t="s">
        <v>121</v>
      </c>
      <c r="N78" s="101" t="s">
        <v>40</v>
      </c>
      <c r="O78" s="185">
        <v>0</v>
      </c>
      <c r="P78" s="106"/>
      <c r="Q78" s="106"/>
      <c r="R78" s="106"/>
      <c r="S78" s="106"/>
      <c r="T78" s="106"/>
      <c r="U78" s="106"/>
      <c r="V78" s="106"/>
    </row>
    <row r="79" spans="1:23" s="69" customFormat="1" ht="15">
      <c r="A79" s="101" t="s">
        <v>138</v>
      </c>
      <c r="B79" s="101" t="s">
        <v>120</v>
      </c>
      <c r="C79" s="104">
        <v>0.13</v>
      </c>
      <c r="D79" s="104">
        <v>0.13</v>
      </c>
      <c r="E79" s="104">
        <v>0.13</v>
      </c>
      <c r="F79" s="104">
        <v>0.13</v>
      </c>
      <c r="G79" s="104">
        <v>0.13</v>
      </c>
      <c r="H79" s="104">
        <v>0.13</v>
      </c>
      <c r="I79" s="104">
        <v>0.13</v>
      </c>
      <c r="J79" s="105">
        <v>0</v>
      </c>
      <c r="K79" s="101">
        <v>4</v>
      </c>
      <c r="L79" s="101" t="s">
        <v>322</v>
      </c>
      <c r="M79" s="101" t="s">
        <v>120</v>
      </c>
      <c r="N79" s="101" t="s">
        <v>40</v>
      </c>
      <c r="O79" s="185">
        <v>0</v>
      </c>
      <c r="P79" s="106"/>
      <c r="Q79" s="106"/>
      <c r="R79" s="106"/>
      <c r="S79" s="106"/>
      <c r="T79" s="106"/>
      <c r="U79" s="106"/>
      <c r="V79" s="106"/>
    </row>
    <row r="80" spans="1:23" s="69" customFormat="1" ht="15">
      <c r="A80" s="101" t="s">
        <v>138</v>
      </c>
      <c r="B80" s="101" t="s">
        <v>118</v>
      </c>
      <c r="C80" s="104">
        <v>0.55000000000000004</v>
      </c>
      <c r="D80" s="104">
        <v>0.55000000000000004</v>
      </c>
      <c r="E80" s="104">
        <v>0.55000000000000004</v>
      </c>
      <c r="F80" s="104">
        <v>0.55000000000000004</v>
      </c>
      <c r="G80" s="104">
        <v>0.55000000000000004</v>
      </c>
      <c r="H80" s="104">
        <v>0.55000000000000004</v>
      </c>
      <c r="I80" s="104">
        <v>0.55000000000000004</v>
      </c>
      <c r="J80" s="105">
        <v>0.105687390789696</v>
      </c>
      <c r="K80" s="101">
        <v>4</v>
      </c>
      <c r="L80" s="101" t="s">
        <v>322</v>
      </c>
      <c r="M80" s="101" t="s">
        <v>119</v>
      </c>
      <c r="N80" s="101" t="s">
        <v>40</v>
      </c>
      <c r="O80" s="185">
        <v>0</v>
      </c>
      <c r="P80" s="106"/>
      <c r="Q80" s="106"/>
      <c r="R80" s="106"/>
      <c r="S80" s="106"/>
      <c r="T80" s="106"/>
      <c r="U80" s="106"/>
      <c r="V80" s="106"/>
    </row>
    <row r="81" spans="1:23" s="69" customFormat="1" ht="15">
      <c r="A81" s="101" t="s">
        <v>138</v>
      </c>
      <c r="B81" s="101" t="s">
        <v>283</v>
      </c>
      <c r="C81" s="104">
        <v>0.47499999999999998</v>
      </c>
      <c r="D81" s="104">
        <v>0.47499999999999998</v>
      </c>
      <c r="E81" s="104">
        <v>0.47499999999999998</v>
      </c>
      <c r="F81" s="104">
        <v>0.47499999999999998</v>
      </c>
      <c r="G81" s="104">
        <v>0.47499999999999998</v>
      </c>
      <c r="H81" s="104">
        <v>0.47499999999999998</v>
      </c>
      <c r="I81" s="104">
        <v>0.47499999999999998</v>
      </c>
      <c r="J81" s="105">
        <v>0.1</v>
      </c>
      <c r="K81" s="101">
        <v>4</v>
      </c>
      <c r="L81" s="101" t="s">
        <v>322</v>
      </c>
      <c r="M81" s="101" t="s">
        <v>134</v>
      </c>
      <c r="N81" s="101" t="s">
        <v>40</v>
      </c>
      <c r="O81" s="185">
        <v>0</v>
      </c>
      <c r="P81" s="106"/>
      <c r="Q81" s="106"/>
      <c r="R81" s="106"/>
      <c r="S81" s="106"/>
      <c r="T81" s="106"/>
      <c r="U81" s="106"/>
      <c r="V81" s="106"/>
    </row>
    <row r="82" spans="1:23" s="69" customFormat="1" ht="15">
      <c r="A82" s="101" t="s">
        <v>138</v>
      </c>
      <c r="B82" s="101" t="s">
        <v>284</v>
      </c>
      <c r="C82" s="104">
        <v>1.306</v>
      </c>
      <c r="D82" s="104">
        <v>1.1890000000000001</v>
      </c>
      <c r="E82" s="104">
        <v>1.1659999999999999</v>
      </c>
      <c r="F82" s="104">
        <v>1.1659999999999999</v>
      </c>
      <c r="G82" s="104">
        <v>1.1659999999999999</v>
      </c>
      <c r="H82" s="104">
        <v>1.1659999999999999</v>
      </c>
      <c r="I82" s="104">
        <v>1.1659999999999999</v>
      </c>
      <c r="J82" s="105">
        <v>0.2</v>
      </c>
      <c r="K82" s="101">
        <v>4</v>
      </c>
      <c r="L82" s="101" t="s">
        <v>322</v>
      </c>
      <c r="M82" s="101" t="s">
        <v>316</v>
      </c>
      <c r="N82" s="101" t="s">
        <v>40</v>
      </c>
      <c r="O82" s="185">
        <v>0</v>
      </c>
      <c r="P82" s="185"/>
      <c r="Q82" s="106"/>
      <c r="R82" s="106"/>
      <c r="S82" s="106"/>
      <c r="T82" s="106"/>
      <c r="U82" s="106"/>
      <c r="V82" s="106"/>
    </row>
    <row r="83" spans="1:23" s="69" customFormat="1" ht="15">
      <c r="A83" s="101" t="s">
        <v>138</v>
      </c>
      <c r="B83" s="101" t="s">
        <v>424</v>
      </c>
      <c r="C83" s="104">
        <v>0</v>
      </c>
      <c r="D83" s="104">
        <v>0</v>
      </c>
      <c r="E83" s="104">
        <v>0</v>
      </c>
      <c r="F83" s="104">
        <v>0</v>
      </c>
      <c r="G83" s="104" t="s">
        <v>577</v>
      </c>
      <c r="H83" s="104" t="s">
        <v>577</v>
      </c>
      <c r="I83" s="104" t="s">
        <v>577</v>
      </c>
      <c r="J83" s="105">
        <v>0</v>
      </c>
      <c r="K83" s="101">
        <v>4</v>
      </c>
      <c r="L83" s="101" t="s">
        <v>322</v>
      </c>
      <c r="M83" s="101" t="s">
        <v>425</v>
      </c>
      <c r="N83" s="101" t="s">
        <v>40</v>
      </c>
      <c r="O83" s="185">
        <v>0</v>
      </c>
      <c r="P83" s="185"/>
      <c r="Q83" s="106"/>
      <c r="R83" s="106"/>
      <c r="S83" s="106"/>
      <c r="T83" s="106"/>
      <c r="U83" s="106"/>
      <c r="V83" s="106"/>
    </row>
    <row r="84" spans="1:23" s="69" customFormat="1" ht="15">
      <c r="A84" s="101" t="s">
        <v>426</v>
      </c>
      <c r="B84" s="101" t="s">
        <v>427</v>
      </c>
      <c r="C84" s="104">
        <v>0.35</v>
      </c>
      <c r="D84" s="104">
        <v>0.35</v>
      </c>
      <c r="E84" s="104">
        <v>0.35</v>
      </c>
      <c r="F84" s="104">
        <v>0.35</v>
      </c>
      <c r="G84" s="104">
        <v>0.35</v>
      </c>
      <c r="H84" s="104">
        <v>0.35</v>
      </c>
      <c r="I84" s="104">
        <v>0.35</v>
      </c>
      <c r="J84" s="105">
        <v>0.1</v>
      </c>
      <c r="K84" s="101">
        <v>4</v>
      </c>
      <c r="L84" s="101" t="s">
        <v>322</v>
      </c>
      <c r="M84" s="101" t="s">
        <v>316</v>
      </c>
      <c r="N84" s="101" t="s">
        <v>40</v>
      </c>
      <c r="O84" s="185">
        <v>0</v>
      </c>
      <c r="P84" s="185"/>
      <c r="Q84" s="106"/>
      <c r="R84" s="106"/>
      <c r="S84" s="106"/>
      <c r="T84" s="106"/>
      <c r="U84" s="106"/>
      <c r="V84" s="106"/>
    </row>
    <row r="85" spans="1:23" s="69" customFormat="1" ht="15">
      <c r="A85" s="101" t="s">
        <v>285</v>
      </c>
      <c r="B85" s="101" t="s">
        <v>122</v>
      </c>
      <c r="C85" s="104">
        <v>27.54</v>
      </c>
      <c r="D85" s="104">
        <v>27.905000000000001</v>
      </c>
      <c r="E85" s="104">
        <v>25.469000000000001</v>
      </c>
      <c r="F85" s="104">
        <v>25.466999999999999</v>
      </c>
      <c r="G85" s="104">
        <v>24.062000000000001</v>
      </c>
      <c r="H85" s="104">
        <v>24.062000000000001</v>
      </c>
      <c r="I85" s="104">
        <v>24.062000000000001</v>
      </c>
      <c r="J85" s="105">
        <v>11.4</v>
      </c>
      <c r="K85" s="101">
        <v>2</v>
      </c>
      <c r="L85" s="101" t="s">
        <v>123</v>
      </c>
      <c r="M85" s="101" t="s">
        <v>124</v>
      </c>
      <c r="N85" s="101" t="s">
        <v>40</v>
      </c>
      <c r="O85" s="185">
        <v>0</v>
      </c>
      <c r="P85" s="106"/>
      <c r="Q85" s="106"/>
      <c r="R85" s="106"/>
      <c r="S85" s="106"/>
      <c r="T85" s="106"/>
      <c r="U85" s="106"/>
      <c r="V85" s="106"/>
    </row>
    <row r="86" spans="1:23" s="69" customFormat="1" ht="15">
      <c r="A86" s="101" t="s">
        <v>287</v>
      </c>
      <c r="B86" s="101" t="s">
        <v>286</v>
      </c>
      <c r="C86" s="104">
        <v>7.8959999999999999</v>
      </c>
      <c r="D86" s="104">
        <v>5.93</v>
      </c>
      <c r="E86" s="104">
        <v>5.4459999999999997</v>
      </c>
      <c r="F86" s="104">
        <v>5.4459999999999997</v>
      </c>
      <c r="G86" s="104">
        <v>5.4459999999999997</v>
      </c>
      <c r="H86" s="104">
        <v>5.4459999999999997</v>
      </c>
      <c r="I86" s="104">
        <v>5.4459999999999997</v>
      </c>
      <c r="J86" s="105">
        <v>17.5</v>
      </c>
      <c r="K86" s="101">
        <v>1</v>
      </c>
      <c r="L86" s="101" t="s">
        <v>110</v>
      </c>
      <c r="M86" s="101" t="s">
        <v>125</v>
      </c>
      <c r="N86" s="101" t="s">
        <v>40</v>
      </c>
      <c r="O86" s="185">
        <v>0</v>
      </c>
      <c r="P86" s="106"/>
      <c r="Q86" s="106"/>
      <c r="R86" s="106"/>
      <c r="S86" s="106"/>
      <c r="T86" s="106"/>
      <c r="U86" s="106"/>
      <c r="V86" s="106"/>
    </row>
    <row r="87" spans="1:23" s="69" customFormat="1" ht="15">
      <c r="A87" s="101" t="s">
        <v>578</v>
      </c>
      <c r="B87" s="101" t="s">
        <v>122</v>
      </c>
      <c r="C87" s="104">
        <v>3.4489999999999998</v>
      </c>
      <c r="D87" s="104">
        <v>3.0249999999999999</v>
      </c>
      <c r="E87" s="104">
        <v>2.3450000000000002</v>
      </c>
      <c r="F87" s="104">
        <v>2.3580000000000001</v>
      </c>
      <c r="G87" s="104">
        <v>2.3719999999999999</v>
      </c>
      <c r="H87" s="104">
        <v>2.3740000000000001</v>
      </c>
      <c r="I87" s="104">
        <v>2.3740000000000001</v>
      </c>
      <c r="J87" s="105">
        <v>4.0999999999999996</v>
      </c>
      <c r="K87" s="101">
        <v>2</v>
      </c>
      <c r="L87" s="101" t="s">
        <v>123</v>
      </c>
      <c r="M87" s="101" t="s">
        <v>124</v>
      </c>
      <c r="N87" s="101" t="s">
        <v>40</v>
      </c>
      <c r="O87" s="185">
        <v>0</v>
      </c>
      <c r="P87" s="106"/>
      <c r="Q87" s="106"/>
      <c r="R87" s="106"/>
      <c r="S87" s="106"/>
      <c r="T87" s="106"/>
      <c r="U87" s="106"/>
      <c r="V87" s="106"/>
    </row>
    <row r="88" spans="1:23" s="69" customFormat="1" ht="15">
      <c r="A88" s="101" t="s">
        <v>291</v>
      </c>
      <c r="B88" s="101" t="s">
        <v>290</v>
      </c>
      <c r="C88" s="104">
        <v>0.45</v>
      </c>
      <c r="D88" s="104">
        <v>0.45</v>
      </c>
      <c r="E88" s="104">
        <v>0.45</v>
      </c>
      <c r="F88" s="104">
        <v>0.45</v>
      </c>
      <c r="G88" s="104">
        <v>0.45</v>
      </c>
      <c r="H88" s="104">
        <v>0.45</v>
      </c>
      <c r="I88" s="104">
        <v>0.45</v>
      </c>
      <c r="J88" s="105">
        <v>0.8</v>
      </c>
      <c r="K88" s="101">
        <v>4</v>
      </c>
      <c r="L88" s="101" t="s">
        <v>322</v>
      </c>
      <c r="M88" s="101" t="s">
        <v>367</v>
      </c>
      <c r="N88" s="101" t="s">
        <v>40</v>
      </c>
      <c r="O88" s="185">
        <v>0</v>
      </c>
      <c r="P88" s="106"/>
      <c r="Q88" s="106"/>
      <c r="R88" s="106"/>
      <c r="S88" s="106"/>
      <c r="T88" s="106"/>
      <c r="U88" s="106"/>
      <c r="V88" s="106"/>
    </row>
    <row r="89" spans="1:23" s="69" customFormat="1" ht="15">
      <c r="A89" s="101" t="s">
        <v>292</v>
      </c>
      <c r="B89" s="101" t="s">
        <v>366</v>
      </c>
      <c r="C89" s="104">
        <v>1.4019999999999999</v>
      </c>
      <c r="D89" s="104">
        <v>1.9079999999999999</v>
      </c>
      <c r="E89" s="104">
        <v>1.379</v>
      </c>
      <c r="F89" s="104">
        <v>1.63</v>
      </c>
      <c r="G89" s="104">
        <v>1.629</v>
      </c>
      <c r="H89" s="104">
        <v>1.659</v>
      </c>
      <c r="I89" s="104">
        <v>1.659</v>
      </c>
      <c r="J89" s="105">
        <v>2.4</v>
      </c>
      <c r="K89" s="101">
        <v>4</v>
      </c>
      <c r="L89" s="101" t="s">
        <v>322</v>
      </c>
      <c r="M89" s="101" t="s">
        <v>129</v>
      </c>
      <c r="N89" s="101" t="s">
        <v>40</v>
      </c>
      <c r="O89" s="185">
        <v>0</v>
      </c>
      <c r="P89" s="106"/>
      <c r="Q89" s="106"/>
      <c r="R89" s="106"/>
      <c r="S89" s="106"/>
      <c r="T89" s="106"/>
      <c r="U89" s="106"/>
      <c r="V89" s="106"/>
    </row>
    <row r="90" spans="1:23" s="69" customFormat="1" ht="15">
      <c r="A90" s="101" t="s">
        <v>293</v>
      </c>
      <c r="B90" s="101" t="s">
        <v>132</v>
      </c>
      <c r="C90" s="104">
        <v>3.8780000000000001</v>
      </c>
      <c r="D90" s="104">
        <v>3.87</v>
      </c>
      <c r="E90" s="104">
        <v>3.8690000000000002</v>
      </c>
      <c r="F90" s="104">
        <v>3.8690000000000002</v>
      </c>
      <c r="G90" s="104">
        <v>3.8690000000000002</v>
      </c>
      <c r="H90" s="104">
        <v>3.8690000000000002</v>
      </c>
      <c r="I90" s="104">
        <v>3.8690000000000002</v>
      </c>
      <c r="J90" s="105">
        <v>23.4</v>
      </c>
      <c r="K90" s="101">
        <v>4</v>
      </c>
      <c r="L90" s="101" t="s">
        <v>322</v>
      </c>
      <c r="M90" s="101" t="s">
        <v>133</v>
      </c>
      <c r="N90" s="101" t="s">
        <v>40</v>
      </c>
      <c r="O90" s="185">
        <v>0</v>
      </c>
      <c r="P90" s="106"/>
      <c r="Q90" s="106"/>
      <c r="R90" s="106"/>
      <c r="S90" s="106"/>
      <c r="T90" s="106"/>
      <c r="U90" s="106"/>
      <c r="V90" s="106"/>
    </row>
    <row r="91" spans="1:23" s="69" customFormat="1" ht="15">
      <c r="A91" s="101" t="s">
        <v>294</v>
      </c>
      <c r="B91" s="101" t="s">
        <v>135</v>
      </c>
      <c r="C91" s="104">
        <v>1.121</v>
      </c>
      <c r="D91" s="104">
        <v>0.39</v>
      </c>
      <c r="E91" s="104">
        <v>0.41399999999999998</v>
      </c>
      <c r="F91" s="104">
        <v>0.29099999999999998</v>
      </c>
      <c r="G91" s="104">
        <v>0.45600000000000002</v>
      </c>
      <c r="H91" s="104">
        <v>0.45600000000000002</v>
      </c>
      <c r="I91" s="104">
        <v>0.45600000000000002</v>
      </c>
      <c r="J91" s="105">
        <v>1.5</v>
      </c>
      <c r="K91" s="101">
        <v>2</v>
      </c>
      <c r="L91" s="101" t="s">
        <v>123</v>
      </c>
      <c r="M91" s="101" t="s">
        <v>30</v>
      </c>
      <c r="N91" s="101" t="s">
        <v>40</v>
      </c>
      <c r="O91" s="185">
        <v>0</v>
      </c>
      <c r="P91" s="106"/>
      <c r="Q91" s="106"/>
      <c r="R91" s="106"/>
      <c r="S91" s="106"/>
      <c r="T91" s="106"/>
      <c r="U91" s="106"/>
      <c r="V91" s="106"/>
    </row>
    <row r="92" spans="1:23" s="69" customFormat="1" ht="15">
      <c r="A92" s="101" t="s">
        <v>289</v>
      </c>
      <c r="B92" s="101" t="s">
        <v>288</v>
      </c>
      <c r="C92" s="104">
        <v>1.28</v>
      </c>
      <c r="D92" s="104">
        <v>1.3280000000000001</v>
      </c>
      <c r="E92" s="104">
        <v>1.04</v>
      </c>
      <c r="F92" s="104">
        <v>1</v>
      </c>
      <c r="G92" s="104">
        <v>1</v>
      </c>
      <c r="H92" s="104">
        <v>0.502</v>
      </c>
      <c r="I92" s="104">
        <v>0.502</v>
      </c>
      <c r="J92" s="105">
        <v>1.8</v>
      </c>
      <c r="K92" s="101">
        <v>4</v>
      </c>
      <c r="L92" s="101" t="s">
        <v>322</v>
      </c>
      <c r="M92" s="101" t="s">
        <v>20</v>
      </c>
      <c r="N92" s="101" t="s">
        <v>40</v>
      </c>
      <c r="O92" s="185">
        <v>0</v>
      </c>
      <c r="P92" s="106"/>
      <c r="Q92" s="106"/>
      <c r="R92" s="106"/>
      <c r="S92" s="106"/>
      <c r="T92" s="106"/>
      <c r="U92" s="106"/>
      <c r="V92" s="106"/>
    </row>
    <row r="93" spans="1:23" s="69" customFormat="1" ht="15">
      <c r="A93" s="128" t="s">
        <v>364</v>
      </c>
      <c r="B93" s="101" t="s">
        <v>365</v>
      </c>
      <c r="C93" s="104">
        <v>0.5</v>
      </c>
      <c r="D93" s="104">
        <v>0.5</v>
      </c>
      <c r="E93" s="104">
        <v>0.6</v>
      </c>
      <c r="F93" s="104">
        <v>0.6</v>
      </c>
      <c r="G93" s="104">
        <v>0.6</v>
      </c>
      <c r="H93" s="104">
        <v>0.6</v>
      </c>
      <c r="I93" s="104">
        <v>0.6</v>
      </c>
      <c r="J93" s="105">
        <v>1.3</v>
      </c>
      <c r="K93" s="101">
        <v>2</v>
      </c>
      <c r="L93" s="101" t="s">
        <v>123</v>
      </c>
      <c r="M93" s="101" t="s">
        <v>27</v>
      </c>
      <c r="N93" s="101" t="s">
        <v>40</v>
      </c>
      <c r="O93" s="185">
        <v>0</v>
      </c>
      <c r="P93" s="106"/>
      <c r="Q93" s="106"/>
      <c r="R93" s="106"/>
      <c r="S93" s="106"/>
      <c r="T93" s="106"/>
      <c r="U93" s="106"/>
      <c r="V93" s="106"/>
    </row>
    <row r="94" spans="1:23" s="69" customFormat="1" ht="15">
      <c r="A94" s="101" t="s">
        <v>579</v>
      </c>
      <c r="B94" s="101" t="s">
        <v>126</v>
      </c>
      <c r="C94" s="104">
        <v>3.4000000000000002E-2</v>
      </c>
      <c r="D94" s="104">
        <v>0.05</v>
      </c>
      <c r="E94" s="104">
        <v>3.7999999999999999E-2</v>
      </c>
      <c r="F94" s="104">
        <v>3.7999999999999999E-2</v>
      </c>
      <c r="G94" s="104">
        <v>3.7999999999999999E-2</v>
      </c>
      <c r="H94" s="104">
        <v>3.7999999999999999E-2</v>
      </c>
      <c r="I94" s="104">
        <v>3.7999999999999999E-2</v>
      </c>
      <c r="J94" s="105">
        <v>0.1</v>
      </c>
      <c r="K94" s="101">
        <v>4</v>
      </c>
      <c r="L94" s="101" t="s">
        <v>322</v>
      </c>
      <c r="M94" s="101" t="s">
        <v>127</v>
      </c>
      <c r="N94" s="101" t="s">
        <v>41</v>
      </c>
      <c r="O94" s="185">
        <v>0</v>
      </c>
      <c r="P94" s="106"/>
      <c r="Q94" s="106"/>
      <c r="R94" s="106"/>
      <c r="S94" s="106"/>
      <c r="T94" s="106"/>
      <c r="U94" s="106"/>
      <c r="V94" s="106"/>
      <c r="W94" s="106"/>
    </row>
    <row r="95" spans="1:23" s="69" customFormat="1" ht="15">
      <c r="A95" s="119" t="s">
        <v>292</v>
      </c>
      <c r="B95" s="101" t="s">
        <v>361</v>
      </c>
      <c r="C95" s="104">
        <v>0.3</v>
      </c>
      <c r="D95" s="104">
        <v>0.3</v>
      </c>
      <c r="E95" s="104">
        <v>0.3</v>
      </c>
      <c r="F95" s="104">
        <v>0.3</v>
      </c>
      <c r="G95" s="104">
        <v>0.3</v>
      </c>
      <c r="H95" s="104">
        <v>0.3</v>
      </c>
      <c r="I95" s="104">
        <v>0.3</v>
      </c>
      <c r="J95" s="105">
        <v>0.5</v>
      </c>
      <c r="K95" s="101">
        <v>4</v>
      </c>
      <c r="L95" s="101" t="s">
        <v>322</v>
      </c>
      <c r="M95" s="101" t="s">
        <v>580</v>
      </c>
      <c r="N95" s="101" t="s">
        <v>41</v>
      </c>
      <c r="O95" s="185">
        <v>0</v>
      </c>
      <c r="P95" s="106"/>
      <c r="Q95" s="106"/>
      <c r="R95" s="106"/>
      <c r="S95" s="106"/>
      <c r="T95" s="106"/>
      <c r="U95" s="106"/>
      <c r="V95" s="106"/>
    </row>
    <row r="96" spans="1:23" s="69" customFormat="1" ht="15">
      <c r="A96" s="128" t="s">
        <v>363</v>
      </c>
      <c r="B96" s="101" t="s">
        <v>362</v>
      </c>
      <c r="C96" s="104">
        <v>0</v>
      </c>
      <c r="D96" s="104">
        <v>0</v>
      </c>
      <c r="E96" s="104">
        <v>0</v>
      </c>
      <c r="F96" s="104">
        <v>0</v>
      </c>
      <c r="G96" s="104">
        <v>0</v>
      </c>
      <c r="H96" s="104">
        <v>0</v>
      </c>
      <c r="I96" s="104">
        <v>0</v>
      </c>
      <c r="J96" s="105">
        <v>0</v>
      </c>
      <c r="K96" s="101">
        <v>4</v>
      </c>
      <c r="L96" s="101" t="s">
        <v>322</v>
      </c>
      <c r="M96" s="101" t="s">
        <v>69</v>
      </c>
      <c r="N96" s="101" t="s">
        <v>41</v>
      </c>
      <c r="O96" s="185">
        <v>0</v>
      </c>
      <c r="P96" s="106"/>
      <c r="Q96" s="106"/>
      <c r="R96" s="106"/>
      <c r="S96" s="106"/>
      <c r="T96" s="106"/>
      <c r="U96" s="106"/>
      <c r="V96" s="106"/>
    </row>
    <row r="97" spans="1:22" s="69" customFormat="1" ht="15">
      <c r="A97" s="101" t="s">
        <v>138</v>
      </c>
      <c r="B97" s="101" t="s">
        <v>139</v>
      </c>
      <c r="C97" s="104">
        <v>0.40799999999999997</v>
      </c>
      <c r="D97" s="104">
        <v>0.22500000000000001</v>
      </c>
      <c r="E97" s="104">
        <v>0.22500000000000001</v>
      </c>
      <c r="F97" s="104">
        <v>0.22500000000000001</v>
      </c>
      <c r="G97" s="104">
        <v>0.22500000000000001</v>
      </c>
      <c r="H97" s="104">
        <v>0.22500000000000001</v>
      </c>
      <c r="I97" s="104">
        <v>0.22500000000000001</v>
      </c>
      <c r="J97" s="105">
        <v>0</v>
      </c>
      <c r="K97" s="101">
        <v>4</v>
      </c>
      <c r="L97" s="101" t="s">
        <v>322</v>
      </c>
      <c r="M97" s="101" t="s">
        <v>7</v>
      </c>
      <c r="N97" s="101" t="s">
        <v>41</v>
      </c>
      <c r="O97" s="185">
        <v>0</v>
      </c>
      <c r="P97" s="106"/>
      <c r="Q97" s="106"/>
      <c r="R97" s="106"/>
      <c r="S97" s="106"/>
      <c r="T97" s="106"/>
      <c r="U97" s="106"/>
      <c r="V97" s="106"/>
    </row>
    <row r="98" spans="1:22" s="69" customFormat="1" ht="15">
      <c r="A98" s="101" t="s">
        <v>138</v>
      </c>
      <c r="B98" s="101" t="s">
        <v>295</v>
      </c>
      <c r="C98" s="104">
        <v>0.1</v>
      </c>
      <c r="D98" s="104">
        <v>0.23</v>
      </c>
      <c r="E98" s="104">
        <v>0.35</v>
      </c>
      <c r="F98" s="104">
        <v>0.35</v>
      </c>
      <c r="G98" s="104">
        <v>0.35</v>
      </c>
      <c r="H98" s="104">
        <v>0.35</v>
      </c>
      <c r="I98" s="104">
        <v>0.35</v>
      </c>
      <c r="J98" s="105">
        <v>7.0458260526464089E-2</v>
      </c>
      <c r="K98" s="101">
        <v>4</v>
      </c>
      <c r="L98" s="101" t="s">
        <v>322</v>
      </c>
      <c r="M98" s="101" t="s">
        <v>131</v>
      </c>
      <c r="N98" s="101" t="s">
        <v>41</v>
      </c>
      <c r="O98" s="185">
        <v>0</v>
      </c>
      <c r="P98" s="106"/>
      <c r="Q98" s="106"/>
      <c r="R98" s="106"/>
      <c r="S98" s="106"/>
      <c r="T98" s="106"/>
      <c r="U98" s="106"/>
      <c r="V98" s="106"/>
    </row>
    <row r="99" spans="1:22" s="69" customFormat="1" ht="15">
      <c r="A99" s="101" t="s">
        <v>138</v>
      </c>
      <c r="B99" s="101" t="s">
        <v>581</v>
      </c>
      <c r="C99" s="104">
        <v>1.9990000000000001</v>
      </c>
      <c r="D99" s="104">
        <v>2.5880000000000001</v>
      </c>
      <c r="E99" s="104">
        <v>3.1179999999999999</v>
      </c>
      <c r="F99" s="104">
        <v>3.1179999999999999</v>
      </c>
      <c r="G99" s="104">
        <v>3.1880000000000002</v>
      </c>
      <c r="H99" s="104">
        <v>3.1880000000000002</v>
      </c>
      <c r="I99" s="104">
        <v>3.1880000000000002</v>
      </c>
      <c r="J99" s="105">
        <v>0.5</v>
      </c>
      <c r="K99" s="101">
        <v>4</v>
      </c>
      <c r="L99" s="101" t="s">
        <v>322</v>
      </c>
      <c r="M99" s="101" t="s">
        <v>7</v>
      </c>
      <c r="N99" s="101" t="s">
        <v>41</v>
      </c>
      <c r="O99" s="185">
        <v>100</v>
      </c>
      <c r="P99" s="57">
        <f t="shared" ref="P99:V100" si="14">+$O99/100*C99</f>
        <v>1.9990000000000001</v>
      </c>
      <c r="Q99" s="57">
        <f t="shared" si="14"/>
        <v>2.5880000000000001</v>
      </c>
      <c r="R99" s="57">
        <f t="shared" si="14"/>
        <v>3.1179999999999999</v>
      </c>
      <c r="S99" s="57">
        <f t="shared" si="14"/>
        <v>3.1179999999999999</v>
      </c>
      <c r="T99" s="57">
        <f t="shared" si="14"/>
        <v>3.1880000000000002</v>
      </c>
      <c r="U99" s="57">
        <f t="shared" si="14"/>
        <v>3.1880000000000002</v>
      </c>
      <c r="V99" s="57">
        <f t="shared" si="14"/>
        <v>3.1880000000000002</v>
      </c>
    </row>
    <row r="100" spans="1:22" s="69" customFormat="1" ht="15">
      <c r="A100" s="101" t="s">
        <v>296</v>
      </c>
      <c r="B100" s="101" t="s">
        <v>582</v>
      </c>
      <c r="C100" s="104">
        <v>2.9319999999999999</v>
      </c>
      <c r="D100" s="104">
        <v>2.851</v>
      </c>
      <c r="E100" s="104">
        <v>2.91</v>
      </c>
      <c r="F100" s="104">
        <v>2.91</v>
      </c>
      <c r="G100" s="104">
        <v>2.91</v>
      </c>
      <c r="H100" s="104">
        <v>2.91</v>
      </c>
      <c r="I100" s="104">
        <v>2.91</v>
      </c>
      <c r="J100" s="105">
        <v>1.2</v>
      </c>
      <c r="K100" s="101">
        <v>4</v>
      </c>
      <c r="L100" s="101" t="s">
        <v>322</v>
      </c>
      <c r="M100" s="101" t="s">
        <v>7</v>
      </c>
      <c r="N100" s="101" t="s">
        <v>41</v>
      </c>
      <c r="O100" s="185">
        <v>100</v>
      </c>
      <c r="P100" s="57">
        <f t="shared" si="14"/>
        <v>2.9319999999999999</v>
      </c>
      <c r="Q100" s="57">
        <f t="shared" si="14"/>
        <v>2.851</v>
      </c>
      <c r="R100" s="57">
        <f t="shared" si="14"/>
        <v>2.91</v>
      </c>
      <c r="S100" s="57">
        <f t="shared" si="14"/>
        <v>2.91</v>
      </c>
      <c r="T100" s="57">
        <f t="shared" si="14"/>
        <v>2.91</v>
      </c>
      <c r="U100" s="57">
        <f t="shared" si="14"/>
        <v>2.91</v>
      </c>
      <c r="V100" s="57">
        <f t="shared" si="14"/>
        <v>2.91</v>
      </c>
    </row>
    <row r="101" spans="1:22" s="69" customFormat="1" ht="15">
      <c r="A101" s="101" t="s">
        <v>583</v>
      </c>
      <c r="B101" s="101" t="s">
        <v>140</v>
      </c>
      <c r="C101" s="104">
        <v>2.4</v>
      </c>
      <c r="D101" s="104">
        <v>3.5579999999999998</v>
      </c>
      <c r="E101" s="104">
        <v>3.5579999999999998</v>
      </c>
      <c r="F101" s="104">
        <v>3.5579999999999998</v>
      </c>
      <c r="G101" s="104">
        <v>3.5579999999999998</v>
      </c>
      <c r="H101" s="104">
        <v>3.5579999999999998</v>
      </c>
      <c r="I101" s="104">
        <v>3.5579999999999998</v>
      </c>
      <c r="J101" s="105">
        <v>7.8</v>
      </c>
      <c r="K101" s="101">
        <v>4</v>
      </c>
      <c r="L101" s="101" t="s">
        <v>322</v>
      </c>
      <c r="M101" s="101" t="s">
        <v>141</v>
      </c>
      <c r="N101" s="101" t="s">
        <v>41</v>
      </c>
      <c r="O101" s="185">
        <v>0</v>
      </c>
      <c r="P101" s="106"/>
      <c r="Q101" s="106"/>
      <c r="R101" s="106"/>
      <c r="S101" s="106"/>
      <c r="T101" s="106"/>
      <c r="U101" s="106"/>
      <c r="V101" s="106"/>
    </row>
    <row r="102" spans="1:22" s="69" customFormat="1" ht="15">
      <c r="A102" s="101" t="s">
        <v>584</v>
      </c>
      <c r="B102" s="101" t="s">
        <v>586</v>
      </c>
      <c r="C102" s="104">
        <v>1.31</v>
      </c>
      <c r="D102" s="104">
        <v>2.7210000000000001</v>
      </c>
      <c r="E102" s="104">
        <v>1.839</v>
      </c>
      <c r="F102" s="104">
        <v>1.839</v>
      </c>
      <c r="G102" s="104">
        <v>1.5549999999999999</v>
      </c>
      <c r="H102" s="104">
        <v>1.155</v>
      </c>
      <c r="I102" s="104">
        <v>1.155</v>
      </c>
      <c r="J102" s="105">
        <v>0.5</v>
      </c>
      <c r="K102" s="101">
        <v>4</v>
      </c>
      <c r="L102" s="101" t="s">
        <v>322</v>
      </c>
      <c r="M102" s="101" t="s">
        <v>141</v>
      </c>
      <c r="N102" s="101" t="s">
        <v>41</v>
      </c>
      <c r="O102" s="185">
        <v>0</v>
      </c>
      <c r="P102" s="106"/>
      <c r="Q102" s="106"/>
      <c r="R102" s="106"/>
      <c r="S102" s="106"/>
      <c r="T102" s="106"/>
      <c r="U102" s="106"/>
      <c r="V102" s="106"/>
    </row>
    <row r="103" spans="1:22" s="69" customFormat="1" ht="15">
      <c r="A103" s="101" t="s">
        <v>297</v>
      </c>
      <c r="B103" s="101" t="s">
        <v>585</v>
      </c>
      <c r="C103" s="104">
        <v>12.151999999999999</v>
      </c>
      <c r="D103" s="104">
        <v>13.856999999999999</v>
      </c>
      <c r="E103" s="104">
        <v>6.4390000000000001</v>
      </c>
      <c r="F103" s="104">
        <v>4.2489999999999997</v>
      </c>
      <c r="G103" s="104">
        <v>3.306</v>
      </c>
      <c r="H103" s="104">
        <v>2.29</v>
      </c>
      <c r="I103" s="104">
        <v>1.6020000000000001</v>
      </c>
      <c r="J103" s="105">
        <v>1.6</v>
      </c>
      <c r="K103" s="101">
        <v>4</v>
      </c>
      <c r="L103" s="101" t="s">
        <v>322</v>
      </c>
      <c r="M103" s="101" t="s">
        <v>352</v>
      </c>
      <c r="N103" s="101" t="s">
        <v>41</v>
      </c>
      <c r="O103" s="185">
        <v>0</v>
      </c>
      <c r="P103" s="106"/>
      <c r="Q103" s="106"/>
      <c r="R103" s="106"/>
      <c r="S103" s="106"/>
      <c r="T103" s="106"/>
      <c r="U103" s="106"/>
      <c r="V103" s="106"/>
    </row>
    <row r="104" spans="1:22">
      <c r="A104" s="6" t="s">
        <v>369</v>
      </c>
      <c r="B104" s="6" t="s">
        <v>587</v>
      </c>
      <c r="C104" s="57">
        <v>2.0699999999999998</v>
      </c>
      <c r="D104" s="6">
        <v>2.512</v>
      </c>
      <c r="E104" s="6">
        <v>2.2949999999999999</v>
      </c>
      <c r="F104" s="57">
        <v>2.9049999999999998</v>
      </c>
      <c r="G104" s="57">
        <v>2.5329999999999999</v>
      </c>
      <c r="H104" s="57">
        <v>0.498</v>
      </c>
      <c r="I104" s="6">
        <v>2.2109999999999999</v>
      </c>
      <c r="J104" s="105">
        <v>0.6</v>
      </c>
      <c r="K104" s="6">
        <v>4</v>
      </c>
      <c r="L104" s="101" t="s">
        <v>322</v>
      </c>
      <c r="M104" s="101" t="s">
        <v>352</v>
      </c>
      <c r="N104" s="101" t="s">
        <v>41</v>
      </c>
      <c r="O104" s="59">
        <v>0</v>
      </c>
    </row>
    <row r="105" spans="1:22">
      <c r="A105" s="6" t="s">
        <v>370</v>
      </c>
      <c r="B105" s="6" t="s">
        <v>588</v>
      </c>
      <c r="C105" s="57">
        <v>0.85699999999999998</v>
      </c>
      <c r="D105" s="6">
        <v>3.9420000000000002</v>
      </c>
      <c r="E105" s="6">
        <v>4.3490000000000002</v>
      </c>
      <c r="F105" s="6">
        <v>2.4849999999999999</v>
      </c>
      <c r="G105" s="57">
        <v>0.28999999999999998</v>
      </c>
      <c r="H105" s="57">
        <v>0</v>
      </c>
      <c r="I105" s="57">
        <v>0</v>
      </c>
      <c r="J105" s="105">
        <v>1.1000000000000001</v>
      </c>
      <c r="K105" s="6">
        <v>4</v>
      </c>
      <c r="L105" s="101" t="s">
        <v>322</v>
      </c>
      <c r="M105" s="101" t="s">
        <v>352</v>
      </c>
      <c r="N105" s="101" t="s">
        <v>41</v>
      </c>
      <c r="O105" s="59">
        <v>0</v>
      </c>
    </row>
    <row r="106" spans="1:22" s="69" customFormat="1" ht="15">
      <c r="B106" s="69" t="s">
        <v>416</v>
      </c>
      <c r="C106" s="107">
        <f t="shared" ref="C106:I106" si="15">SUM(C75:C105)</f>
        <v>76.146000000000001</v>
      </c>
      <c r="D106" s="107">
        <f t="shared" si="15"/>
        <v>82.03</v>
      </c>
      <c r="E106" s="107">
        <f t="shared" si="15"/>
        <v>69.887</v>
      </c>
      <c r="F106" s="107">
        <f t="shared" si="15"/>
        <v>66.542000000000002</v>
      </c>
      <c r="G106" s="107">
        <f t="shared" si="15"/>
        <v>61.558</v>
      </c>
      <c r="H106" s="107">
        <f t="shared" si="15"/>
        <v>57.384000000000007</v>
      </c>
      <c r="I106" s="107">
        <f t="shared" si="15"/>
        <v>58.409000000000006</v>
      </c>
      <c r="L106" s="21"/>
      <c r="O106" s="108"/>
      <c r="P106" s="106">
        <f t="shared" ref="P106:V106" si="16">+SUM(P75:P105)</f>
        <v>4.931</v>
      </c>
      <c r="Q106" s="106">
        <f t="shared" si="16"/>
        <v>5.4390000000000001</v>
      </c>
      <c r="R106" s="106">
        <f t="shared" si="16"/>
        <v>6.0280000000000005</v>
      </c>
      <c r="S106" s="106">
        <f t="shared" si="16"/>
        <v>6.0280000000000005</v>
      </c>
      <c r="T106" s="106">
        <f t="shared" si="16"/>
        <v>6.0980000000000008</v>
      </c>
      <c r="U106" s="106">
        <f t="shared" si="16"/>
        <v>6.0980000000000008</v>
      </c>
      <c r="V106" s="106">
        <f t="shared" si="16"/>
        <v>6.0980000000000008</v>
      </c>
    </row>
    <row r="107" spans="1:22" s="21" customFormat="1">
      <c r="C107" s="89"/>
      <c r="D107" s="89"/>
      <c r="E107" s="89"/>
      <c r="F107" s="89"/>
      <c r="G107" s="89"/>
      <c r="H107" s="89"/>
      <c r="I107" s="89"/>
      <c r="O107" s="181"/>
      <c r="P107" s="121"/>
      <c r="Q107" s="121"/>
      <c r="R107" s="121"/>
      <c r="S107" s="121"/>
      <c r="T107" s="121"/>
      <c r="U107" s="121"/>
      <c r="V107" s="121"/>
    </row>
    <row r="108" spans="1:22" s="14" customFormat="1" ht="15">
      <c r="B108" s="13" t="s">
        <v>540</v>
      </c>
      <c r="L108" s="15"/>
      <c r="P108" s="232"/>
      <c r="Q108" s="232"/>
      <c r="R108" s="232"/>
      <c r="S108" s="232"/>
      <c r="T108" s="232"/>
      <c r="U108" s="232"/>
      <c r="V108" s="232"/>
    </row>
    <row r="109" spans="1:22" s="69" customFormat="1" ht="15">
      <c r="A109" s="69" t="s">
        <v>335</v>
      </c>
      <c r="B109" s="69" t="s">
        <v>2</v>
      </c>
      <c r="C109" s="187"/>
      <c r="D109" s="187"/>
      <c r="E109" s="187"/>
      <c r="F109" s="187"/>
      <c r="G109" s="187"/>
      <c r="H109" s="187"/>
      <c r="I109" s="187"/>
      <c r="L109" s="21"/>
      <c r="O109" s="108"/>
      <c r="P109" s="121">
        <f t="shared" ref="P109:V109" si="17">+SUM(P110:P115)</f>
        <v>2.4039999999999999</v>
      </c>
      <c r="Q109" s="121">
        <f t="shared" si="17"/>
        <v>2.335</v>
      </c>
      <c r="R109" s="121">
        <f t="shared" si="17"/>
        <v>3.7909999999999999</v>
      </c>
      <c r="S109" s="121">
        <f t="shared" si="17"/>
        <v>4.0339999999999998</v>
      </c>
      <c r="T109" s="121">
        <f t="shared" si="17"/>
        <v>5.8540000000000001</v>
      </c>
      <c r="U109" s="121">
        <f t="shared" si="17"/>
        <v>5.7319999999999993</v>
      </c>
      <c r="V109" s="121">
        <f t="shared" si="17"/>
        <v>5.7319999999999993</v>
      </c>
    </row>
    <row r="110" spans="1:22">
      <c r="A110" s="102" t="s">
        <v>358</v>
      </c>
      <c r="B110" s="6" t="s">
        <v>3</v>
      </c>
      <c r="C110" s="57">
        <v>1.2430000000000001</v>
      </c>
      <c r="D110" s="57">
        <v>1.605</v>
      </c>
      <c r="E110" s="57">
        <v>2.2029999999999998</v>
      </c>
      <c r="F110" s="57">
        <v>1.5029999999999999</v>
      </c>
      <c r="G110" s="57">
        <v>1.49</v>
      </c>
      <c r="H110" s="57">
        <v>1.49</v>
      </c>
      <c r="I110" s="57">
        <v>1.49</v>
      </c>
      <c r="J110" s="9">
        <v>100</v>
      </c>
      <c r="K110" s="9">
        <v>6</v>
      </c>
      <c r="L110" s="9" t="s">
        <v>174</v>
      </c>
      <c r="M110" s="9" t="s">
        <v>4</v>
      </c>
      <c r="N110" s="9" t="s">
        <v>41</v>
      </c>
      <c r="O110" s="59">
        <v>0</v>
      </c>
    </row>
    <row r="111" spans="1:22" ht="15" customHeight="1">
      <c r="A111" s="102" t="s">
        <v>358</v>
      </c>
      <c r="B111" s="6" t="s">
        <v>428</v>
      </c>
      <c r="C111" s="57">
        <v>0.83099999999999996</v>
      </c>
      <c r="D111" s="57">
        <v>0.95599999999999996</v>
      </c>
      <c r="E111" s="57">
        <v>1.105</v>
      </c>
      <c r="F111" s="57">
        <v>0.94699999999999995</v>
      </c>
      <c r="G111" s="57">
        <v>1.198</v>
      </c>
      <c r="H111" s="57">
        <v>1.125</v>
      </c>
      <c r="I111" s="57">
        <v>1.137</v>
      </c>
      <c r="J111" s="9">
        <v>20</v>
      </c>
      <c r="K111" s="9">
        <v>4</v>
      </c>
      <c r="L111" s="101" t="s">
        <v>322</v>
      </c>
      <c r="M111" s="9" t="s">
        <v>5</v>
      </c>
      <c r="N111" s="9" t="s">
        <v>40</v>
      </c>
      <c r="O111" s="59">
        <v>0</v>
      </c>
    </row>
    <row r="112" spans="1:22" ht="15" customHeight="1">
      <c r="A112" s="102" t="s">
        <v>358</v>
      </c>
      <c r="B112" s="6" t="s">
        <v>429</v>
      </c>
      <c r="C112" s="57">
        <v>0.16200000000000001</v>
      </c>
      <c r="D112" s="57">
        <v>0.16400000000000001</v>
      </c>
      <c r="E112" s="57">
        <v>0.16400000000000001</v>
      </c>
      <c r="F112" s="57">
        <v>0.16400000000000001</v>
      </c>
      <c r="G112" s="57">
        <v>0.16400000000000001</v>
      </c>
      <c r="H112" s="57">
        <v>0.16400000000000001</v>
      </c>
      <c r="I112" s="57">
        <v>0.16400000000000001</v>
      </c>
      <c r="J112" s="9">
        <v>20</v>
      </c>
      <c r="K112" s="9">
        <v>4</v>
      </c>
      <c r="L112" s="101" t="s">
        <v>322</v>
      </c>
      <c r="M112" s="9" t="s">
        <v>7</v>
      </c>
      <c r="N112" s="9" t="s">
        <v>40</v>
      </c>
      <c r="O112" s="59">
        <v>0</v>
      </c>
    </row>
    <row r="113" spans="1:22" ht="15" customHeight="1">
      <c r="A113" s="102" t="s">
        <v>358</v>
      </c>
      <c r="B113" s="6" t="s">
        <v>614</v>
      </c>
      <c r="C113" s="57">
        <v>0</v>
      </c>
      <c r="D113" s="57">
        <v>0</v>
      </c>
      <c r="E113" s="57">
        <v>1.456</v>
      </c>
      <c r="F113" s="57">
        <v>1.6990000000000001</v>
      </c>
      <c r="G113" s="57">
        <v>3.5190000000000001</v>
      </c>
      <c r="H113" s="57">
        <v>3.3969999999999998</v>
      </c>
      <c r="I113" s="57">
        <v>3.3969999999999998</v>
      </c>
      <c r="J113" s="188">
        <v>95</v>
      </c>
      <c r="K113" s="9" t="s">
        <v>649</v>
      </c>
      <c r="L113" s="101"/>
      <c r="M113" s="9" t="s">
        <v>615</v>
      </c>
      <c r="N113" s="9" t="s">
        <v>41</v>
      </c>
      <c r="O113" s="59">
        <v>95</v>
      </c>
      <c r="P113" s="57">
        <f t="shared" ref="P113:V114" si="18">+$O113/$J113*C113</f>
        <v>0</v>
      </c>
      <c r="Q113" s="57">
        <f t="shared" ref="Q113" si="19">+$O113/$J113*D113</f>
        <v>0</v>
      </c>
      <c r="R113" s="57">
        <f t="shared" ref="R113" si="20">+$O113/$J113*E113</f>
        <v>1.456</v>
      </c>
      <c r="S113" s="57">
        <f t="shared" ref="S113" si="21">+$O113/$J113*F113</f>
        <v>1.6990000000000001</v>
      </c>
      <c r="T113" s="57">
        <f t="shared" ref="T113" si="22">+$O113/$J113*G113</f>
        <v>3.5190000000000001</v>
      </c>
      <c r="U113" s="57">
        <f t="shared" ref="U113" si="23">+$O113/$J113*H113</f>
        <v>3.3969999999999998</v>
      </c>
      <c r="V113" s="57">
        <f t="shared" ref="V113" si="24">+$O113/$J113*I113</f>
        <v>3.3969999999999998</v>
      </c>
    </row>
    <row r="114" spans="1:22">
      <c r="A114" s="102" t="s">
        <v>359</v>
      </c>
      <c r="B114" s="6" t="s">
        <v>6</v>
      </c>
      <c r="C114" s="57">
        <v>2.4039999999999999</v>
      </c>
      <c r="D114" s="57">
        <v>2.335</v>
      </c>
      <c r="E114" s="57">
        <v>2.335</v>
      </c>
      <c r="F114" s="57">
        <v>2.335</v>
      </c>
      <c r="G114" s="57">
        <v>2.335</v>
      </c>
      <c r="H114" s="57">
        <v>2.335</v>
      </c>
      <c r="I114" s="57">
        <v>2.335</v>
      </c>
      <c r="J114" s="9">
        <v>25</v>
      </c>
      <c r="K114" s="9">
        <v>6</v>
      </c>
      <c r="L114" s="9" t="s">
        <v>174</v>
      </c>
      <c r="M114" s="9" t="s">
        <v>7</v>
      </c>
      <c r="N114" s="9" t="s">
        <v>40</v>
      </c>
      <c r="O114" s="59">
        <v>25</v>
      </c>
      <c r="P114" s="57">
        <f t="shared" si="18"/>
        <v>2.4039999999999999</v>
      </c>
      <c r="Q114" s="57">
        <f t="shared" si="18"/>
        <v>2.335</v>
      </c>
      <c r="R114" s="57">
        <f t="shared" si="18"/>
        <v>2.335</v>
      </c>
      <c r="S114" s="57">
        <f t="shared" si="18"/>
        <v>2.335</v>
      </c>
      <c r="T114" s="57">
        <f t="shared" si="18"/>
        <v>2.335</v>
      </c>
      <c r="U114" s="57">
        <f t="shared" si="18"/>
        <v>2.335</v>
      </c>
      <c r="V114" s="57">
        <f t="shared" si="18"/>
        <v>2.335</v>
      </c>
    </row>
    <row r="115" spans="1:22">
      <c r="A115" s="102" t="s">
        <v>359</v>
      </c>
      <c r="B115" s="6" t="s">
        <v>8</v>
      </c>
      <c r="C115" s="57">
        <v>5.5350000000000001</v>
      </c>
      <c r="D115" s="57">
        <v>4.9859999999999998</v>
      </c>
      <c r="E115" s="57">
        <v>5.024</v>
      </c>
      <c r="F115" s="57">
        <v>4.9859999999999998</v>
      </c>
      <c r="G115" s="57">
        <v>4.9160000000000004</v>
      </c>
      <c r="H115" s="57">
        <v>4.9160000000000004</v>
      </c>
      <c r="I115" s="57">
        <v>4.9160000000000004</v>
      </c>
      <c r="J115" s="9">
        <v>3.5</v>
      </c>
      <c r="K115" s="9">
        <v>11</v>
      </c>
      <c r="L115" s="101" t="s">
        <v>58</v>
      </c>
      <c r="M115" s="9" t="s">
        <v>9</v>
      </c>
      <c r="N115" s="9" t="s">
        <v>40</v>
      </c>
      <c r="O115" s="59">
        <v>0</v>
      </c>
    </row>
    <row r="116" spans="1:22" s="69" customFormat="1" ht="15">
      <c r="A116" s="125" t="s">
        <v>336</v>
      </c>
      <c r="B116" s="106" t="s">
        <v>338</v>
      </c>
      <c r="C116" s="107"/>
      <c r="D116" s="107"/>
      <c r="E116" s="107"/>
      <c r="F116" s="107"/>
      <c r="G116" s="107"/>
      <c r="H116" s="107"/>
      <c r="I116" s="107"/>
      <c r="J116" s="107"/>
      <c r="L116" s="21"/>
      <c r="O116" s="108"/>
      <c r="P116" s="121">
        <f t="shared" ref="P116:V116" si="25">+SUM(P117:P166)</f>
        <v>444.42</v>
      </c>
      <c r="Q116" s="121">
        <f t="shared" si="25"/>
        <v>482.45549999999997</v>
      </c>
      <c r="R116" s="121">
        <f t="shared" si="25"/>
        <v>509.87200000000001</v>
      </c>
      <c r="S116" s="121">
        <f t="shared" si="25"/>
        <v>554.74700000000018</v>
      </c>
      <c r="T116" s="121">
        <f t="shared" si="25"/>
        <v>550.52800000000002</v>
      </c>
      <c r="U116" s="121">
        <f t="shared" si="25"/>
        <v>551.49800000000005</v>
      </c>
      <c r="V116" s="121">
        <f t="shared" si="25"/>
        <v>550.37549999999999</v>
      </c>
    </row>
    <row r="117" spans="1:22">
      <c r="A117" s="6" t="s">
        <v>616</v>
      </c>
      <c r="B117" s="6" t="s">
        <v>617</v>
      </c>
      <c r="C117" s="88">
        <v>0</v>
      </c>
      <c r="D117" s="88">
        <v>0</v>
      </c>
      <c r="E117" s="88">
        <v>0</v>
      </c>
      <c r="F117" s="88">
        <v>0</v>
      </c>
      <c r="G117" s="88">
        <v>0</v>
      </c>
      <c r="H117" s="88">
        <v>0</v>
      </c>
      <c r="I117" s="88">
        <v>0</v>
      </c>
      <c r="J117" s="6">
        <v>100</v>
      </c>
      <c r="K117" s="6">
        <v>3</v>
      </c>
      <c r="L117" s="6" t="s">
        <v>96</v>
      </c>
      <c r="M117" s="6" t="s">
        <v>10</v>
      </c>
      <c r="N117" s="9" t="s">
        <v>41</v>
      </c>
      <c r="O117" s="59">
        <v>100</v>
      </c>
      <c r="P117" s="57">
        <f t="shared" ref="P117:P155" si="26">+$O117/$J117*C117</f>
        <v>0</v>
      </c>
      <c r="Q117" s="57">
        <f t="shared" ref="Q117:Q155" si="27">+$O117/$J117*D117</f>
        <v>0</v>
      </c>
      <c r="R117" s="57">
        <f t="shared" ref="R117:R155" si="28">+$O117/$J117*E117</f>
        <v>0</v>
      </c>
      <c r="S117" s="57">
        <f t="shared" ref="S117:S155" si="29">+$O117/$J117*F117</f>
        <v>0</v>
      </c>
      <c r="T117" s="57">
        <f t="shared" ref="T117:T155" si="30">+$O117/$J117*G117</f>
        <v>0</v>
      </c>
      <c r="U117" s="57">
        <f t="shared" ref="U117:U155" si="31">+$O117/$J117*H117</f>
        <v>0</v>
      </c>
      <c r="V117" s="57">
        <f t="shared" ref="V117:V155" si="32">+$O117/$J117*I117</f>
        <v>0</v>
      </c>
    </row>
    <row r="118" spans="1:22">
      <c r="A118" s="6" t="s">
        <v>616</v>
      </c>
      <c r="B118" s="6" t="s">
        <v>430</v>
      </c>
      <c r="C118" s="88">
        <v>1.587</v>
      </c>
      <c r="D118" s="88">
        <v>0</v>
      </c>
      <c r="E118" s="88">
        <v>0</v>
      </c>
      <c r="F118" s="88">
        <v>0</v>
      </c>
      <c r="G118" s="88">
        <v>0</v>
      </c>
      <c r="H118" s="88">
        <v>0</v>
      </c>
      <c r="I118" s="88">
        <v>0</v>
      </c>
      <c r="J118" s="6">
        <v>100</v>
      </c>
      <c r="K118" s="6">
        <v>6</v>
      </c>
      <c r="L118" s="9" t="s">
        <v>174</v>
      </c>
      <c r="M118" s="6" t="s">
        <v>11</v>
      </c>
      <c r="N118" s="9" t="s">
        <v>41</v>
      </c>
      <c r="O118" s="59">
        <v>100</v>
      </c>
      <c r="P118" s="57">
        <f t="shared" si="26"/>
        <v>1.587</v>
      </c>
      <c r="Q118" s="57">
        <f t="shared" si="27"/>
        <v>0</v>
      </c>
      <c r="R118" s="57">
        <f t="shared" si="28"/>
        <v>0</v>
      </c>
      <c r="S118" s="57">
        <f t="shared" si="29"/>
        <v>0</v>
      </c>
      <c r="T118" s="57">
        <f t="shared" si="30"/>
        <v>0</v>
      </c>
      <c r="U118" s="57">
        <f t="shared" si="31"/>
        <v>0</v>
      </c>
      <c r="V118" s="57">
        <f t="shared" si="32"/>
        <v>0</v>
      </c>
    </row>
    <row r="119" spans="1:22">
      <c r="A119" s="6" t="s">
        <v>37</v>
      </c>
      <c r="B119" s="6" t="s">
        <v>261</v>
      </c>
      <c r="C119" s="88">
        <v>14.236000000000001</v>
      </c>
      <c r="D119" s="88">
        <v>25.271999999999998</v>
      </c>
      <c r="E119" s="88">
        <v>31.271999999999998</v>
      </c>
      <c r="F119" s="88">
        <v>34.664999999999999</v>
      </c>
      <c r="G119" s="88">
        <v>36.284999999999997</v>
      </c>
      <c r="H119" s="88">
        <v>36.284999999999997</v>
      </c>
      <c r="I119" s="88">
        <v>36.284999999999997</v>
      </c>
      <c r="J119" s="6">
        <v>90</v>
      </c>
      <c r="K119" s="6" t="s">
        <v>527</v>
      </c>
      <c r="L119" s="9"/>
      <c r="M119" s="6" t="s">
        <v>14</v>
      </c>
      <c r="N119" s="9" t="s">
        <v>41</v>
      </c>
      <c r="O119" s="59">
        <v>90</v>
      </c>
      <c r="P119" s="57">
        <f t="shared" si="26"/>
        <v>14.236000000000001</v>
      </c>
      <c r="Q119" s="57">
        <f t="shared" si="27"/>
        <v>25.271999999999998</v>
      </c>
      <c r="R119" s="57">
        <f t="shared" si="28"/>
        <v>31.271999999999998</v>
      </c>
      <c r="S119" s="57">
        <f t="shared" si="29"/>
        <v>34.664999999999999</v>
      </c>
      <c r="T119" s="57">
        <f t="shared" si="30"/>
        <v>36.284999999999997</v>
      </c>
      <c r="U119" s="57">
        <f t="shared" si="31"/>
        <v>36.284999999999997</v>
      </c>
      <c r="V119" s="57">
        <f t="shared" si="32"/>
        <v>36.284999999999997</v>
      </c>
    </row>
    <row r="120" spans="1:22" ht="13.5" customHeight="1">
      <c r="A120" s="6" t="s">
        <v>13</v>
      </c>
      <c r="B120" s="6" t="s">
        <v>431</v>
      </c>
      <c r="C120" s="88">
        <v>13.324999999999999</v>
      </c>
      <c r="D120" s="88">
        <v>17.808</v>
      </c>
      <c r="E120" s="88">
        <v>17.957999999999998</v>
      </c>
      <c r="F120" s="88">
        <v>17.957999999999998</v>
      </c>
      <c r="G120" s="88">
        <v>17.957999999999998</v>
      </c>
      <c r="H120" s="88">
        <v>17.957999999999998</v>
      </c>
      <c r="I120" s="88">
        <v>17.957999999999998</v>
      </c>
      <c r="J120" s="6">
        <v>100</v>
      </c>
      <c r="K120" s="6">
        <v>6</v>
      </c>
      <c r="L120" s="9" t="s">
        <v>174</v>
      </c>
      <c r="M120" s="6" t="s">
        <v>14</v>
      </c>
      <c r="N120" s="9" t="s">
        <v>41</v>
      </c>
      <c r="O120" s="59">
        <v>100</v>
      </c>
      <c r="P120" s="57">
        <f t="shared" si="26"/>
        <v>13.324999999999999</v>
      </c>
      <c r="Q120" s="57">
        <f t="shared" si="27"/>
        <v>17.808</v>
      </c>
      <c r="R120" s="57">
        <f t="shared" si="28"/>
        <v>17.957999999999998</v>
      </c>
      <c r="S120" s="57">
        <f t="shared" si="29"/>
        <v>17.957999999999998</v>
      </c>
      <c r="T120" s="57">
        <f t="shared" si="30"/>
        <v>17.957999999999998</v>
      </c>
      <c r="U120" s="57">
        <f t="shared" si="31"/>
        <v>17.957999999999998</v>
      </c>
      <c r="V120" s="57">
        <f t="shared" si="32"/>
        <v>17.957999999999998</v>
      </c>
    </row>
    <row r="121" spans="1:22">
      <c r="A121" s="6" t="s">
        <v>15</v>
      </c>
      <c r="B121" s="6" t="s">
        <v>619</v>
      </c>
      <c r="C121" s="88">
        <v>0.25</v>
      </c>
      <c r="D121" s="88">
        <v>0.255</v>
      </c>
      <c r="E121" s="88">
        <v>0.255</v>
      </c>
      <c r="F121" s="88">
        <v>0.255</v>
      </c>
      <c r="G121" s="88">
        <v>0.255</v>
      </c>
      <c r="H121" s="88">
        <v>0.255</v>
      </c>
      <c r="I121" s="88">
        <v>0.255</v>
      </c>
      <c r="J121" s="6">
        <v>100</v>
      </c>
      <c r="K121" s="6">
        <v>4</v>
      </c>
      <c r="L121" s="101" t="s">
        <v>322</v>
      </c>
      <c r="M121" s="6" t="s">
        <v>7</v>
      </c>
      <c r="N121" s="9" t="s">
        <v>40</v>
      </c>
      <c r="O121" s="59">
        <v>100</v>
      </c>
      <c r="P121" s="57">
        <f t="shared" si="26"/>
        <v>0.25</v>
      </c>
      <c r="Q121" s="57">
        <f t="shared" si="27"/>
        <v>0.255</v>
      </c>
      <c r="R121" s="57">
        <f t="shared" si="28"/>
        <v>0.255</v>
      </c>
      <c r="S121" s="57">
        <f t="shared" si="29"/>
        <v>0.255</v>
      </c>
      <c r="T121" s="57">
        <f t="shared" si="30"/>
        <v>0.255</v>
      </c>
      <c r="U121" s="57">
        <f t="shared" si="31"/>
        <v>0.255</v>
      </c>
      <c r="V121" s="57">
        <f t="shared" si="32"/>
        <v>0.255</v>
      </c>
    </row>
    <row r="122" spans="1:22">
      <c r="A122" s="6" t="s">
        <v>15</v>
      </c>
      <c r="B122" s="6" t="s">
        <v>620</v>
      </c>
      <c r="C122" s="88">
        <v>0.92300000000000004</v>
      </c>
      <c r="D122" s="88">
        <v>0.51200000000000001</v>
      </c>
      <c r="E122" s="88">
        <v>0.51200000000000001</v>
      </c>
      <c r="F122" s="88">
        <v>0.51200000000000001</v>
      </c>
      <c r="G122" s="88">
        <v>1.2E-2</v>
      </c>
      <c r="H122" s="88">
        <v>1.2E-2</v>
      </c>
      <c r="I122" s="88">
        <v>1.2E-2</v>
      </c>
      <c r="J122" s="6">
        <v>100</v>
      </c>
      <c r="K122" s="6">
        <v>6</v>
      </c>
      <c r="L122" s="9" t="s">
        <v>174</v>
      </c>
      <c r="M122" s="6" t="s">
        <v>23</v>
      </c>
      <c r="N122" s="9" t="s">
        <v>41</v>
      </c>
      <c r="O122" s="59">
        <v>100</v>
      </c>
      <c r="P122" s="57">
        <f t="shared" si="26"/>
        <v>0.92300000000000004</v>
      </c>
      <c r="Q122" s="57">
        <f t="shared" si="27"/>
        <v>0.51200000000000001</v>
      </c>
      <c r="R122" s="57">
        <f t="shared" si="28"/>
        <v>0.51200000000000001</v>
      </c>
      <c r="S122" s="57">
        <f t="shared" si="29"/>
        <v>0.51200000000000001</v>
      </c>
      <c r="T122" s="57">
        <f t="shared" si="30"/>
        <v>1.2E-2</v>
      </c>
      <c r="U122" s="57">
        <f t="shared" si="31"/>
        <v>1.2E-2</v>
      </c>
      <c r="V122" s="57">
        <f t="shared" si="32"/>
        <v>1.2E-2</v>
      </c>
    </row>
    <row r="123" spans="1:22">
      <c r="A123" s="6" t="s">
        <v>15</v>
      </c>
      <c r="B123" s="6" t="s">
        <v>621</v>
      </c>
      <c r="C123" s="88">
        <v>0.16800000000000001</v>
      </c>
      <c r="D123" s="88">
        <v>0.16800000000000001</v>
      </c>
      <c r="E123" s="88">
        <v>0.159</v>
      </c>
      <c r="F123" s="88">
        <v>0.159</v>
      </c>
      <c r="G123" s="88">
        <v>0.159</v>
      </c>
      <c r="H123" s="88">
        <v>0.159</v>
      </c>
      <c r="I123" s="88">
        <v>0.159</v>
      </c>
      <c r="J123" s="6">
        <v>100</v>
      </c>
      <c r="K123" s="6">
        <v>11</v>
      </c>
      <c r="L123" s="101" t="s">
        <v>58</v>
      </c>
      <c r="M123" s="6" t="s">
        <v>7</v>
      </c>
      <c r="N123" s="9" t="s">
        <v>40</v>
      </c>
      <c r="O123" s="59">
        <v>100</v>
      </c>
      <c r="P123" s="57">
        <f t="shared" si="26"/>
        <v>0.16800000000000001</v>
      </c>
      <c r="Q123" s="57">
        <f t="shared" si="27"/>
        <v>0.16800000000000001</v>
      </c>
      <c r="R123" s="57">
        <f t="shared" si="28"/>
        <v>0.159</v>
      </c>
      <c r="S123" s="57">
        <f t="shared" si="29"/>
        <v>0.159</v>
      </c>
      <c r="T123" s="57">
        <f t="shared" si="30"/>
        <v>0.159</v>
      </c>
      <c r="U123" s="57">
        <f t="shared" si="31"/>
        <v>0.159</v>
      </c>
      <c r="V123" s="57">
        <f t="shared" si="32"/>
        <v>0.159</v>
      </c>
    </row>
    <row r="124" spans="1:22">
      <c r="A124" s="6" t="s">
        <v>15</v>
      </c>
      <c r="B124" s="6" t="s">
        <v>622</v>
      </c>
      <c r="C124" s="88">
        <v>4.2999999999999997E-2</v>
      </c>
      <c r="D124" s="88">
        <v>0</v>
      </c>
      <c r="E124" s="88">
        <v>0</v>
      </c>
      <c r="F124" s="88">
        <v>0</v>
      </c>
      <c r="G124" s="88">
        <v>0</v>
      </c>
      <c r="H124" s="88">
        <v>0</v>
      </c>
      <c r="I124" s="88">
        <v>0</v>
      </c>
      <c r="J124" s="6">
        <v>100</v>
      </c>
      <c r="K124" s="6">
        <v>6</v>
      </c>
      <c r="L124" s="9" t="s">
        <v>174</v>
      </c>
      <c r="M124" s="6" t="s">
        <v>11</v>
      </c>
      <c r="N124" s="9" t="s">
        <v>300</v>
      </c>
      <c r="O124" s="59">
        <v>100</v>
      </c>
      <c r="P124" s="57">
        <f t="shared" si="26"/>
        <v>4.2999999999999997E-2</v>
      </c>
      <c r="Q124" s="57">
        <f t="shared" si="27"/>
        <v>0</v>
      </c>
      <c r="R124" s="57">
        <f t="shared" si="28"/>
        <v>0</v>
      </c>
      <c r="S124" s="57">
        <f t="shared" si="29"/>
        <v>0</v>
      </c>
      <c r="T124" s="57">
        <f t="shared" si="30"/>
        <v>0</v>
      </c>
      <c r="U124" s="57">
        <f t="shared" si="31"/>
        <v>0</v>
      </c>
      <c r="V124" s="57">
        <f t="shared" si="32"/>
        <v>0</v>
      </c>
    </row>
    <row r="125" spans="1:22">
      <c r="A125" s="6" t="s">
        <v>15</v>
      </c>
      <c r="B125" s="6" t="s">
        <v>433</v>
      </c>
      <c r="C125" s="88">
        <v>0.27500000000000002</v>
      </c>
      <c r="D125" s="88">
        <v>0</v>
      </c>
      <c r="E125" s="88">
        <v>0</v>
      </c>
      <c r="F125" s="88">
        <v>0</v>
      </c>
      <c r="G125" s="88">
        <v>0</v>
      </c>
      <c r="H125" s="88">
        <v>0</v>
      </c>
      <c r="I125" s="88">
        <v>0</v>
      </c>
      <c r="J125" s="6">
        <v>100</v>
      </c>
      <c r="K125" s="6">
        <v>6</v>
      </c>
      <c r="L125" s="9" t="s">
        <v>174</v>
      </c>
      <c r="M125" s="6" t="s">
        <v>23</v>
      </c>
      <c r="N125" s="9" t="s">
        <v>41</v>
      </c>
      <c r="O125" s="6">
        <v>100</v>
      </c>
      <c r="P125" s="57">
        <f t="shared" si="26"/>
        <v>0.27500000000000002</v>
      </c>
      <c r="Q125" s="57">
        <f t="shared" si="27"/>
        <v>0</v>
      </c>
      <c r="R125" s="57">
        <f t="shared" si="28"/>
        <v>0</v>
      </c>
      <c r="S125" s="57">
        <f t="shared" si="29"/>
        <v>0</v>
      </c>
      <c r="T125" s="57">
        <f t="shared" si="30"/>
        <v>0</v>
      </c>
      <c r="U125" s="57">
        <f t="shared" si="31"/>
        <v>0</v>
      </c>
      <c r="V125" s="57">
        <f t="shared" si="32"/>
        <v>0</v>
      </c>
    </row>
    <row r="126" spans="1:22">
      <c r="A126" s="6" t="s">
        <v>15</v>
      </c>
      <c r="B126" s="6" t="s">
        <v>434</v>
      </c>
      <c r="C126" s="88">
        <v>7.4999999999999997E-2</v>
      </c>
      <c r="D126" s="88">
        <v>0</v>
      </c>
      <c r="E126" s="88">
        <v>0</v>
      </c>
      <c r="F126" s="88">
        <v>0</v>
      </c>
      <c r="G126" s="88">
        <v>0</v>
      </c>
      <c r="H126" s="88">
        <v>0</v>
      </c>
      <c r="I126" s="88">
        <v>0</v>
      </c>
      <c r="J126" s="6">
        <v>100</v>
      </c>
      <c r="K126" s="6">
        <v>6</v>
      </c>
      <c r="L126" s="9" t="s">
        <v>174</v>
      </c>
      <c r="M126" s="6" t="s">
        <v>14</v>
      </c>
      <c r="N126" s="9" t="s">
        <v>41</v>
      </c>
      <c r="O126" s="6">
        <v>100</v>
      </c>
      <c r="P126" s="57">
        <f t="shared" si="26"/>
        <v>7.4999999999999997E-2</v>
      </c>
      <c r="Q126" s="57">
        <f t="shared" si="27"/>
        <v>0</v>
      </c>
      <c r="R126" s="57">
        <f t="shared" si="28"/>
        <v>0</v>
      </c>
      <c r="S126" s="57">
        <f t="shared" si="29"/>
        <v>0</v>
      </c>
      <c r="T126" s="57">
        <f t="shared" si="30"/>
        <v>0</v>
      </c>
      <c r="U126" s="57">
        <f t="shared" si="31"/>
        <v>0</v>
      </c>
      <c r="V126" s="57">
        <f t="shared" si="32"/>
        <v>0</v>
      </c>
    </row>
    <row r="127" spans="1:22">
      <c r="A127" s="6" t="s">
        <v>15</v>
      </c>
      <c r="B127" s="6" t="s">
        <v>432</v>
      </c>
      <c r="C127" s="88">
        <v>3.0779999999999998</v>
      </c>
      <c r="D127" s="88">
        <v>0</v>
      </c>
      <c r="E127" s="88">
        <v>0</v>
      </c>
      <c r="F127" s="88">
        <v>0</v>
      </c>
      <c r="G127" s="88">
        <v>0</v>
      </c>
      <c r="H127" s="88">
        <v>0</v>
      </c>
      <c r="I127" s="88">
        <v>0</v>
      </c>
      <c r="J127" s="6">
        <v>80</v>
      </c>
      <c r="K127" s="6">
        <v>6</v>
      </c>
      <c r="L127" s="9" t="s">
        <v>174</v>
      </c>
      <c r="M127" s="6" t="s">
        <v>11</v>
      </c>
      <c r="N127" s="9" t="s">
        <v>41</v>
      </c>
      <c r="O127" s="6">
        <v>80</v>
      </c>
      <c r="P127" s="57">
        <f t="shared" si="26"/>
        <v>3.0779999999999998</v>
      </c>
      <c r="Q127" s="57">
        <f t="shared" si="27"/>
        <v>0</v>
      </c>
      <c r="R127" s="57">
        <f t="shared" si="28"/>
        <v>0</v>
      </c>
      <c r="S127" s="57">
        <f t="shared" si="29"/>
        <v>0</v>
      </c>
      <c r="T127" s="57">
        <f t="shared" si="30"/>
        <v>0</v>
      </c>
      <c r="U127" s="57">
        <f t="shared" si="31"/>
        <v>0</v>
      </c>
      <c r="V127" s="57">
        <f t="shared" si="32"/>
        <v>0</v>
      </c>
    </row>
    <row r="128" spans="1:22">
      <c r="A128" s="6" t="s">
        <v>15</v>
      </c>
      <c r="B128" s="6" t="s">
        <v>435</v>
      </c>
      <c r="C128" s="88">
        <v>0</v>
      </c>
      <c r="D128" s="88">
        <v>0</v>
      </c>
      <c r="E128" s="88">
        <v>0</v>
      </c>
      <c r="F128" s="88">
        <v>0</v>
      </c>
      <c r="G128" s="88">
        <v>0</v>
      </c>
      <c r="H128" s="88">
        <v>0</v>
      </c>
      <c r="I128" s="88">
        <v>0</v>
      </c>
      <c r="J128" s="6">
        <v>100</v>
      </c>
      <c r="K128" s="6">
        <v>6</v>
      </c>
      <c r="L128" s="9" t="s">
        <v>174</v>
      </c>
      <c r="M128" s="6" t="s">
        <v>14</v>
      </c>
      <c r="N128" s="9" t="s">
        <v>41</v>
      </c>
      <c r="O128" s="6">
        <v>100</v>
      </c>
      <c r="P128" s="57">
        <f t="shared" si="26"/>
        <v>0</v>
      </c>
      <c r="Q128" s="57">
        <f t="shared" si="27"/>
        <v>0</v>
      </c>
      <c r="R128" s="57">
        <f t="shared" si="28"/>
        <v>0</v>
      </c>
      <c r="S128" s="57">
        <f t="shared" si="29"/>
        <v>0</v>
      </c>
      <c r="T128" s="57">
        <f t="shared" si="30"/>
        <v>0</v>
      </c>
      <c r="U128" s="57">
        <f t="shared" si="31"/>
        <v>0</v>
      </c>
      <c r="V128" s="57">
        <f t="shared" si="32"/>
        <v>0</v>
      </c>
    </row>
    <row r="129" spans="1:22">
      <c r="A129" s="6" t="s">
        <v>15</v>
      </c>
      <c r="B129" s="6" t="s">
        <v>46</v>
      </c>
      <c r="C129" s="88">
        <v>138.92599999999999</v>
      </c>
      <c r="D129" s="88">
        <v>153.93</v>
      </c>
      <c r="E129" s="88">
        <v>152.55099999999999</v>
      </c>
      <c r="F129" s="88">
        <v>161.761</v>
      </c>
      <c r="G129" s="88">
        <v>161.511</v>
      </c>
      <c r="H129" s="88">
        <v>161.511</v>
      </c>
      <c r="I129" s="88">
        <v>161.511</v>
      </c>
      <c r="J129" s="6">
        <v>100</v>
      </c>
      <c r="K129" s="6">
        <v>6</v>
      </c>
      <c r="L129" s="9" t="s">
        <v>174</v>
      </c>
      <c r="M129" s="6" t="s">
        <v>16</v>
      </c>
      <c r="N129" s="6" t="s">
        <v>40</v>
      </c>
      <c r="O129" s="6">
        <v>100</v>
      </c>
      <c r="P129" s="57">
        <f t="shared" si="26"/>
        <v>138.92599999999999</v>
      </c>
      <c r="Q129" s="57">
        <f t="shared" si="27"/>
        <v>153.93</v>
      </c>
      <c r="R129" s="57">
        <f t="shared" si="28"/>
        <v>152.55099999999999</v>
      </c>
      <c r="S129" s="57">
        <f t="shared" si="29"/>
        <v>161.761</v>
      </c>
      <c r="T129" s="57">
        <f t="shared" si="30"/>
        <v>161.511</v>
      </c>
      <c r="U129" s="57">
        <f t="shared" si="31"/>
        <v>161.511</v>
      </c>
      <c r="V129" s="57">
        <f t="shared" si="32"/>
        <v>161.511</v>
      </c>
    </row>
    <row r="130" spans="1:22">
      <c r="A130" s="6" t="s">
        <v>17</v>
      </c>
      <c r="B130" s="6" t="s">
        <v>47</v>
      </c>
      <c r="C130" s="88">
        <v>36.499000000000002</v>
      </c>
      <c r="D130" s="88">
        <v>40.451000000000001</v>
      </c>
      <c r="E130" s="88">
        <v>41.335999999999999</v>
      </c>
      <c r="F130" s="88">
        <v>40.835999999999999</v>
      </c>
      <c r="G130" s="88">
        <v>40.536000000000001</v>
      </c>
      <c r="H130" s="88">
        <v>39.936</v>
      </c>
      <c r="I130" s="88">
        <v>38.856999999999999</v>
      </c>
      <c r="J130" s="6">
        <v>100</v>
      </c>
      <c r="K130" s="6">
        <v>6</v>
      </c>
      <c r="L130" s="9" t="s">
        <v>174</v>
      </c>
      <c r="M130" s="6" t="s">
        <v>14</v>
      </c>
      <c r="N130" s="9" t="s">
        <v>41</v>
      </c>
      <c r="O130" s="6">
        <v>100</v>
      </c>
      <c r="P130" s="57">
        <f t="shared" si="26"/>
        <v>36.499000000000002</v>
      </c>
      <c r="Q130" s="57">
        <f t="shared" si="27"/>
        <v>40.451000000000001</v>
      </c>
      <c r="R130" s="57">
        <f t="shared" si="28"/>
        <v>41.335999999999999</v>
      </c>
      <c r="S130" s="57">
        <f t="shared" si="29"/>
        <v>40.835999999999999</v>
      </c>
      <c r="T130" s="57">
        <f t="shared" si="30"/>
        <v>40.536000000000001</v>
      </c>
      <c r="U130" s="57">
        <f t="shared" si="31"/>
        <v>39.936</v>
      </c>
      <c r="V130" s="57">
        <f t="shared" si="32"/>
        <v>38.856999999999999</v>
      </c>
    </row>
    <row r="131" spans="1:22">
      <c r="A131" s="6" t="s">
        <v>17</v>
      </c>
      <c r="B131" s="6" t="s">
        <v>437</v>
      </c>
      <c r="C131" s="88">
        <v>7.375</v>
      </c>
      <c r="D131" s="88">
        <v>8.3919999999999995</v>
      </c>
      <c r="E131" s="88">
        <v>4.5860000000000003</v>
      </c>
      <c r="F131" s="88">
        <v>4.1319999999999997</v>
      </c>
      <c r="G131" s="88">
        <v>4.1319999999999997</v>
      </c>
      <c r="H131" s="88">
        <v>4.1319999999999997</v>
      </c>
      <c r="I131" s="88">
        <v>4.1319999999999997</v>
      </c>
      <c r="J131" s="6">
        <v>100</v>
      </c>
      <c r="K131" s="59" t="s">
        <v>527</v>
      </c>
      <c r="M131" s="6" t="s">
        <v>14</v>
      </c>
      <c r="N131" s="9" t="s">
        <v>41</v>
      </c>
      <c r="O131" s="6">
        <v>100</v>
      </c>
      <c r="P131" s="57">
        <f t="shared" si="26"/>
        <v>7.375</v>
      </c>
      <c r="Q131" s="57">
        <f t="shared" si="27"/>
        <v>8.3919999999999995</v>
      </c>
      <c r="R131" s="57">
        <f t="shared" si="28"/>
        <v>4.5860000000000003</v>
      </c>
      <c r="S131" s="57">
        <f t="shared" si="29"/>
        <v>4.1319999999999997</v>
      </c>
      <c r="T131" s="57">
        <f t="shared" si="30"/>
        <v>4.1319999999999997</v>
      </c>
      <c r="U131" s="57">
        <f t="shared" si="31"/>
        <v>4.1319999999999997</v>
      </c>
      <c r="V131" s="57">
        <f t="shared" si="32"/>
        <v>4.1319999999999997</v>
      </c>
    </row>
    <row r="132" spans="1:22">
      <c r="A132" s="6" t="s">
        <v>17</v>
      </c>
      <c r="B132" s="6" t="s">
        <v>438</v>
      </c>
      <c r="C132" s="88">
        <v>90.497</v>
      </c>
      <c r="D132" s="88">
        <v>116.715</v>
      </c>
      <c r="E132" s="88">
        <v>138.364</v>
      </c>
      <c r="F132" s="88">
        <v>157.90799999999999</v>
      </c>
      <c r="G132" s="88">
        <v>164.90799999999999</v>
      </c>
      <c r="H132" s="88">
        <v>167.90799999999999</v>
      </c>
      <c r="I132" s="88">
        <v>167.90799999999999</v>
      </c>
      <c r="J132" s="6">
        <v>100</v>
      </c>
      <c r="K132" s="59" t="s">
        <v>527</v>
      </c>
      <c r="M132" s="6" t="s">
        <v>14</v>
      </c>
      <c r="N132" s="9" t="s">
        <v>41</v>
      </c>
      <c r="O132" s="6">
        <v>100</v>
      </c>
      <c r="P132" s="57">
        <f t="shared" si="26"/>
        <v>90.497</v>
      </c>
      <c r="Q132" s="57">
        <f t="shared" si="27"/>
        <v>116.715</v>
      </c>
      <c r="R132" s="57">
        <f t="shared" si="28"/>
        <v>138.364</v>
      </c>
      <c r="S132" s="57">
        <f t="shared" si="29"/>
        <v>157.90799999999999</v>
      </c>
      <c r="T132" s="57">
        <f t="shared" si="30"/>
        <v>164.90799999999999</v>
      </c>
      <c r="U132" s="57">
        <f t="shared" si="31"/>
        <v>167.90799999999999</v>
      </c>
      <c r="V132" s="57">
        <f t="shared" si="32"/>
        <v>167.90799999999999</v>
      </c>
    </row>
    <row r="133" spans="1:22">
      <c r="A133" s="6" t="s">
        <v>17</v>
      </c>
      <c r="B133" s="6" t="s">
        <v>439</v>
      </c>
      <c r="C133" s="88">
        <v>2.9319999999999999</v>
      </c>
      <c r="D133" s="88">
        <v>0.309</v>
      </c>
      <c r="E133" s="88">
        <v>0</v>
      </c>
      <c r="F133" s="88">
        <v>0</v>
      </c>
      <c r="G133" s="88">
        <v>0</v>
      </c>
      <c r="H133" s="88">
        <v>0</v>
      </c>
      <c r="I133" s="88">
        <v>0</v>
      </c>
      <c r="J133" s="6">
        <v>100</v>
      </c>
      <c r="K133" s="59" t="s">
        <v>623</v>
      </c>
      <c r="M133" s="6" t="s">
        <v>14</v>
      </c>
      <c r="N133" s="9" t="s">
        <v>41</v>
      </c>
      <c r="O133" s="6">
        <v>100</v>
      </c>
      <c r="P133" s="57">
        <f t="shared" si="26"/>
        <v>2.9319999999999999</v>
      </c>
      <c r="Q133" s="57">
        <f t="shared" si="27"/>
        <v>0.309</v>
      </c>
      <c r="R133" s="57">
        <f t="shared" si="28"/>
        <v>0</v>
      </c>
      <c r="S133" s="57">
        <f t="shared" si="29"/>
        <v>0</v>
      </c>
      <c r="T133" s="57">
        <f t="shared" si="30"/>
        <v>0</v>
      </c>
      <c r="U133" s="57">
        <f t="shared" si="31"/>
        <v>0</v>
      </c>
      <c r="V133" s="57">
        <f t="shared" si="32"/>
        <v>0</v>
      </c>
    </row>
    <row r="134" spans="1:22">
      <c r="A134" s="6" t="s">
        <v>18</v>
      </c>
      <c r="B134" s="6" t="s">
        <v>48</v>
      </c>
      <c r="C134" s="88">
        <v>3.3319999999999999</v>
      </c>
      <c r="D134" s="88">
        <v>6.1509999999999998</v>
      </c>
      <c r="E134" s="88">
        <v>6.5179999999999998</v>
      </c>
      <c r="F134" s="88">
        <v>6.6879999999999997</v>
      </c>
      <c r="G134" s="88">
        <v>6.6879999999999997</v>
      </c>
      <c r="H134" s="88">
        <v>6.6879999999999997</v>
      </c>
      <c r="I134" s="88">
        <v>6.6879999999999997</v>
      </c>
      <c r="J134" s="6">
        <v>100</v>
      </c>
      <c r="K134" s="6">
        <v>4</v>
      </c>
      <c r="L134" s="101" t="s">
        <v>322</v>
      </c>
      <c r="M134" s="6" t="s">
        <v>7</v>
      </c>
      <c r="N134" s="6" t="s">
        <v>40</v>
      </c>
      <c r="O134" s="6">
        <v>100</v>
      </c>
      <c r="P134" s="57">
        <f t="shared" si="26"/>
        <v>3.3319999999999999</v>
      </c>
      <c r="Q134" s="57">
        <f t="shared" si="27"/>
        <v>6.1509999999999998</v>
      </c>
      <c r="R134" s="57">
        <f t="shared" si="28"/>
        <v>6.5179999999999998</v>
      </c>
      <c r="S134" s="57">
        <f t="shared" si="29"/>
        <v>6.6879999999999997</v>
      </c>
      <c r="T134" s="57">
        <f t="shared" si="30"/>
        <v>6.6879999999999997</v>
      </c>
      <c r="U134" s="57">
        <f t="shared" si="31"/>
        <v>6.6879999999999997</v>
      </c>
      <c r="V134" s="57">
        <f t="shared" si="32"/>
        <v>6.6879999999999997</v>
      </c>
    </row>
    <row r="135" spans="1:22">
      <c r="A135" s="6" t="s">
        <v>18</v>
      </c>
      <c r="B135" s="6" t="s">
        <v>49</v>
      </c>
      <c r="C135" s="88">
        <v>9.57</v>
      </c>
      <c r="D135" s="88">
        <v>14.035</v>
      </c>
      <c r="E135" s="88">
        <v>16.305</v>
      </c>
      <c r="F135" s="88">
        <v>16.696000000000002</v>
      </c>
      <c r="G135" s="88">
        <v>16.696000000000002</v>
      </c>
      <c r="H135" s="88">
        <v>16.696000000000002</v>
      </c>
      <c r="I135" s="88">
        <v>16.696000000000002</v>
      </c>
      <c r="J135" s="6">
        <v>100</v>
      </c>
      <c r="K135" s="6">
        <v>4</v>
      </c>
      <c r="L135" s="101" t="s">
        <v>322</v>
      </c>
      <c r="M135" s="6" t="s">
        <v>7</v>
      </c>
      <c r="N135" s="6" t="s">
        <v>40</v>
      </c>
      <c r="O135" s="6">
        <v>100</v>
      </c>
      <c r="P135" s="57">
        <f t="shared" si="26"/>
        <v>9.57</v>
      </c>
      <c r="Q135" s="57">
        <f t="shared" si="27"/>
        <v>14.035</v>
      </c>
      <c r="R135" s="57">
        <f t="shared" si="28"/>
        <v>16.305</v>
      </c>
      <c r="S135" s="57">
        <f t="shared" si="29"/>
        <v>16.696000000000002</v>
      </c>
      <c r="T135" s="57">
        <f t="shared" si="30"/>
        <v>16.696000000000002</v>
      </c>
      <c r="U135" s="57">
        <f t="shared" si="31"/>
        <v>16.696000000000002</v>
      </c>
      <c r="V135" s="57">
        <f t="shared" si="32"/>
        <v>16.696000000000002</v>
      </c>
    </row>
    <row r="136" spans="1:22">
      <c r="A136" s="6" t="s">
        <v>18</v>
      </c>
      <c r="B136" s="6" t="s">
        <v>50</v>
      </c>
      <c r="C136" s="88">
        <v>19.446000000000002</v>
      </c>
      <c r="D136" s="88">
        <v>21.995000000000001</v>
      </c>
      <c r="E136" s="88">
        <v>22.532</v>
      </c>
      <c r="F136" s="88">
        <v>23.6</v>
      </c>
      <c r="G136" s="88">
        <v>23.6</v>
      </c>
      <c r="H136" s="88">
        <v>23.6</v>
      </c>
      <c r="I136" s="88">
        <v>23.6</v>
      </c>
      <c r="J136" s="6">
        <v>100</v>
      </c>
      <c r="K136" s="6">
        <v>3</v>
      </c>
      <c r="L136" s="6" t="s">
        <v>96</v>
      </c>
      <c r="M136" s="6" t="s">
        <v>7</v>
      </c>
      <c r="N136" s="9" t="s">
        <v>40</v>
      </c>
      <c r="O136" s="6">
        <v>100</v>
      </c>
      <c r="P136" s="57">
        <f t="shared" si="26"/>
        <v>19.446000000000002</v>
      </c>
      <c r="Q136" s="57">
        <f t="shared" si="27"/>
        <v>21.995000000000001</v>
      </c>
      <c r="R136" s="57">
        <f t="shared" si="28"/>
        <v>22.532</v>
      </c>
      <c r="S136" s="57">
        <f t="shared" si="29"/>
        <v>23.6</v>
      </c>
      <c r="T136" s="57">
        <f t="shared" si="30"/>
        <v>23.6</v>
      </c>
      <c r="U136" s="57">
        <f t="shared" si="31"/>
        <v>23.6</v>
      </c>
      <c r="V136" s="57">
        <f t="shared" si="32"/>
        <v>23.6</v>
      </c>
    </row>
    <row r="137" spans="1:22">
      <c r="A137" s="6" t="s">
        <v>19</v>
      </c>
      <c r="B137" s="6" t="s">
        <v>440</v>
      </c>
      <c r="C137" s="88">
        <v>19.936</v>
      </c>
      <c r="D137" s="88">
        <v>25.565999999999999</v>
      </c>
      <c r="E137" s="88">
        <v>23.437000000000001</v>
      </c>
      <c r="F137" s="88">
        <v>23.355</v>
      </c>
      <c r="G137" s="88">
        <v>24.084</v>
      </c>
      <c r="H137" s="88">
        <v>23.584</v>
      </c>
      <c r="I137" s="88">
        <v>23.584</v>
      </c>
      <c r="J137" s="6">
        <v>100</v>
      </c>
      <c r="K137" s="6">
        <v>6</v>
      </c>
      <c r="L137" s="9" t="s">
        <v>174</v>
      </c>
      <c r="M137" s="6" t="s">
        <v>20</v>
      </c>
      <c r="N137" s="9" t="s">
        <v>40</v>
      </c>
      <c r="O137" s="6">
        <v>100</v>
      </c>
      <c r="P137" s="57">
        <f t="shared" si="26"/>
        <v>19.936</v>
      </c>
      <c r="Q137" s="57">
        <f t="shared" si="27"/>
        <v>25.565999999999999</v>
      </c>
      <c r="R137" s="57">
        <f t="shared" si="28"/>
        <v>23.437000000000001</v>
      </c>
      <c r="S137" s="57">
        <f t="shared" si="29"/>
        <v>23.355</v>
      </c>
      <c r="T137" s="57">
        <f t="shared" si="30"/>
        <v>24.084</v>
      </c>
      <c r="U137" s="57">
        <f t="shared" si="31"/>
        <v>23.584</v>
      </c>
      <c r="V137" s="57">
        <f t="shared" si="32"/>
        <v>23.584</v>
      </c>
    </row>
    <row r="138" spans="1:22">
      <c r="A138" s="6" t="s">
        <v>19</v>
      </c>
      <c r="B138" s="6" t="s">
        <v>448</v>
      </c>
      <c r="C138" s="88">
        <v>0.5</v>
      </c>
      <c r="D138" s="88">
        <v>5.0999999999999997E-2</v>
      </c>
      <c r="E138" s="88">
        <v>2.2440000000000002</v>
      </c>
      <c r="F138" s="88">
        <v>2.8479999999999999</v>
      </c>
      <c r="G138" s="88">
        <v>2.9329999999999998</v>
      </c>
      <c r="H138" s="88">
        <v>3.13</v>
      </c>
      <c r="I138" s="88">
        <v>3.13</v>
      </c>
      <c r="J138" s="6">
        <v>100</v>
      </c>
      <c r="K138" s="6">
        <v>6.13</v>
      </c>
      <c r="L138" s="101" t="s">
        <v>322</v>
      </c>
      <c r="M138" s="6" t="s">
        <v>21</v>
      </c>
      <c r="N138" s="6" t="s">
        <v>40</v>
      </c>
      <c r="O138" s="6">
        <v>100</v>
      </c>
      <c r="P138" s="57">
        <f t="shared" si="26"/>
        <v>0.5</v>
      </c>
      <c r="Q138" s="57">
        <f t="shared" si="27"/>
        <v>5.0999999999999997E-2</v>
      </c>
      <c r="R138" s="57">
        <f t="shared" si="28"/>
        <v>2.2440000000000002</v>
      </c>
      <c r="S138" s="57">
        <f t="shared" si="29"/>
        <v>2.8479999999999999</v>
      </c>
      <c r="T138" s="57">
        <f t="shared" si="30"/>
        <v>2.9329999999999998</v>
      </c>
      <c r="U138" s="57">
        <f t="shared" si="31"/>
        <v>3.13</v>
      </c>
      <c r="V138" s="57">
        <f t="shared" si="32"/>
        <v>3.13</v>
      </c>
    </row>
    <row r="139" spans="1:22">
      <c r="A139" s="6" t="s">
        <v>19</v>
      </c>
      <c r="B139" s="6" t="s">
        <v>441</v>
      </c>
      <c r="C139" s="88">
        <v>0</v>
      </c>
      <c r="D139" s="88">
        <v>0</v>
      </c>
      <c r="E139" s="88">
        <v>0</v>
      </c>
      <c r="F139" s="88">
        <v>0</v>
      </c>
      <c r="G139" s="88">
        <v>0</v>
      </c>
      <c r="H139" s="88">
        <v>0</v>
      </c>
      <c r="I139" s="88">
        <v>0</v>
      </c>
      <c r="J139" s="6">
        <v>100</v>
      </c>
      <c r="K139" s="6">
        <v>6</v>
      </c>
      <c r="L139" s="9" t="s">
        <v>174</v>
      </c>
      <c r="M139" s="6" t="s">
        <v>23</v>
      </c>
      <c r="N139" s="9" t="s">
        <v>41</v>
      </c>
      <c r="O139" s="6">
        <v>100</v>
      </c>
      <c r="P139" s="57">
        <f t="shared" si="26"/>
        <v>0</v>
      </c>
      <c r="Q139" s="57">
        <f t="shared" si="27"/>
        <v>0</v>
      </c>
      <c r="R139" s="57">
        <f t="shared" si="28"/>
        <v>0</v>
      </c>
      <c r="S139" s="57">
        <f t="shared" si="29"/>
        <v>0</v>
      </c>
      <c r="T139" s="57">
        <f t="shared" si="30"/>
        <v>0</v>
      </c>
      <c r="U139" s="57">
        <f t="shared" si="31"/>
        <v>0</v>
      </c>
      <c r="V139" s="57">
        <f t="shared" si="32"/>
        <v>0</v>
      </c>
    </row>
    <row r="140" spans="1:22">
      <c r="A140" s="6" t="s">
        <v>19</v>
      </c>
      <c r="B140" s="6" t="s">
        <v>442</v>
      </c>
      <c r="C140" s="88">
        <v>0</v>
      </c>
      <c r="D140" s="88">
        <v>0</v>
      </c>
      <c r="E140" s="88">
        <v>0</v>
      </c>
      <c r="F140" s="88">
        <v>0</v>
      </c>
      <c r="G140" s="88">
        <v>0</v>
      </c>
      <c r="H140" s="88">
        <v>0</v>
      </c>
      <c r="I140" s="88">
        <v>0</v>
      </c>
      <c r="J140" s="6">
        <v>100</v>
      </c>
      <c r="K140" s="6">
        <v>6</v>
      </c>
      <c r="L140" s="9" t="s">
        <v>174</v>
      </c>
      <c r="M140" s="6" t="s">
        <v>7</v>
      </c>
      <c r="N140" s="9" t="s">
        <v>40</v>
      </c>
      <c r="O140" s="6">
        <v>100</v>
      </c>
      <c r="P140" s="57">
        <f t="shared" si="26"/>
        <v>0</v>
      </c>
      <c r="Q140" s="57">
        <f t="shared" si="27"/>
        <v>0</v>
      </c>
      <c r="R140" s="57">
        <f t="shared" si="28"/>
        <v>0</v>
      </c>
      <c r="S140" s="57">
        <f t="shared" si="29"/>
        <v>0</v>
      </c>
      <c r="T140" s="57">
        <f t="shared" si="30"/>
        <v>0</v>
      </c>
      <c r="U140" s="57">
        <f t="shared" si="31"/>
        <v>0</v>
      </c>
      <c r="V140" s="57">
        <f t="shared" si="32"/>
        <v>0</v>
      </c>
    </row>
    <row r="141" spans="1:22">
      <c r="A141" s="6" t="s">
        <v>19</v>
      </c>
      <c r="B141" s="6" t="s">
        <v>443</v>
      </c>
      <c r="C141" s="88">
        <v>0.112</v>
      </c>
      <c r="D141" s="88">
        <v>0</v>
      </c>
      <c r="E141" s="88">
        <v>0</v>
      </c>
      <c r="F141" s="88">
        <v>0</v>
      </c>
      <c r="G141" s="88">
        <v>0</v>
      </c>
      <c r="H141" s="88">
        <v>0</v>
      </c>
      <c r="I141" s="88">
        <v>0</v>
      </c>
      <c r="J141" s="6">
        <v>100</v>
      </c>
      <c r="K141" s="6">
        <v>6</v>
      </c>
      <c r="L141" s="9" t="s">
        <v>174</v>
      </c>
      <c r="M141" s="6" t="s">
        <v>11</v>
      </c>
      <c r="N141" s="9" t="s">
        <v>41</v>
      </c>
      <c r="O141" s="6">
        <v>100</v>
      </c>
      <c r="P141" s="57">
        <f t="shared" si="26"/>
        <v>0.112</v>
      </c>
      <c r="Q141" s="57">
        <f t="shared" si="27"/>
        <v>0</v>
      </c>
      <c r="R141" s="57">
        <f t="shared" si="28"/>
        <v>0</v>
      </c>
      <c r="S141" s="57">
        <f t="shared" si="29"/>
        <v>0</v>
      </c>
      <c r="T141" s="57">
        <f t="shared" si="30"/>
        <v>0</v>
      </c>
      <c r="U141" s="57">
        <f t="shared" si="31"/>
        <v>0</v>
      </c>
      <c r="V141" s="57">
        <f t="shared" si="32"/>
        <v>0</v>
      </c>
    </row>
    <row r="142" spans="1:22">
      <c r="A142" s="6" t="s">
        <v>19</v>
      </c>
      <c r="B142" s="6" t="s">
        <v>444</v>
      </c>
      <c r="C142" s="88">
        <v>3.9E-2</v>
      </c>
      <c r="D142" s="88">
        <v>0</v>
      </c>
      <c r="E142" s="88">
        <v>0</v>
      </c>
      <c r="F142" s="88">
        <v>0</v>
      </c>
      <c r="G142" s="88">
        <v>0</v>
      </c>
      <c r="H142" s="88">
        <v>0</v>
      </c>
      <c r="I142" s="88">
        <v>0</v>
      </c>
      <c r="J142" s="6">
        <v>100</v>
      </c>
      <c r="K142" s="6">
        <v>6</v>
      </c>
      <c r="L142" s="9" t="s">
        <v>174</v>
      </c>
      <c r="M142" s="6" t="s">
        <v>7</v>
      </c>
      <c r="N142" s="9" t="s">
        <v>41</v>
      </c>
      <c r="O142" s="6">
        <v>100</v>
      </c>
      <c r="P142" s="57">
        <f t="shared" si="26"/>
        <v>3.9E-2</v>
      </c>
      <c r="Q142" s="57">
        <f t="shared" si="27"/>
        <v>0</v>
      </c>
      <c r="R142" s="57">
        <f t="shared" si="28"/>
        <v>0</v>
      </c>
      <c r="S142" s="57">
        <f t="shared" si="29"/>
        <v>0</v>
      </c>
      <c r="T142" s="57">
        <f t="shared" si="30"/>
        <v>0</v>
      </c>
      <c r="U142" s="57">
        <f t="shared" si="31"/>
        <v>0</v>
      </c>
      <c r="V142" s="57">
        <f t="shared" si="32"/>
        <v>0</v>
      </c>
    </row>
    <row r="143" spans="1:22">
      <c r="A143" s="6" t="s">
        <v>19</v>
      </c>
      <c r="B143" s="6" t="s">
        <v>445</v>
      </c>
      <c r="C143" s="88">
        <v>12.49</v>
      </c>
      <c r="D143" s="88">
        <v>1E-3</v>
      </c>
      <c r="E143" s="88">
        <v>4.0000000000000001E-3</v>
      </c>
      <c r="F143" s="88">
        <v>4.0000000000000001E-3</v>
      </c>
      <c r="G143" s="88">
        <v>1E-3</v>
      </c>
      <c r="H143" s="88">
        <v>1E-3</v>
      </c>
      <c r="I143" s="88">
        <v>1E-3</v>
      </c>
      <c r="J143" s="6">
        <v>100</v>
      </c>
      <c r="K143" s="6">
        <v>6</v>
      </c>
      <c r="L143" s="9" t="s">
        <v>174</v>
      </c>
      <c r="M143" s="6" t="s">
        <v>449</v>
      </c>
      <c r="N143" s="9" t="s">
        <v>41</v>
      </c>
      <c r="O143" s="6">
        <v>100</v>
      </c>
      <c r="P143" s="57">
        <f t="shared" si="26"/>
        <v>12.49</v>
      </c>
      <c r="Q143" s="57">
        <f t="shared" si="27"/>
        <v>1E-3</v>
      </c>
      <c r="R143" s="57">
        <f t="shared" si="28"/>
        <v>4.0000000000000001E-3</v>
      </c>
      <c r="S143" s="57">
        <f t="shared" si="29"/>
        <v>4.0000000000000001E-3</v>
      </c>
      <c r="T143" s="57">
        <f t="shared" si="30"/>
        <v>1E-3</v>
      </c>
      <c r="U143" s="57">
        <f t="shared" si="31"/>
        <v>1E-3</v>
      </c>
      <c r="V143" s="57">
        <f t="shared" si="32"/>
        <v>1E-3</v>
      </c>
    </row>
    <row r="144" spans="1:22">
      <c r="A144" s="6" t="s">
        <v>19</v>
      </c>
      <c r="B144" s="6" t="s">
        <v>446</v>
      </c>
      <c r="C144" s="88">
        <v>4.9880000000000004</v>
      </c>
      <c r="D144" s="88">
        <v>0</v>
      </c>
      <c r="E144" s="88">
        <v>0</v>
      </c>
      <c r="F144" s="88">
        <v>0</v>
      </c>
      <c r="G144" s="88">
        <v>0</v>
      </c>
      <c r="H144" s="88">
        <v>0</v>
      </c>
      <c r="I144" s="88">
        <v>0</v>
      </c>
      <c r="J144" s="6">
        <v>100</v>
      </c>
      <c r="K144" s="6">
        <v>6</v>
      </c>
      <c r="L144" s="9" t="s">
        <v>174</v>
      </c>
      <c r="M144" s="6" t="s">
        <v>449</v>
      </c>
      <c r="N144" s="9" t="s">
        <v>41</v>
      </c>
      <c r="O144" s="6">
        <v>100</v>
      </c>
      <c r="P144" s="57">
        <f t="shared" si="26"/>
        <v>4.9880000000000004</v>
      </c>
      <c r="Q144" s="57">
        <f t="shared" si="27"/>
        <v>0</v>
      </c>
      <c r="R144" s="57">
        <f t="shared" si="28"/>
        <v>0</v>
      </c>
      <c r="S144" s="57">
        <f t="shared" si="29"/>
        <v>0</v>
      </c>
      <c r="T144" s="57">
        <f t="shared" si="30"/>
        <v>0</v>
      </c>
      <c r="U144" s="57">
        <f t="shared" si="31"/>
        <v>0</v>
      </c>
      <c r="V144" s="57">
        <f t="shared" si="32"/>
        <v>0</v>
      </c>
    </row>
    <row r="145" spans="1:22">
      <c r="A145" s="6" t="s">
        <v>19</v>
      </c>
      <c r="B145" s="6" t="s">
        <v>447</v>
      </c>
      <c r="C145" s="88">
        <v>1.35</v>
      </c>
      <c r="D145" s="88">
        <v>0</v>
      </c>
      <c r="E145" s="88">
        <v>1.792</v>
      </c>
      <c r="F145" s="88">
        <v>0</v>
      </c>
      <c r="G145" s="88">
        <v>0</v>
      </c>
      <c r="H145" s="88">
        <v>0</v>
      </c>
      <c r="I145" s="88">
        <v>0</v>
      </c>
      <c r="J145" s="6">
        <v>100</v>
      </c>
      <c r="K145" s="6">
        <v>6</v>
      </c>
      <c r="L145" s="9" t="s">
        <v>174</v>
      </c>
      <c r="M145" s="6" t="s">
        <v>7</v>
      </c>
      <c r="N145" s="9" t="s">
        <v>41</v>
      </c>
      <c r="O145" s="6">
        <v>100</v>
      </c>
      <c r="P145" s="57">
        <f t="shared" si="26"/>
        <v>1.35</v>
      </c>
      <c r="Q145" s="57">
        <f t="shared" si="27"/>
        <v>0</v>
      </c>
      <c r="R145" s="57">
        <f t="shared" si="28"/>
        <v>1.792</v>
      </c>
      <c r="S145" s="57">
        <f t="shared" si="29"/>
        <v>0</v>
      </c>
      <c r="T145" s="57">
        <f t="shared" si="30"/>
        <v>0</v>
      </c>
      <c r="U145" s="57">
        <f t="shared" si="31"/>
        <v>0</v>
      </c>
      <c r="V145" s="57">
        <f t="shared" si="32"/>
        <v>0</v>
      </c>
    </row>
    <row r="146" spans="1:22">
      <c r="A146" s="6" t="s">
        <v>19</v>
      </c>
      <c r="B146" s="6" t="s">
        <v>450</v>
      </c>
      <c r="C146" s="88">
        <v>5.8440000000000003</v>
      </c>
      <c r="D146" s="88">
        <v>0</v>
      </c>
      <c r="E146" s="88">
        <v>0</v>
      </c>
      <c r="F146" s="88">
        <v>0</v>
      </c>
      <c r="G146" s="88">
        <v>0</v>
      </c>
      <c r="H146" s="88">
        <v>0</v>
      </c>
      <c r="I146" s="88">
        <v>0</v>
      </c>
      <c r="J146" s="6">
        <v>100</v>
      </c>
      <c r="K146" s="6">
        <v>6</v>
      </c>
      <c r="L146" s="9" t="s">
        <v>174</v>
      </c>
      <c r="M146" s="6" t="s">
        <v>455</v>
      </c>
      <c r="N146" s="9" t="s">
        <v>41</v>
      </c>
      <c r="O146" s="6">
        <v>100</v>
      </c>
      <c r="P146" s="57">
        <f t="shared" si="26"/>
        <v>5.8440000000000003</v>
      </c>
      <c r="Q146" s="57">
        <f t="shared" si="27"/>
        <v>0</v>
      </c>
      <c r="R146" s="57">
        <f t="shared" si="28"/>
        <v>0</v>
      </c>
      <c r="S146" s="57">
        <f t="shared" si="29"/>
        <v>0</v>
      </c>
      <c r="T146" s="57">
        <f t="shared" si="30"/>
        <v>0</v>
      </c>
      <c r="U146" s="57">
        <f t="shared" si="31"/>
        <v>0</v>
      </c>
      <c r="V146" s="57">
        <f t="shared" si="32"/>
        <v>0</v>
      </c>
    </row>
    <row r="147" spans="1:22">
      <c r="A147" s="6" t="s">
        <v>19</v>
      </c>
      <c r="B147" s="6" t="s">
        <v>451</v>
      </c>
      <c r="C147" s="88">
        <v>0.41499999999999998</v>
      </c>
      <c r="D147" s="88">
        <v>0</v>
      </c>
      <c r="E147" s="88">
        <v>0</v>
      </c>
      <c r="F147" s="88">
        <v>0</v>
      </c>
      <c r="G147" s="88">
        <v>0</v>
      </c>
      <c r="H147" s="88">
        <v>0</v>
      </c>
      <c r="I147" s="88">
        <v>0</v>
      </c>
      <c r="J147" s="6">
        <v>100</v>
      </c>
      <c r="K147" s="6">
        <v>6</v>
      </c>
      <c r="L147" s="9" t="s">
        <v>174</v>
      </c>
      <c r="M147" s="6" t="s">
        <v>455</v>
      </c>
      <c r="N147" s="9" t="s">
        <v>41</v>
      </c>
      <c r="O147" s="6">
        <v>100</v>
      </c>
      <c r="P147" s="57">
        <f t="shared" si="26"/>
        <v>0.41499999999999998</v>
      </c>
      <c r="Q147" s="57">
        <f t="shared" si="27"/>
        <v>0</v>
      </c>
      <c r="R147" s="57">
        <f t="shared" si="28"/>
        <v>0</v>
      </c>
      <c r="S147" s="57">
        <f t="shared" si="29"/>
        <v>0</v>
      </c>
      <c r="T147" s="57">
        <f t="shared" si="30"/>
        <v>0</v>
      </c>
      <c r="U147" s="57">
        <f t="shared" si="31"/>
        <v>0</v>
      </c>
      <c r="V147" s="57">
        <f t="shared" si="32"/>
        <v>0</v>
      </c>
    </row>
    <row r="148" spans="1:22">
      <c r="A148" s="6" t="s">
        <v>19</v>
      </c>
      <c r="B148" s="6" t="s">
        <v>452</v>
      </c>
      <c r="C148" s="88">
        <v>0</v>
      </c>
      <c r="D148" s="88">
        <v>8.9999999999999993E-3</v>
      </c>
      <c r="E148" s="88">
        <v>0.01</v>
      </c>
      <c r="F148" s="88">
        <v>0.01</v>
      </c>
      <c r="G148" s="88">
        <v>0.01</v>
      </c>
      <c r="H148" s="88">
        <v>0.01</v>
      </c>
      <c r="I148" s="88">
        <v>0.01</v>
      </c>
      <c r="J148" s="6">
        <v>100</v>
      </c>
      <c r="K148" s="6">
        <v>6</v>
      </c>
      <c r="L148" s="9" t="s">
        <v>174</v>
      </c>
      <c r="M148" s="6" t="s">
        <v>456</v>
      </c>
      <c r="N148" s="9" t="s">
        <v>41</v>
      </c>
      <c r="O148" s="6">
        <v>100</v>
      </c>
      <c r="P148" s="57">
        <f t="shared" si="26"/>
        <v>0</v>
      </c>
      <c r="Q148" s="57">
        <f t="shared" si="27"/>
        <v>8.9999999999999993E-3</v>
      </c>
      <c r="R148" s="57">
        <f t="shared" si="28"/>
        <v>0.01</v>
      </c>
      <c r="S148" s="57">
        <f t="shared" si="29"/>
        <v>0.01</v>
      </c>
      <c r="T148" s="57">
        <f t="shared" si="30"/>
        <v>0.01</v>
      </c>
      <c r="U148" s="57">
        <f t="shared" si="31"/>
        <v>0.01</v>
      </c>
      <c r="V148" s="57">
        <f t="shared" si="32"/>
        <v>0.01</v>
      </c>
    </row>
    <row r="149" spans="1:22">
      <c r="A149" s="6" t="s">
        <v>19</v>
      </c>
      <c r="B149" s="6" t="s">
        <v>453</v>
      </c>
      <c r="C149" s="88">
        <v>0.76200000000000001</v>
      </c>
      <c r="D149" s="88">
        <v>0</v>
      </c>
      <c r="E149" s="88">
        <v>0</v>
      </c>
      <c r="F149" s="88">
        <v>0</v>
      </c>
      <c r="G149" s="88">
        <v>0</v>
      </c>
      <c r="H149" s="88">
        <v>0</v>
      </c>
      <c r="I149" s="88">
        <v>0</v>
      </c>
      <c r="J149" s="6">
        <v>100</v>
      </c>
      <c r="K149" s="6">
        <v>4</v>
      </c>
      <c r="L149" s="101" t="s">
        <v>322</v>
      </c>
      <c r="M149" s="6" t="s">
        <v>7</v>
      </c>
      <c r="N149" s="9" t="s">
        <v>41</v>
      </c>
      <c r="O149" s="6">
        <v>100</v>
      </c>
      <c r="P149" s="57">
        <f t="shared" si="26"/>
        <v>0.76200000000000001</v>
      </c>
      <c r="Q149" s="57">
        <f t="shared" si="27"/>
        <v>0</v>
      </c>
      <c r="R149" s="57">
        <f t="shared" si="28"/>
        <v>0</v>
      </c>
      <c r="S149" s="57">
        <f t="shared" si="29"/>
        <v>0</v>
      </c>
      <c r="T149" s="57">
        <f t="shared" si="30"/>
        <v>0</v>
      </c>
      <c r="U149" s="57">
        <f t="shared" si="31"/>
        <v>0</v>
      </c>
      <c r="V149" s="57">
        <f t="shared" si="32"/>
        <v>0</v>
      </c>
    </row>
    <row r="150" spans="1:22">
      <c r="A150" s="6" t="s">
        <v>19</v>
      </c>
      <c r="B150" s="6" t="s">
        <v>457</v>
      </c>
      <c r="C150" s="88">
        <v>0.09</v>
      </c>
      <c r="D150" s="88">
        <v>0</v>
      </c>
      <c r="E150" s="88">
        <v>0</v>
      </c>
      <c r="F150" s="88">
        <v>0</v>
      </c>
      <c r="G150" s="88">
        <v>0</v>
      </c>
      <c r="H150" s="88">
        <v>0</v>
      </c>
      <c r="I150" s="88">
        <v>0</v>
      </c>
      <c r="J150" s="6">
        <v>100</v>
      </c>
      <c r="K150" s="6">
        <v>6</v>
      </c>
      <c r="L150" s="9" t="s">
        <v>174</v>
      </c>
      <c r="M150" s="6" t="s">
        <v>7</v>
      </c>
      <c r="N150" s="9" t="s">
        <v>41</v>
      </c>
      <c r="O150" s="6">
        <v>100</v>
      </c>
      <c r="P150" s="57">
        <f t="shared" si="26"/>
        <v>0.09</v>
      </c>
      <c r="Q150" s="57">
        <f t="shared" si="27"/>
        <v>0</v>
      </c>
      <c r="R150" s="57">
        <f t="shared" si="28"/>
        <v>0</v>
      </c>
      <c r="S150" s="57">
        <f t="shared" si="29"/>
        <v>0</v>
      </c>
      <c r="T150" s="57">
        <f t="shared" si="30"/>
        <v>0</v>
      </c>
      <c r="U150" s="57">
        <f t="shared" si="31"/>
        <v>0</v>
      </c>
      <c r="V150" s="57">
        <f t="shared" si="32"/>
        <v>0</v>
      </c>
    </row>
    <row r="151" spans="1:22">
      <c r="A151" s="6" t="s">
        <v>19</v>
      </c>
      <c r="B151" s="6" t="s">
        <v>298</v>
      </c>
      <c r="C151" s="88">
        <v>3.282</v>
      </c>
      <c r="D151" s="88">
        <v>1.907</v>
      </c>
      <c r="E151" s="88">
        <v>1.427</v>
      </c>
      <c r="F151" s="88">
        <v>0.78900000000000003</v>
      </c>
      <c r="G151" s="88">
        <v>0.502</v>
      </c>
      <c r="H151" s="88">
        <v>0.502</v>
      </c>
      <c r="I151" s="88">
        <v>0.502</v>
      </c>
      <c r="J151" s="6">
        <v>100</v>
      </c>
      <c r="K151" s="59" t="s">
        <v>299</v>
      </c>
      <c r="L151" s="101"/>
      <c r="M151" s="6" t="s">
        <v>20</v>
      </c>
      <c r="N151" s="9" t="s">
        <v>41</v>
      </c>
      <c r="O151" s="59">
        <v>100</v>
      </c>
      <c r="P151" s="57">
        <f t="shared" si="26"/>
        <v>3.282</v>
      </c>
      <c r="Q151" s="57">
        <f t="shared" si="27"/>
        <v>1.907</v>
      </c>
      <c r="R151" s="57">
        <f t="shared" si="28"/>
        <v>1.427</v>
      </c>
      <c r="S151" s="57">
        <f t="shared" si="29"/>
        <v>0.78900000000000003</v>
      </c>
      <c r="T151" s="57">
        <f t="shared" si="30"/>
        <v>0.502</v>
      </c>
      <c r="U151" s="57">
        <f t="shared" si="31"/>
        <v>0.502</v>
      </c>
      <c r="V151" s="57">
        <f t="shared" si="32"/>
        <v>0.502</v>
      </c>
    </row>
    <row r="152" spans="1:22">
      <c r="A152" s="6" t="s">
        <v>19</v>
      </c>
      <c r="B152" s="6" t="s">
        <v>454</v>
      </c>
      <c r="C152" s="88">
        <v>4.0000000000000001E-3</v>
      </c>
      <c r="D152" s="88">
        <v>0</v>
      </c>
      <c r="E152" s="88">
        <v>0</v>
      </c>
      <c r="F152" s="88">
        <v>0</v>
      </c>
      <c r="G152" s="88">
        <v>0</v>
      </c>
      <c r="H152" s="88">
        <v>0</v>
      </c>
      <c r="I152" s="88">
        <v>0</v>
      </c>
      <c r="J152" s="6">
        <v>20</v>
      </c>
      <c r="K152" s="59">
        <v>10</v>
      </c>
      <c r="L152" s="101" t="s">
        <v>68</v>
      </c>
      <c r="M152" s="6" t="s">
        <v>455</v>
      </c>
      <c r="N152" s="9" t="s">
        <v>41</v>
      </c>
      <c r="O152" s="59">
        <v>20</v>
      </c>
      <c r="P152" s="57">
        <f t="shared" si="26"/>
        <v>4.0000000000000001E-3</v>
      </c>
      <c r="Q152" s="57">
        <f t="shared" si="27"/>
        <v>0</v>
      </c>
      <c r="R152" s="57">
        <f t="shared" si="28"/>
        <v>0</v>
      </c>
      <c r="S152" s="57">
        <f t="shared" si="29"/>
        <v>0</v>
      </c>
      <c r="T152" s="57">
        <f t="shared" si="30"/>
        <v>0</v>
      </c>
      <c r="U152" s="57">
        <f t="shared" si="31"/>
        <v>0</v>
      </c>
      <c r="V152" s="57">
        <f t="shared" si="32"/>
        <v>0</v>
      </c>
    </row>
    <row r="153" spans="1:22">
      <c r="A153" s="6" t="s">
        <v>458</v>
      </c>
      <c r="B153" s="6" t="s">
        <v>515</v>
      </c>
      <c r="C153" s="88">
        <v>3.0000000000000001E-3</v>
      </c>
      <c r="D153" s="88">
        <v>0.498</v>
      </c>
      <c r="E153" s="88">
        <v>13.31</v>
      </c>
      <c r="F153" s="88">
        <v>68.664000000000001</v>
      </c>
      <c r="G153" s="88">
        <v>43.093000000000004</v>
      </c>
      <c r="H153" s="88">
        <v>43.093000000000004</v>
      </c>
      <c r="I153" s="88">
        <v>43.451999999999998</v>
      </c>
      <c r="J153" s="6">
        <v>100</v>
      </c>
      <c r="K153" s="6">
        <v>3</v>
      </c>
      <c r="L153" s="6" t="s">
        <v>96</v>
      </c>
      <c r="M153" s="6" t="s">
        <v>10</v>
      </c>
      <c r="N153" s="9" t="s">
        <v>41</v>
      </c>
      <c r="O153" s="59">
        <v>50</v>
      </c>
      <c r="P153" s="57">
        <f t="shared" si="26"/>
        <v>1.5E-3</v>
      </c>
      <c r="Q153" s="57">
        <f t="shared" si="27"/>
        <v>0.249</v>
      </c>
      <c r="R153" s="57">
        <f t="shared" si="28"/>
        <v>6.6550000000000002</v>
      </c>
      <c r="S153" s="57">
        <f t="shared" si="29"/>
        <v>34.332000000000001</v>
      </c>
      <c r="T153" s="57">
        <f t="shared" si="30"/>
        <v>21.546500000000002</v>
      </c>
      <c r="U153" s="57">
        <f t="shared" si="31"/>
        <v>21.546500000000002</v>
      </c>
      <c r="V153" s="57">
        <f t="shared" si="32"/>
        <v>21.725999999999999</v>
      </c>
    </row>
    <row r="154" spans="1:22">
      <c r="A154" s="6" t="s">
        <v>458</v>
      </c>
      <c r="B154" s="6" t="s">
        <v>516</v>
      </c>
      <c r="C154" s="88">
        <v>4.617</v>
      </c>
      <c r="D154" s="88">
        <v>6.3710000000000004</v>
      </c>
      <c r="E154" s="88">
        <v>0.35299999999999998</v>
      </c>
      <c r="F154" s="88">
        <v>0.35199999999999998</v>
      </c>
      <c r="G154" s="88">
        <v>5.0000000000000001E-3</v>
      </c>
      <c r="H154" s="88">
        <v>5.0000000000000001E-3</v>
      </c>
      <c r="I154" s="88">
        <v>5.0000000000000001E-3</v>
      </c>
      <c r="J154" s="6">
        <v>100</v>
      </c>
      <c r="K154" s="6">
        <v>3</v>
      </c>
      <c r="L154" s="6" t="s">
        <v>96</v>
      </c>
      <c r="M154" s="6" t="s">
        <v>10</v>
      </c>
      <c r="N154" s="9" t="s">
        <v>41</v>
      </c>
      <c r="O154" s="59">
        <v>50</v>
      </c>
      <c r="P154" s="57">
        <f t="shared" si="26"/>
        <v>2.3085</v>
      </c>
      <c r="Q154" s="57">
        <f t="shared" si="27"/>
        <v>3.1855000000000002</v>
      </c>
      <c r="R154" s="57">
        <f t="shared" si="28"/>
        <v>0.17649999999999999</v>
      </c>
      <c r="S154" s="57">
        <f t="shared" si="29"/>
        <v>0.17599999999999999</v>
      </c>
      <c r="T154" s="57">
        <f t="shared" si="30"/>
        <v>2.5000000000000001E-3</v>
      </c>
      <c r="U154" s="57">
        <f t="shared" si="31"/>
        <v>2.5000000000000001E-3</v>
      </c>
      <c r="V154" s="57">
        <f t="shared" si="32"/>
        <v>2.5000000000000001E-3</v>
      </c>
    </row>
    <row r="155" spans="1:22">
      <c r="A155" s="6" t="s">
        <v>458</v>
      </c>
      <c r="B155" s="6" t="s">
        <v>517</v>
      </c>
      <c r="C155" s="88">
        <v>61.978999999999999</v>
      </c>
      <c r="D155" s="88">
        <v>63.194000000000003</v>
      </c>
      <c r="E155" s="88">
        <v>54.947000000000003</v>
      </c>
      <c r="F155" s="88">
        <v>25.167999999999999</v>
      </c>
      <c r="G155" s="88">
        <v>25.167999999999999</v>
      </c>
      <c r="H155" s="88">
        <v>25.167999999999999</v>
      </c>
      <c r="I155" s="88">
        <v>25.167999999999999</v>
      </c>
      <c r="J155" s="6">
        <v>100</v>
      </c>
      <c r="K155" s="6">
        <v>3</v>
      </c>
      <c r="L155" s="6" t="s">
        <v>96</v>
      </c>
      <c r="M155" s="6" t="s">
        <v>10</v>
      </c>
      <c r="N155" s="9" t="s">
        <v>41</v>
      </c>
      <c r="O155" s="59">
        <v>50</v>
      </c>
      <c r="P155" s="57">
        <f t="shared" si="26"/>
        <v>30.9895</v>
      </c>
      <c r="Q155" s="57">
        <f t="shared" si="27"/>
        <v>31.597000000000001</v>
      </c>
      <c r="R155" s="57">
        <f t="shared" si="28"/>
        <v>27.473500000000001</v>
      </c>
      <c r="S155" s="57">
        <f t="shared" si="29"/>
        <v>12.584</v>
      </c>
      <c r="T155" s="57">
        <f t="shared" si="30"/>
        <v>12.584</v>
      </c>
      <c r="U155" s="57">
        <f t="shared" si="31"/>
        <v>12.584</v>
      </c>
      <c r="V155" s="57">
        <f t="shared" si="32"/>
        <v>12.584</v>
      </c>
    </row>
    <row r="156" spans="1:22">
      <c r="A156" s="6" t="s">
        <v>333</v>
      </c>
      <c r="B156" s="6" t="s">
        <v>519</v>
      </c>
      <c r="C156" s="88">
        <v>2.2890000000000001</v>
      </c>
      <c r="D156" s="88">
        <v>2.6389999999999998</v>
      </c>
      <c r="E156" s="88">
        <v>2.9119999999999999</v>
      </c>
      <c r="F156" s="88">
        <v>2.9119999999999999</v>
      </c>
      <c r="G156" s="88">
        <v>2.9119999999999999</v>
      </c>
      <c r="H156" s="88">
        <v>2.9119999999999999</v>
      </c>
      <c r="I156" s="88">
        <v>2.9119999999999999</v>
      </c>
      <c r="J156" s="6">
        <v>100</v>
      </c>
      <c r="K156" s="6">
        <v>6</v>
      </c>
      <c r="L156" s="9" t="s">
        <v>174</v>
      </c>
      <c r="M156" s="6" t="s">
        <v>332</v>
      </c>
      <c r="N156" s="9" t="s">
        <v>41</v>
      </c>
      <c r="O156" s="59">
        <v>0</v>
      </c>
    </row>
    <row r="157" spans="1:22">
      <c r="A157" s="6" t="s">
        <v>333</v>
      </c>
      <c r="B157" s="6" t="s">
        <v>520</v>
      </c>
      <c r="C157" s="88">
        <v>0.06</v>
      </c>
      <c r="D157" s="88">
        <v>0.59499999999999997</v>
      </c>
      <c r="E157" s="88">
        <v>0.56200000000000006</v>
      </c>
      <c r="F157" s="88">
        <v>0.56200000000000006</v>
      </c>
      <c r="G157" s="88">
        <v>0.56200000000000006</v>
      </c>
      <c r="H157" s="88">
        <v>0.56200000000000006</v>
      </c>
      <c r="I157" s="88">
        <v>0.56200000000000006</v>
      </c>
      <c r="J157" s="6">
        <v>100</v>
      </c>
      <c r="K157" s="6">
        <v>6</v>
      </c>
      <c r="L157" s="9" t="s">
        <v>174</v>
      </c>
      <c r="M157" s="6" t="s">
        <v>332</v>
      </c>
      <c r="N157" s="9" t="s">
        <v>41</v>
      </c>
      <c r="O157" s="59">
        <v>0</v>
      </c>
    </row>
    <row r="158" spans="1:22">
      <c r="A158" s="6" t="s">
        <v>518</v>
      </c>
      <c r="B158" s="6" t="s">
        <v>521</v>
      </c>
      <c r="C158" s="88">
        <v>0.55600000000000005</v>
      </c>
      <c r="D158" s="88">
        <v>0</v>
      </c>
      <c r="E158" s="88">
        <v>0</v>
      </c>
      <c r="F158" s="88">
        <v>0</v>
      </c>
      <c r="G158" s="88">
        <v>0</v>
      </c>
      <c r="H158" s="88">
        <v>0</v>
      </c>
      <c r="I158" s="88">
        <v>0</v>
      </c>
      <c r="J158" s="6">
        <v>100</v>
      </c>
      <c r="K158" s="6">
        <v>6</v>
      </c>
      <c r="L158" s="9" t="s">
        <v>174</v>
      </c>
      <c r="M158" s="6" t="s">
        <v>332</v>
      </c>
      <c r="N158" s="9" t="s">
        <v>41</v>
      </c>
      <c r="O158" s="59">
        <v>0</v>
      </c>
    </row>
    <row r="159" spans="1:22">
      <c r="A159" s="6" t="s">
        <v>518</v>
      </c>
      <c r="B159" s="6" t="s">
        <v>520</v>
      </c>
      <c r="C159" s="88">
        <v>0</v>
      </c>
      <c r="D159" s="88">
        <v>0</v>
      </c>
      <c r="E159" s="88">
        <v>0</v>
      </c>
      <c r="F159" s="88">
        <v>0</v>
      </c>
      <c r="G159" s="88">
        <v>0</v>
      </c>
      <c r="H159" s="88">
        <v>0</v>
      </c>
      <c r="I159" s="88">
        <v>0</v>
      </c>
      <c r="J159" s="6">
        <v>100</v>
      </c>
      <c r="K159" s="6">
        <v>6</v>
      </c>
      <c r="L159" s="9" t="s">
        <v>174</v>
      </c>
      <c r="M159" s="6" t="s">
        <v>332</v>
      </c>
      <c r="N159" s="9" t="s">
        <v>41</v>
      </c>
      <c r="O159" s="59">
        <v>0</v>
      </c>
    </row>
    <row r="160" spans="1:22">
      <c r="A160" s="6" t="s">
        <v>258</v>
      </c>
      <c r="B160" s="6" t="s">
        <v>522</v>
      </c>
      <c r="C160" s="88">
        <v>0.112</v>
      </c>
      <c r="D160" s="88">
        <v>0</v>
      </c>
      <c r="E160" s="88">
        <v>0</v>
      </c>
      <c r="F160" s="88">
        <v>0</v>
      </c>
      <c r="G160" s="88">
        <v>0</v>
      </c>
      <c r="H160" s="88">
        <v>0</v>
      </c>
      <c r="I160" s="88">
        <v>0</v>
      </c>
      <c r="J160" s="6">
        <v>100</v>
      </c>
      <c r="K160" s="6">
        <v>6</v>
      </c>
      <c r="L160" s="9" t="s">
        <v>174</v>
      </c>
      <c r="M160" s="6" t="s">
        <v>332</v>
      </c>
      <c r="N160" s="9" t="s">
        <v>41</v>
      </c>
      <c r="O160" s="59">
        <v>0</v>
      </c>
    </row>
    <row r="161" spans="1:22">
      <c r="A161" s="6" t="s">
        <v>333</v>
      </c>
      <c r="B161" s="6" t="s">
        <v>334</v>
      </c>
      <c r="C161" s="88">
        <v>0.95699999999999996</v>
      </c>
      <c r="D161" s="88">
        <v>3.27</v>
      </c>
      <c r="E161" s="88">
        <v>2.5</v>
      </c>
      <c r="F161" s="88">
        <v>2.5</v>
      </c>
      <c r="G161" s="88">
        <v>2.5</v>
      </c>
      <c r="H161" s="88">
        <v>0</v>
      </c>
      <c r="I161" s="88">
        <v>0</v>
      </c>
      <c r="J161" s="6">
        <v>100</v>
      </c>
      <c r="K161" s="6">
        <v>1.6</v>
      </c>
      <c r="L161" s="101"/>
      <c r="M161" s="6" t="s">
        <v>11</v>
      </c>
      <c r="N161" s="9" t="s">
        <v>41</v>
      </c>
      <c r="O161" s="59">
        <v>50</v>
      </c>
      <c r="P161" s="57">
        <f t="shared" ref="P161:V166" si="33">+$O161/$J161*C161</f>
        <v>0.47849999999999998</v>
      </c>
      <c r="Q161" s="57">
        <f t="shared" si="33"/>
        <v>1.635</v>
      </c>
      <c r="R161" s="57">
        <f t="shared" si="33"/>
        <v>1.25</v>
      </c>
      <c r="S161" s="57">
        <f t="shared" si="33"/>
        <v>1.25</v>
      </c>
      <c r="T161" s="57">
        <f t="shared" si="33"/>
        <v>1.25</v>
      </c>
      <c r="U161" s="57">
        <f t="shared" si="33"/>
        <v>0</v>
      </c>
      <c r="V161" s="57">
        <f t="shared" si="33"/>
        <v>0</v>
      </c>
    </row>
    <row r="162" spans="1:22">
      <c r="A162" s="6" t="s">
        <v>641</v>
      </c>
      <c r="B162" s="6" t="s">
        <v>459</v>
      </c>
      <c r="C162" s="88">
        <v>0</v>
      </c>
      <c r="D162" s="88">
        <v>0</v>
      </c>
      <c r="E162" s="88">
        <v>0</v>
      </c>
      <c r="F162" s="88">
        <v>0</v>
      </c>
      <c r="G162" s="88">
        <v>0</v>
      </c>
      <c r="H162" s="88">
        <v>0</v>
      </c>
      <c r="I162" s="88">
        <v>0</v>
      </c>
      <c r="J162" s="6">
        <v>70</v>
      </c>
      <c r="K162" s="6">
        <v>4</v>
      </c>
      <c r="L162" s="101" t="s">
        <v>322</v>
      </c>
      <c r="M162" s="6" t="s">
        <v>4</v>
      </c>
      <c r="N162" s="9" t="s">
        <v>41</v>
      </c>
      <c r="O162" s="59">
        <v>50</v>
      </c>
      <c r="P162" s="57">
        <f t="shared" si="33"/>
        <v>0</v>
      </c>
      <c r="Q162" s="57">
        <f t="shared" si="33"/>
        <v>0</v>
      </c>
      <c r="R162" s="57">
        <f t="shared" si="33"/>
        <v>0</v>
      </c>
      <c r="S162" s="57">
        <f t="shared" si="33"/>
        <v>0</v>
      </c>
      <c r="T162" s="57">
        <f t="shared" si="33"/>
        <v>0</v>
      </c>
      <c r="U162" s="57">
        <f t="shared" si="33"/>
        <v>0</v>
      </c>
      <c r="V162" s="57">
        <f t="shared" si="33"/>
        <v>0</v>
      </c>
    </row>
    <row r="163" spans="1:22">
      <c r="A163" s="6" t="s">
        <v>641</v>
      </c>
      <c r="B163" s="6" t="s">
        <v>460</v>
      </c>
      <c r="C163" s="88">
        <v>5.0149999999999997</v>
      </c>
      <c r="D163" s="88">
        <v>2.121</v>
      </c>
      <c r="E163" s="88">
        <v>1.7609999999999999</v>
      </c>
      <c r="F163" s="88">
        <v>2.4670000000000001</v>
      </c>
      <c r="G163" s="88">
        <v>2.7730000000000001</v>
      </c>
      <c r="H163" s="88">
        <v>2.94</v>
      </c>
      <c r="I163" s="88">
        <v>2.8250000000000002</v>
      </c>
      <c r="J163" s="6">
        <v>30</v>
      </c>
      <c r="K163" s="6">
        <v>4</v>
      </c>
      <c r="L163" s="101" t="s">
        <v>322</v>
      </c>
      <c r="M163" s="6" t="s">
        <v>23</v>
      </c>
      <c r="N163" s="9" t="s">
        <v>41</v>
      </c>
      <c r="O163" s="59">
        <v>30</v>
      </c>
      <c r="P163" s="57">
        <f t="shared" si="33"/>
        <v>5.0149999999999997</v>
      </c>
      <c r="Q163" s="57">
        <f t="shared" si="33"/>
        <v>2.121</v>
      </c>
      <c r="R163" s="57">
        <f t="shared" si="33"/>
        <v>1.7609999999999999</v>
      </c>
      <c r="S163" s="57">
        <f t="shared" si="33"/>
        <v>2.4670000000000001</v>
      </c>
      <c r="T163" s="57">
        <f t="shared" si="33"/>
        <v>2.7730000000000001</v>
      </c>
      <c r="U163" s="57">
        <f t="shared" si="33"/>
        <v>2.94</v>
      </c>
      <c r="V163" s="57">
        <f t="shared" si="33"/>
        <v>2.8250000000000002</v>
      </c>
    </row>
    <row r="164" spans="1:22">
      <c r="A164" s="6" t="s">
        <v>624</v>
      </c>
      <c r="B164" s="6" t="s">
        <v>625</v>
      </c>
      <c r="C164" s="88">
        <v>0</v>
      </c>
      <c r="D164" s="88">
        <v>0</v>
      </c>
      <c r="E164" s="88">
        <v>3.0550000000000002</v>
      </c>
      <c r="F164" s="88">
        <v>4.7539999999999996</v>
      </c>
      <c r="G164" s="88">
        <v>4.875</v>
      </c>
      <c r="H164" s="88">
        <v>4.9969999999999999</v>
      </c>
      <c r="I164" s="88">
        <v>4.9969999999999999</v>
      </c>
      <c r="J164" s="6">
        <v>95</v>
      </c>
      <c r="K164" s="6" t="s">
        <v>626</v>
      </c>
      <c r="L164" s="101"/>
      <c r="M164" s="6" t="s">
        <v>627</v>
      </c>
      <c r="N164" s="9" t="s">
        <v>41</v>
      </c>
      <c r="O164" s="59">
        <v>95</v>
      </c>
      <c r="P164" s="57">
        <f t="shared" si="33"/>
        <v>0</v>
      </c>
      <c r="Q164" s="57">
        <f t="shared" si="33"/>
        <v>0</v>
      </c>
      <c r="R164" s="57">
        <f t="shared" si="33"/>
        <v>3.0550000000000002</v>
      </c>
      <c r="S164" s="57">
        <f t="shared" si="33"/>
        <v>4.7539999999999996</v>
      </c>
      <c r="T164" s="57">
        <f t="shared" si="33"/>
        <v>4.875</v>
      </c>
      <c r="U164" s="57">
        <f t="shared" si="33"/>
        <v>4.9969999999999999</v>
      </c>
      <c r="V164" s="57">
        <f t="shared" si="33"/>
        <v>4.9969999999999999</v>
      </c>
    </row>
    <row r="165" spans="1:22">
      <c r="A165" s="103" t="s">
        <v>258</v>
      </c>
      <c r="B165" s="122" t="s">
        <v>259</v>
      </c>
      <c r="C165" s="123">
        <v>11.207000000000001</v>
      </c>
      <c r="D165" s="123">
        <v>10.141</v>
      </c>
      <c r="E165" s="123">
        <v>8.2390000000000008</v>
      </c>
      <c r="F165" s="123">
        <v>7.008</v>
      </c>
      <c r="G165" s="123">
        <v>7.2270000000000003</v>
      </c>
      <c r="H165" s="123">
        <v>7.0609999999999999</v>
      </c>
      <c r="I165" s="123">
        <v>6.9530000000000003</v>
      </c>
      <c r="J165" s="124">
        <v>30</v>
      </c>
      <c r="K165" s="10" t="s">
        <v>628</v>
      </c>
      <c r="M165" s="103" t="s">
        <v>11</v>
      </c>
      <c r="N165" s="6" t="s">
        <v>41</v>
      </c>
      <c r="O165" s="10">
        <v>30</v>
      </c>
      <c r="P165" s="57">
        <f t="shared" si="33"/>
        <v>11.207000000000001</v>
      </c>
      <c r="Q165" s="57">
        <f t="shared" si="33"/>
        <v>10.141</v>
      </c>
      <c r="R165" s="57">
        <f t="shared" si="33"/>
        <v>8.2390000000000008</v>
      </c>
      <c r="S165" s="57">
        <f t="shared" si="33"/>
        <v>7.008</v>
      </c>
      <c r="T165" s="57">
        <f t="shared" si="33"/>
        <v>7.2270000000000003</v>
      </c>
      <c r="U165" s="57">
        <f t="shared" si="33"/>
        <v>7.0609999999999999</v>
      </c>
      <c r="V165" s="57">
        <f t="shared" si="33"/>
        <v>6.9530000000000003</v>
      </c>
    </row>
    <row r="166" spans="1:22">
      <c r="A166" s="103" t="s">
        <v>258</v>
      </c>
      <c r="B166" s="9" t="s">
        <v>238</v>
      </c>
      <c r="C166" s="123">
        <v>2.0710000000000002</v>
      </c>
      <c r="D166" s="123">
        <v>0</v>
      </c>
      <c r="E166" s="123">
        <v>0</v>
      </c>
      <c r="F166" s="123">
        <v>0</v>
      </c>
      <c r="G166" s="123">
        <v>0</v>
      </c>
      <c r="H166" s="123">
        <v>0</v>
      </c>
      <c r="I166" s="123">
        <v>0</v>
      </c>
      <c r="J166" s="124">
        <v>35</v>
      </c>
      <c r="K166" s="10">
        <v>6</v>
      </c>
      <c r="L166" s="9" t="s">
        <v>174</v>
      </c>
      <c r="M166" s="103" t="s">
        <v>23</v>
      </c>
      <c r="N166" s="6" t="s">
        <v>41</v>
      </c>
      <c r="O166" s="10">
        <v>35</v>
      </c>
      <c r="P166" s="57">
        <f t="shared" si="33"/>
        <v>2.0710000000000002</v>
      </c>
      <c r="Q166" s="57">
        <f t="shared" si="33"/>
        <v>0</v>
      </c>
      <c r="R166" s="57">
        <f t="shared" si="33"/>
        <v>0</v>
      </c>
      <c r="S166" s="57">
        <f t="shared" si="33"/>
        <v>0</v>
      </c>
      <c r="T166" s="57">
        <f t="shared" si="33"/>
        <v>0</v>
      </c>
      <c r="U166" s="57">
        <f t="shared" si="33"/>
        <v>0</v>
      </c>
      <c r="V166" s="57">
        <f t="shared" si="33"/>
        <v>0</v>
      </c>
    </row>
    <row r="167" spans="1:22" s="69" customFormat="1" ht="15">
      <c r="A167" s="69" t="s">
        <v>337</v>
      </c>
      <c r="B167" s="106" t="s">
        <v>339</v>
      </c>
      <c r="C167" s="107"/>
      <c r="D167" s="107"/>
      <c r="E167" s="107"/>
      <c r="F167" s="107"/>
      <c r="G167" s="107"/>
      <c r="H167" s="107"/>
      <c r="I167" s="107"/>
      <c r="L167" s="21"/>
      <c r="O167" s="108"/>
      <c r="P167" s="121">
        <f t="shared" ref="P167:V167" si="34">+SUM(P168:P178)</f>
        <v>77.203999999999994</v>
      </c>
      <c r="Q167" s="121">
        <f t="shared" si="34"/>
        <v>140.351</v>
      </c>
      <c r="R167" s="121">
        <f t="shared" si="34"/>
        <v>117.26900000000001</v>
      </c>
      <c r="S167" s="121">
        <f t="shared" si="34"/>
        <v>118.55800000000001</v>
      </c>
      <c r="T167" s="121">
        <f t="shared" si="34"/>
        <v>119.79299999999998</v>
      </c>
      <c r="U167" s="121">
        <f t="shared" si="34"/>
        <v>125.12400000000001</v>
      </c>
      <c r="V167" s="121">
        <f t="shared" si="34"/>
        <v>115.465</v>
      </c>
    </row>
    <row r="168" spans="1:22">
      <c r="A168" s="6" t="s">
        <v>37</v>
      </c>
      <c r="B168" s="6" t="s">
        <v>462</v>
      </c>
      <c r="C168" s="88">
        <v>28.227</v>
      </c>
      <c r="D168" s="88">
        <v>33.277999999999999</v>
      </c>
      <c r="E168" s="88">
        <v>34.985999999999997</v>
      </c>
      <c r="F168" s="88">
        <v>35.46</v>
      </c>
      <c r="G168" s="88">
        <v>35.622</v>
      </c>
      <c r="H168" s="88">
        <v>39.804000000000002</v>
      </c>
      <c r="I168" s="88">
        <v>39.966000000000001</v>
      </c>
      <c r="J168" s="6">
        <v>100</v>
      </c>
      <c r="K168" s="6" t="s">
        <v>528</v>
      </c>
      <c r="L168" s="9" t="s">
        <v>174</v>
      </c>
      <c r="M168" s="6" t="s">
        <v>11</v>
      </c>
      <c r="N168" s="9" t="s">
        <v>41</v>
      </c>
      <c r="O168" s="59">
        <v>100</v>
      </c>
      <c r="P168" s="57">
        <f t="shared" ref="P168:V170" si="35">+$O168/$J168*C168</f>
        <v>28.227</v>
      </c>
      <c r="Q168" s="57">
        <f t="shared" si="35"/>
        <v>33.277999999999999</v>
      </c>
      <c r="R168" s="57">
        <f t="shared" si="35"/>
        <v>34.985999999999997</v>
      </c>
      <c r="S168" s="57">
        <f t="shared" si="35"/>
        <v>35.46</v>
      </c>
      <c r="T168" s="57">
        <f t="shared" si="35"/>
        <v>35.622</v>
      </c>
      <c r="U168" s="57">
        <f t="shared" si="35"/>
        <v>39.804000000000002</v>
      </c>
      <c r="V168" s="57">
        <f t="shared" si="35"/>
        <v>39.966000000000001</v>
      </c>
    </row>
    <row r="169" spans="1:22">
      <c r="A169" s="6" t="s">
        <v>37</v>
      </c>
      <c r="B169" s="6" t="s">
        <v>463</v>
      </c>
      <c r="C169" s="88">
        <v>16.574999999999999</v>
      </c>
      <c r="D169" s="88">
        <v>16.922999999999998</v>
      </c>
      <c r="E169" s="88">
        <v>18.010999999999999</v>
      </c>
      <c r="F169" s="88">
        <v>19.745000000000001</v>
      </c>
      <c r="G169" s="88">
        <v>20.56</v>
      </c>
      <c r="H169" s="88">
        <v>17.195</v>
      </c>
      <c r="I169" s="88">
        <v>16.966999999999999</v>
      </c>
      <c r="J169" s="6">
        <v>100</v>
      </c>
      <c r="K169" s="6" t="s">
        <v>528</v>
      </c>
      <c r="L169" s="9" t="s">
        <v>174</v>
      </c>
      <c r="M169" s="6" t="s">
        <v>11</v>
      </c>
      <c r="N169" s="9" t="s">
        <v>41</v>
      </c>
      <c r="O169" s="59">
        <v>100</v>
      </c>
      <c r="P169" s="57">
        <f t="shared" si="35"/>
        <v>16.574999999999999</v>
      </c>
      <c r="Q169" s="57">
        <f t="shared" si="35"/>
        <v>16.922999999999998</v>
      </c>
      <c r="R169" s="57">
        <f t="shared" si="35"/>
        <v>18.010999999999999</v>
      </c>
      <c r="S169" s="57">
        <f t="shared" si="35"/>
        <v>19.745000000000001</v>
      </c>
      <c r="T169" s="57">
        <f t="shared" si="35"/>
        <v>20.56</v>
      </c>
      <c r="U169" s="57">
        <f t="shared" si="35"/>
        <v>17.195</v>
      </c>
      <c r="V169" s="57">
        <f t="shared" si="35"/>
        <v>16.966999999999999</v>
      </c>
    </row>
    <row r="170" spans="1:22">
      <c r="A170" s="6" t="s">
        <v>38</v>
      </c>
      <c r="B170" s="6" t="s">
        <v>260</v>
      </c>
      <c r="C170" s="88">
        <v>12.923</v>
      </c>
      <c r="D170" s="88">
        <v>21.68</v>
      </c>
      <c r="E170" s="88">
        <v>24.48</v>
      </c>
      <c r="F170" s="88">
        <v>31.62</v>
      </c>
      <c r="G170" s="88">
        <v>34.978000000000002</v>
      </c>
      <c r="H170" s="88">
        <v>38.036999999999999</v>
      </c>
      <c r="I170" s="88">
        <v>38.386000000000003</v>
      </c>
      <c r="J170" s="6">
        <v>70</v>
      </c>
      <c r="K170" s="6" t="s">
        <v>528</v>
      </c>
      <c r="L170" s="9" t="s">
        <v>174</v>
      </c>
      <c r="M170" s="6" t="s">
        <v>11</v>
      </c>
      <c r="N170" s="9" t="s">
        <v>41</v>
      </c>
      <c r="O170" s="59">
        <v>70</v>
      </c>
      <c r="P170" s="57">
        <f t="shared" si="35"/>
        <v>12.923</v>
      </c>
      <c r="Q170" s="57">
        <f t="shared" si="35"/>
        <v>21.68</v>
      </c>
      <c r="R170" s="57">
        <f t="shared" si="35"/>
        <v>24.48</v>
      </c>
      <c r="S170" s="57">
        <f t="shared" si="35"/>
        <v>31.62</v>
      </c>
      <c r="T170" s="57">
        <f t="shared" si="35"/>
        <v>34.978000000000002</v>
      </c>
      <c r="U170" s="57">
        <f t="shared" si="35"/>
        <v>38.036999999999999</v>
      </c>
      <c r="V170" s="57">
        <f t="shared" si="35"/>
        <v>38.386000000000003</v>
      </c>
    </row>
    <row r="171" spans="1:22">
      <c r="B171" s="189" t="s">
        <v>640</v>
      </c>
    </row>
    <row r="172" spans="1:22">
      <c r="A172" s="6" t="s">
        <v>12</v>
      </c>
      <c r="B172" s="122" t="s">
        <v>262</v>
      </c>
      <c r="C172" s="88">
        <v>6.75</v>
      </c>
      <c r="D172" s="88">
        <v>16.245999999999999</v>
      </c>
      <c r="E172" s="88">
        <v>12.926</v>
      </c>
      <c r="F172" s="88">
        <v>17.867000000000001</v>
      </c>
      <c r="G172" s="88">
        <v>15.795999999999999</v>
      </c>
      <c r="H172" s="88">
        <v>19.646000000000001</v>
      </c>
      <c r="I172" s="88">
        <v>12.132999999999999</v>
      </c>
      <c r="J172" s="6">
        <v>50</v>
      </c>
      <c r="K172" s="6" t="s">
        <v>528</v>
      </c>
      <c r="L172" s="9" t="s">
        <v>174</v>
      </c>
      <c r="M172" s="6" t="s">
        <v>11</v>
      </c>
      <c r="N172" s="9" t="s">
        <v>41</v>
      </c>
      <c r="O172" s="59">
        <v>50</v>
      </c>
      <c r="P172" s="57">
        <f t="shared" ref="P172:V173" si="36">+$O172/$J172*C172</f>
        <v>6.75</v>
      </c>
      <c r="Q172" s="57">
        <f t="shared" si="36"/>
        <v>16.245999999999999</v>
      </c>
      <c r="R172" s="57">
        <f t="shared" si="36"/>
        <v>12.926</v>
      </c>
      <c r="S172" s="57">
        <f t="shared" si="36"/>
        <v>17.867000000000001</v>
      </c>
      <c r="T172" s="57">
        <f t="shared" si="36"/>
        <v>15.795999999999999</v>
      </c>
      <c r="U172" s="57">
        <f t="shared" si="36"/>
        <v>19.646000000000001</v>
      </c>
      <c r="V172" s="57">
        <f t="shared" si="36"/>
        <v>12.132999999999999</v>
      </c>
    </row>
    <row r="173" spans="1:22" ht="25.5">
      <c r="A173" s="103">
        <v>19</v>
      </c>
      <c r="B173" s="122" t="s">
        <v>629</v>
      </c>
      <c r="C173" s="123">
        <v>0</v>
      </c>
      <c r="D173" s="123">
        <v>30.91</v>
      </c>
      <c r="E173" s="123">
        <v>7.5</v>
      </c>
      <c r="F173" s="123">
        <v>2.5</v>
      </c>
      <c r="G173" s="123">
        <v>2.5</v>
      </c>
      <c r="H173" s="123">
        <v>2.5</v>
      </c>
      <c r="I173" s="123">
        <v>2.5</v>
      </c>
      <c r="J173" s="124">
        <v>100</v>
      </c>
      <c r="K173" s="10">
        <v>6</v>
      </c>
      <c r="M173" s="103" t="s">
        <v>464</v>
      </c>
      <c r="N173" s="6" t="s">
        <v>300</v>
      </c>
      <c r="O173" s="10">
        <v>100</v>
      </c>
      <c r="P173" s="57">
        <f t="shared" si="36"/>
        <v>0</v>
      </c>
      <c r="Q173" s="57">
        <f t="shared" si="36"/>
        <v>30.91</v>
      </c>
      <c r="R173" s="57">
        <f t="shared" si="36"/>
        <v>7.5</v>
      </c>
      <c r="S173" s="57">
        <f t="shared" si="36"/>
        <v>2.5</v>
      </c>
      <c r="T173" s="57">
        <f t="shared" si="36"/>
        <v>2.5</v>
      </c>
      <c r="U173" s="57">
        <f t="shared" si="36"/>
        <v>2.5</v>
      </c>
      <c r="V173" s="57">
        <f t="shared" si="36"/>
        <v>2.5</v>
      </c>
    </row>
    <row r="174" spans="1:22" ht="25.5">
      <c r="A174" s="103">
        <v>19</v>
      </c>
      <c r="B174" s="122" t="s">
        <v>630</v>
      </c>
      <c r="C174" s="123">
        <v>8.8160000000000007</v>
      </c>
      <c r="D174" s="123">
        <v>13.048999999999999</v>
      </c>
      <c r="E174" s="123">
        <v>11</v>
      </c>
      <c r="F174" s="123">
        <v>3</v>
      </c>
      <c r="G174" s="123">
        <v>2</v>
      </c>
      <c r="H174" s="123">
        <v>0</v>
      </c>
      <c r="I174" s="123">
        <v>0</v>
      </c>
      <c r="J174" s="124">
        <v>100</v>
      </c>
      <c r="K174" s="10">
        <v>6</v>
      </c>
      <c r="M174" s="103" t="s">
        <v>340</v>
      </c>
      <c r="N174" s="6" t="s">
        <v>300</v>
      </c>
      <c r="O174" s="10">
        <v>100</v>
      </c>
      <c r="P174" s="57">
        <f t="shared" ref="P174:P175" si="37">+$O174/$J174*C174</f>
        <v>8.8160000000000007</v>
      </c>
      <c r="Q174" s="57">
        <f t="shared" ref="Q174:Q175" si="38">+$O174/$J174*D174</f>
        <v>13.048999999999999</v>
      </c>
      <c r="R174" s="57">
        <f t="shared" ref="R174:R175" si="39">+$O174/$J174*E174</f>
        <v>11</v>
      </c>
      <c r="S174" s="57">
        <f t="shared" ref="S174:S175" si="40">+$O174/$J174*F174</f>
        <v>3</v>
      </c>
      <c r="T174" s="57">
        <f t="shared" ref="T174:T175" si="41">+$O174/$J174*G174</f>
        <v>2</v>
      </c>
      <c r="U174" s="57">
        <f t="shared" ref="U174:U175" si="42">+$O174/$J174*H174</f>
        <v>0</v>
      </c>
      <c r="V174" s="57">
        <f t="shared" ref="V174:V175" si="43">+$O174/$J174*I174</f>
        <v>0</v>
      </c>
    </row>
    <row r="175" spans="1:22" ht="25.5">
      <c r="A175" s="103">
        <v>19</v>
      </c>
      <c r="B175" s="122" t="s">
        <v>466</v>
      </c>
      <c r="C175" s="123">
        <v>0</v>
      </c>
      <c r="D175" s="123">
        <v>2.5</v>
      </c>
      <c r="E175" s="123">
        <v>2.5</v>
      </c>
      <c r="F175" s="123">
        <v>2.5</v>
      </c>
      <c r="G175" s="123">
        <v>2.5</v>
      </c>
      <c r="H175" s="123">
        <v>2.5</v>
      </c>
      <c r="I175" s="123">
        <v>0</v>
      </c>
      <c r="J175" s="124">
        <v>100</v>
      </c>
      <c r="K175" s="10" t="s">
        <v>70</v>
      </c>
      <c r="L175" s="6" t="s">
        <v>532</v>
      </c>
      <c r="M175" s="103" t="s">
        <v>465</v>
      </c>
      <c r="N175" s="6" t="s">
        <v>300</v>
      </c>
      <c r="O175" s="10">
        <v>100</v>
      </c>
      <c r="P175" s="57">
        <f t="shared" si="37"/>
        <v>0</v>
      </c>
      <c r="Q175" s="57">
        <f t="shared" si="38"/>
        <v>2.5</v>
      </c>
      <c r="R175" s="57">
        <f t="shared" si="39"/>
        <v>2.5</v>
      </c>
      <c r="S175" s="57">
        <f t="shared" si="40"/>
        <v>2.5</v>
      </c>
      <c r="T175" s="57">
        <f t="shared" si="41"/>
        <v>2.5</v>
      </c>
      <c r="U175" s="57">
        <f t="shared" si="42"/>
        <v>2.5</v>
      </c>
      <c r="V175" s="57">
        <f t="shared" si="43"/>
        <v>0</v>
      </c>
    </row>
    <row r="176" spans="1:22">
      <c r="A176" s="103"/>
      <c r="B176" s="122" t="s">
        <v>467</v>
      </c>
      <c r="C176" s="123">
        <v>0.6</v>
      </c>
      <c r="D176" s="123">
        <v>0.60899999999999999</v>
      </c>
      <c r="E176" s="123">
        <v>0.60899999999999999</v>
      </c>
      <c r="F176" s="123">
        <v>0.60899999999999999</v>
      </c>
      <c r="G176" s="123">
        <v>0.60899999999999999</v>
      </c>
      <c r="H176" s="123">
        <v>0</v>
      </c>
      <c r="I176" s="123">
        <v>0</v>
      </c>
      <c r="J176" s="124">
        <v>6</v>
      </c>
      <c r="K176" s="10" t="s">
        <v>529</v>
      </c>
      <c r="M176" s="103" t="s">
        <v>11</v>
      </c>
      <c r="N176" s="6" t="s">
        <v>300</v>
      </c>
      <c r="O176" s="10">
        <v>6</v>
      </c>
      <c r="P176" s="57">
        <f t="shared" ref="P176:P177" si="44">+$O176/$J176*C176</f>
        <v>0.6</v>
      </c>
      <c r="Q176" s="57">
        <f t="shared" ref="Q176:Q177" si="45">+$O176/$J176*D176</f>
        <v>0.60899999999999999</v>
      </c>
      <c r="R176" s="57">
        <f t="shared" ref="R176:R177" si="46">+$O176/$J176*E176</f>
        <v>0.60899999999999999</v>
      </c>
      <c r="S176" s="57">
        <f t="shared" ref="S176:S177" si="47">+$O176/$J176*F176</f>
        <v>0.60899999999999999</v>
      </c>
      <c r="T176" s="57">
        <f t="shared" ref="T176:T177" si="48">+$O176/$J176*G176</f>
        <v>0.60899999999999999</v>
      </c>
      <c r="U176" s="57">
        <f t="shared" ref="U176:U177" si="49">+$O176/$J176*H176</f>
        <v>0</v>
      </c>
      <c r="V176" s="57">
        <f t="shared" ref="V176:V177" si="50">+$O176/$J176*I176</f>
        <v>0</v>
      </c>
    </row>
    <row r="177" spans="1:22">
      <c r="A177" s="103"/>
      <c r="B177" s="122" t="s">
        <v>468</v>
      </c>
      <c r="C177" s="123">
        <v>0</v>
      </c>
      <c r="D177" s="123">
        <v>6.2E-2</v>
      </c>
      <c r="E177" s="123">
        <v>0.152</v>
      </c>
      <c r="F177" s="123">
        <v>0.152</v>
      </c>
      <c r="G177" s="123">
        <v>0.122</v>
      </c>
      <c r="H177" s="123">
        <v>0.12</v>
      </c>
      <c r="I177" s="123">
        <v>0</v>
      </c>
      <c r="J177" s="124">
        <v>6</v>
      </c>
      <c r="K177" s="10" t="s">
        <v>529</v>
      </c>
      <c r="M177" s="103" t="s">
        <v>11</v>
      </c>
      <c r="N177" s="6" t="s">
        <v>300</v>
      </c>
      <c r="O177" s="10">
        <v>6</v>
      </c>
      <c r="P177" s="57">
        <f t="shared" si="44"/>
        <v>0</v>
      </c>
      <c r="Q177" s="57">
        <f t="shared" si="45"/>
        <v>6.2E-2</v>
      </c>
      <c r="R177" s="57">
        <f t="shared" si="46"/>
        <v>0.152</v>
      </c>
      <c r="S177" s="57">
        <f t="shared" si="47"/>
        <v>0.152</v>
      </c>
      <c r="T177" s="57">
        <f t="shared" si="48"/>
        <v>0.122</v>
      </c>
      <c r="U177" s="57">
        <f t="shared" si="49"/>
        <v>0.12</v>
      </c>
      <c r="V177" s="57">
        <f t="shared" si="50"/>
        <v>0</v>
      </c>
    </row>
    <row r="178" spans="1:22">
      <c r="A178" s="6" t="s">
        <v>341</v>
      </c>
      <c r="B178" s="6" t="s">
        <v>469</v>
      </c>
      <c r="C178" s="88">
        <v>3.3130000000000002</v>
      </c>
      <c r="D178" s="88">
        <v>5.0940000000000003</v>
      </c>
      <c r="E178" s="88">
        <v>5.1050000000000004</v>
      </c>
      <c r="F178" s="88">
        <v>5.1050000000000004</v>
      </c>
      <c r="G178" s="88">
        <v>5.1059999999999999</v>
      </c>
      <c r="H178" s="88">
        <v>5.3220000000000001</v>
      </c>
      <c r="I178" s="88">
        <v>5.5129999999999999</v>
      </c>
      <c r="J178" s="6">
        <v>50</v>
      </c>
      <c r="K178" s="59" t="s">
        <v>631</v>
      </c>
      <c r="L178" s="9" t="s">
        <v>174</v>
      </c>
      <c r="M178" s="6" t="s">
        <v>11</v>
      </c>
      <c r="N178" s="9" t="s">
        <v>41</v>
      </c>
      <c r="O178" s="6">
        <v>50</v>
      </c>
      <c r="P178" s="57">
        <f t="shared" ref="P178:V178" si="51">+$O178/$J178*C178</f>
        <v>3.3130000000000002</v>
      </c>
      <c r="Q178" s="57">
        <f t="shared" si="51"/>
        <v>5.0940000000000003</v>
      </c>
      <c r="R178" s="57">
        <f t="shared" si="51"/>
        <v>5.1050000000000004</v>
      </c>
      <c r="S178" s="57">
        <f t="shared" si="51"/>
        <v>5.1050000000000004</v>
      </c>
      <c r="T178" s="57">
        <f t="shared" si="51"/>
        <v>5.1059999999999999</v>
      </c>
      <c r="U178" s="57">
        <f t="shared" si="51"/>
        <v>5.3220000000000001</v>
      </c>
      <c r="V178" s="57">
        <f t="shared" si="51"/>
        <v>5.5129999999999999</v>
      </c>
    </row>
    <row r="179" spans="1:22">
      <c r="A179" s="6" t="s">
        <v>341</v>
      </c>
      <c r="B179" s="6" t="s">
        <v>470</v>
      </c>
      <c r="C179" s="88">
        <v>2.5249999999999999</v>
      </c>
      <c r="D179" s="88">
        <v>2.5710000000000002</v>
      </c>
      <c r="E179" s="88">
        <v>2.5630000000000002</v>
      </c>
      <c r="F179" s="88">
        <v>2.5640000000000001</v>
      </c>
      <c r="G179" s="88">
        <v>2.5649999999999999</v>
      </c>
      <c r="H179" s="88">
        <v>2.5529999999999999</v>
      </c>
      <c r="I179" s="88">
        <v>2.3029999999999999</v>
      </c>
      <c r="J179" s="6">
        <v>50</v>
      </c>
      <c r="K179" s="59" t="s">
        <v>528</v>
      </c>
      <c r="L179" s="9" t="s">
        <v>174</v>
      </c>
      <c r="M179" s="6" t="s">
        <v>11</v>
      </c>
      <c r="N179" s="9" t="s">
        <v>41</v>
      </c>
      <c r="O179" s="6">
        <v>50</v>
      </c>
      <c r="P179" s="57">
        <f t="shared" ref="P179" si="52">+$O179/$J179*C179</f>
        <v>2.5249999999999999</v>
      </c>
      <c r="Q179" s="57">
        <f t="shared" ref="Q179" si="53">+$O179/$J179*D179</f>
        <v>2.5710000000000002</v>
      </c>
      <c r="R179" s="57">
        <f t="shared" ref="R179" si="54">+$O179/$J179*E179</f>
        <v>2.5630000000000002</v>
      </c>
      <c r="S179" s="57">
        <f t="shared" ref="S179" si="55">+$O179/$J179*F179</f>
        <v>2.5640000000000001</v>
      </c>
      <c r="T179" s="57">
        <f t="shared" ref="T179" si="56">+$O179/$J179*G179</f>
        <v>2.5649999999999999</v>
      </c>
      <c r="U179" s="57">
        <f t="shared" ref="U179" si="57">+$O179/$J179*H179</f>
        <v>2.5529999999999999</v>
      </c>
      <c r="V179" s="57">
        <f t="shared" ref="V179" si="58">+$O179/$J179*I179</f>
        <v>2.3029999999999999</v>
      </c>
    </row>
    <row r="180" spans="1:22">
      <c r="A180" s="6" t="s">
        <v>341</v>
      </c>
      <c r="B180" s="6" t="s">
        <v>472</v>
      </c>
      <c r="C180" s="88">
        <v>2.8000000000000001E-2</v>
      </c>
      <c r="D180" s="88">
        <v>0.77200000000000002</v>
      </c>
      <c r="E180" s="88">
        <v>0.4</v>
      </c>
      <c r="F180" s="88">
        <v>0.4</v>
      </c>
      <c r="G180" s="88">
        <v>0.4</v>
      </c>
      <c r="H180" s="88">
        <v>0</v>
      </c>
      <c r="I180" s="88">
        <v>0</v>
      </c>
      <c r="J180" s="6">
        <v>50</v>
      </c>
      <c r="K180" s="59" t="s">
        <v>528</v>
      </c>
      <c r="L180" s="9" t="s">
        <v>174</v>
      </c>
      <c r="M180" s="6" t="s">
        <v>11</v>
      </c>
      <c r="N180" s="9" t="s">
        <v>41</v>
      </c>
      <c r="O180" s="6">
        <v>50</v>
      </c>
      <c r="P180" s="57">
        <f t="shared" ref="P180" si="59">+$O180/$J180*C180</f>
        <v>2.8000000000000001E-2</v>
      </c>
      <c r="Q180" s="57">
        <f t="shared" ref="Q180" si="60">+$O180/$J180*D180</f>
        <v>0.77200000000000002</v>
      </c>
      <c r="R180" s="57">
        <f t="shared" ref="R180" si="61">+$O180/$J180*E180</f>
        <v>0.4</v>
      </c>
      <c r="S180" s="57">
        <f t="shared" ref="S180" si="62">+$O180/$J180*F180</f>
        <v>0.4</v>
      </c>
      <c r="T180" s="57">
        <f t="shared" ref="T180" si="63">+$O180/$J180*G180</f>
        <v>0.4</v>
      </c>
      <c r="U180" s="57">
        <f t="shared" ref="U180" si="64">+$O180/$J180*H180</f>
        <v>0</v>
      </c>
      <c r="V180" s="57">
        <f t="shared" ref="V180" si="65">+$O180/$J180*I180</f>
        <v>0</v>
      </c>
    </row>
    <row r="181" spans="1:22">
      <c r="B181" s="6" t="s">
        <v>473</v>
      </c>
      <c r="C181" s="88">
        <v>0.16800000000000001</v>
      </c>
      <c r="D181" s="88">
        <v>2.5059999999999998</v>
      </c>
      <c r="E181" s="88">
        <v>0.28100000000000003</v>
      </c>
      <c r="F181" s="88">
        <v>0.19900000000000001</v>
      </c>
      <c r="G181" s="88">
        <v>0.183</v>
      </c>
      <c r="H181" s="88">
        <v>0.184</v>
      </c>
      <c r="I181" s="88">
        <v>0.158</v>
      </c>
      <c r="J181" s="6">
        <v>100</v>
      </c>
      <c r="K181" s="59">
        <v>6</v>
      </c>
      <c r="L181" s="9" t="s">
        <v>174</v>
      </c>
      <c r="M181" s="6" t="s">
        <v>11</v>
      </c>
      <c r="N181" s="9" t="s">
        <v>41</v>
      </c>
      <c r="O181" s="6">
        <v>100</v>
      </c>
      <c r="P181" s="57">
        <f t="shared" ref="P181:P182" si="66">+$O181/$J181*C181</f>
        <v>0.16800000000000001</v>
      </c>
      <c r="Q181" s="57">
        <f t="shared" ref="Q181:Q182" si="67">+$O181/$J181*D181</f>
        <v>2.5059999999999998</v>
      </c>
      <c r="R181" s="57">
        <f t="shared" ref="R181:R182" si="68">+$O181/$J181*E181</f>
        <v>0.28100000000000003</v>
      </c>
      <c r="S181" s="57">
        <f t="shared" ref="S181:S182" si="69">+$O181/$J181*F181</f>
        <v>0.19900000000000001</v>
      </c>
      <c r="T181" s="57">
        <f t="shared" ref="T181:T182" si="70">+$O181/$J181*G181</f>
        <v>0.183</v>
      </c>
      <c r="U181" s="57">
        <f t="shared" ref="U181:U182" si="71">+$O181/$J181*H181</f>
        <v>0.184</v>
      </c>
      <c r="V181" s="57">
        <f t="shared" ref="V181:V182" si="72">+$O181/$J181*I181</f>
        <v>0.158</v>
      </c>
    </row>
    <row r="182" spans="1:22">
      <c r="B182" s="6" t="s">
        <v>474</v>
      </c>
      <c r="C182" s="88">
        <v>0.33700000000000002</v>
      </c>
      <c r="D182" s="88">
        <v>0.66600000000000004</v>
      </c>
      <c r="E182" s="88">
        <v>0.50900000000000001</v>
      </c>
      <c r="F182" s="88">
        <v>0.34399999999999997</v>
      </c>
      <c r="G182" s="88">
        <v>0.23899999999999999</v>
      </c>
      <c r="H182" s="88">
        <v>0.315</v>
      </c>
      <c r="I182" s="88">
        <v>0</v>
      </c>
      <c r="J182" s="6">
        <v>100</v>
      </c>
      <c r="K182" s="59">
        <v>6</v>
      </c>
      <c r="L182" s="9" t="s">
        <v>174</v>
      </c>
      <c r="M182" s="6" t="s">
        <v>11</v>
      </c>
      <c r="N182" s="9" t="s">
        <v>41</v>
      </c>
      <c r="O182" s="6">
        <v>100</v>
      </c>
      <c r="P182" s="57">
        <f t="shared" si="66"/>
        <v>0.33700000000000002</v>
      </c>
      <c r="Q182" s="57">
        <f t="shared" si="67"/>
        <v>0.66600000000000004</v>
      </c>
      <c r="R182" s="57">
        <f t="shared" si="68"/>
        <v>0.50900000000000001</v>
      </c>
      <c r="S182" s="57">
        <f t="shared" si="69"/>
        <v>0.34399999999999997</v>
      </c>
      <c r="T182" s="57">
        <f t="shared" si="70"/>
        <v>0.23899999999999999</v>
      </c>
      <c r="U182" s="57">
        <f t="shared" si="71"/>
        <v>0.315</v>
      </c>
      <c r="V182" s="57">
        <f t="shared" si="72"/>
        <v>0</v>
      </c>
    </row>
    <row r="183" spans="1:22" ht="15">
      <c r="A183" s="69" t="s">
        <v>342</v>
      </c>
      <c r="B183" s="106" t="s">
        <v>24</v>
      </c>
      <c r="C183" s="88"/>
      <c r="D183" s="88"/>
      <c r="E183" s="88"/>
      <c r="F183" s="88"/>
      <c r="G183" s="88"/>
      <c r="H183" s="88"/>
      <c r="I183" s="88"/>
      <c r="J183" s="88"/>
      <c r="K183" s="59"/>
      <c r="L183" s="9"/>
      <c r="N183" s="9"/>
      <c r="O183" s="6"/>
      <c r="P183" s="121">
        <f t="shared" ref="P183:V183" si="73">SUM(P184:P205)</f>
        <v>60.984000000000002</v>
      </c>
      <c r="Q183" s="121">
        <f t="shared" si="73"/>
        <v>183.27850000000001</v>
      </c>
      <c r="R183" s="121">
        <f t="shared" si="73"/>
        <v>61.797750000000008</v>
      </c>
      <c r="S183" s="121">
        <f t="shared" si="73"/>
        <v>41.480750000000008</v>
      </c>
      <c r="T183" s="121">
        <f t="shared" si="73"/>
        <v>39.018250000000002</v>
      </c>
      <c r="U183" s="121">
        <f t="shared" si="73"/>
        <v>35.91825</v>
      </c>
      <c r="V183" s="121">
        <f t="shared" si="73"/>
        <v>35.763249999999999</v>
      </c>
    </row>
    <row r="184" spans="1:22">
      <c r="A184" s="102" t="s">
        <v>343</v>
      </c>
      <c r="B184" s="6" t="s">
        <v>475</v>
      </c>
      <c r="C184" s="88">
        <v>9.6950000000000003</v>
      </c>
      <c r="D184" s="88">
        <v>18.344999999999999</v>
      </c>
      <c r="E184" s="88">
        <v>17.873000000000001</v>
      </c>
      <c r="F184" s="88">
        <v>9.1229999999999993</v>
      </c>
      <c r="G184" s="88">
        <v>9.1229999999999993</v>
      </c>
      <c r="H184" s="88">
        <v>9.1229999999999993</v>
      </c>
      <c r="I184" s="88">
        <v>9.1229999999999993</v>
      </c>
      <c r="J184" s="6">
        <v>25</v>
      </c>
      <c r="K184" s="6">
        <v>5</v>
      </c>
      <c r="L184" s="6" t="s">
        <v>173</v>
      </c>
      <c r="M184" s="6" t="s">
        <v>11</v>
      </c>
      <c r="N184" s="9" t="s">
        <v>41</v>
      </c>
      <c r="O184" s="59">
        <v>25</v>
      </c>
      <c r="P184" s="57">
        <f t="shared" ref="P184:P202" si="74">+$O184/$J184*C184</f>
        <v>9.6950000000000003</v>
      </c>
      <c r="Q184" s="57">
        <f t="shared" ref="Q184:Q202" si="75">+$O184/$J184*D184</f>
        <v>18.344999999999999</v>
      </c>
      <c r="R184" s="57">
        <f t="shared" ref="R184:R202" si="76">+$O184/$J184*E184</f>
        <v>17.873000000000001</v>
      </c>
      <c r="S184" s="57">
        <f t="shared" ref="S184:S202" si="77">+$O184/$J184*F184</f>
        <v>9.1229999999999993</v>
      </c>
      <c r="T184" s="57">
        <f t="shared" ref="T184:T202" si="78">+$O184/$J184*G184</f>
        <v>9.1229999999999993</v>
      </c>
      <c r="U184" s="57">
        <f t="shared" ref="U184:U202" si="79">+$O184/$J184*H184</f>
        <v>9.1229999999999993</v>
      </c>
      <c r="V184" s="57">
        <f t="shared" ref="V184:V202" si="80">+$O184/$J184*I184</f>
        <v>9.1229999999999993</v>
      </c>
    </row>
    <row r="185" spans="1:22">
      <c r="A185" s="102" t="s">
        <v>343</v>
      </c>
      <c r="B185" s="6" t="s">
        <v>476</v>
      </c>
      <c r="C185" s="88">
        <v>7.734</v>
      </c>
      <c r="D185" s="88">
        <v>6.9009999999999998</v>
      </c>
      <c r="E185" s="88">
        <v>12.5</v>
      </c>
      <c r="F185" s="88">
        <v>12.5</v>
      </c>
      <c r="G185" s="88">
        <v>4.375</v>
      </c>
      <c r="H185" s="88">
        <v>1.25</v>
      </c>
      <c r="I185" s="88">
        <v>0.625</v>
      </c>
      <c r="J185" s="6">
        <v>25</v>
      </c>
      <c r="K185" s="6">
        <v>5</v>
      </c>
      <c r="L185" s="6" t="s">
        <v>173</v>
      </c>
      <c r="M185" s="6" t="s">
        <v>11</v>
      </c>
      <c r="N185" s="9" t="s">
        <v>41</v>
      </c>
      <c r="O185" s="59">
        <v>25</v>
      </c>
      <c r="P185" s="57">
        <f t="shared" ref="P185" si="81">+$O185/$J185*C185</f>
        <v>7.734</v>
      </c>
      <c r="Q185" s="57">
        <f t="shared" ref="Q185" si="82">+$O185/$J185*D185</f>
        <v>6.9009999999999998</v>
      </c>
      <c r="R185" s="57">
        <f t="shared" ref="R185" si="83">+$O185/$J185*E185</f>
        <v>12.5</v>
      </c>
      <c r="S185" s="57">
        <f t="shared" ref="S185" si="84">+$O185/$J185*F185</f>
        <v>12.5</v>
      </c>
      <c r="T185" s="57">
        <f t="shared" ref="T185" si="85">+$O185/$J185*G185</f>
        <v>4.375</v>
      </c>
      <c r="U185" s="57">
        <f t="shared" ref="U185" si="86">+$O185/$J185*H185</f>
        <v>1.25</v>
      </c>
      <c r="V185" s="57">
        <f t="shared" ref="V185" si="87">+$O185/$J185*I185</f>
        <v>0.625</v>
      </c>
    </row>
    <row r="186" spans="1:22">
      <c r="A186" s="102" t="s">
        <v>632</v>
      </c>
      <c r="B186" s="6" t="s">
        <v>477</v>
      </c>
      <c r="C186" s="88">
        <v>6.5789999999999997</v>
      </c>
      <c r="D186" s="88">
        <v>7.29</v>
      </c>
      <c r="E186" s="88">
        <v>12.36</v>
      </c>
      <c r="F186" s="88">
        <v>11.88</v>
      </c>
      <c r="G186" s="88">
        <v>10.35</v>
      </c>
      <c r="H186" s="88">
        <v>10.89</v>
      </c>
      <c r="I186" s="88">
        <v>11.19</v>
      </c>
      <c r="J186" s="6">
        <v>30</v>
      </c>
      <c r="K186" s="6">
        <v>5</v>
      </c>
      <c r="L186" s="6" t="s">
        <v>173</v>
      </c>
      <c r="M186" s="6" t="s">
        <v>11</v>
      </c>
      <c r="N186" s="9" t="s">
        <v>41</v>
      </c>
      <c r="O186" s="59">
        <v>30</v>
      </c>
      <c r="P186" s="57">
        <f t="shared" si="74"/>
        <v>6.5789999999999997</v>
      </c>
      <c r="Q186" s="57">
        <f t="shared" si="75"/>
        <v>7.29</v>
      </c>
      <c r="R186" s="57">
        <f t="shared" si="76"/>
        <v>12.36</v>
      </c>
      <c r="S186" s="57">
        <f t="shared" si="77"/>
        <v>11.88</v>
      </c>
      <c r="T186" s="57">
        <f t="shared" si="78"/>
        <v>10.35</v>
      </c>
      <c r="U186" s="57">
        <f t="shared" si="79"/>
        <v>10.89</v>
      </c>
      <c r="V186" s="57">
        <f t="shared" si="80"/>
        <v>11.19</v>
      </c>
    </row>
    <row r="187" spans="1:22">
      <c r="A187" s="102" t="s">
        <v>343</v>
      </c>
      <c r="B187" s="6" t="s">
        <v>478</v>
      </c>
      <c r="C187" s="88">
        <v>0</v>
      </c>
      <c r="D187" s="88">
        <v>0.15</v>
      </c>
      <c r="E187" s="88">
        <v>0.87</v>
      </c>
      <c r="F187" s="88">
        <v>0.6</v>
      </c>
      <c r="G187" s="88">
        <v>0.56999999999999995</v>
      </c>
      <c r="H187" s="88">
        <v>0.51</v>
      </c>
      <c r="I187" s="88">
        <v>0.18</v>
      </c>
      <c r="J187" s="6">
        <v>30</v>
      </c>
      <c r="K187" s="6">
        <v>5</v>
      </c>
      <c r="L187" s="6" t="s">
        <v>173</v>
      </c>
      <c r="M187" s="6" t="s">
        <v>11</v>
      </c>
      <c r="N187" s="9" t="s">
        <v>41</v>
      </c>
      <c r="O187" s="59">
        <v>30</v>
      </c>
      <c r="P187" s="57">
        <f t="shared" ref="P187" si="88">+$O187/$J187*C187</f>
        <v>0</v>
      </c>
      <c r="Q187" s="57">
        <f t="shared" ref="Q187" si="89">+$O187/$J187*D187</f>
        <v>0.15</v>
      </c>
      <c r="R187" s="57">
        <f t="shared" ref="R187" si="90">+$O187/$J187*E187</f>
        <v>0.87</v>
      </c>
      <c r="S187" s="57">
        <f t="shared" ref="S187" si="91">+$O187/$J187*F187</f>
        <v>0.6</v>
      </c>
      <c r="T187" s="57">
        <f t="shared" ref="T187" si="92">+$O187/$J187*G187</f>
        <v>0.56999999999999995</v>
      </c>
      <c r="U187" s="57">
        <f t="shared" ref="U187" si="93">+$O187/$J187*H187</f>
        <v>0.51</v>
      </c>
      <c r="V187" s="57">
        <f t="shared" ref="V187" si="94">+$O187/$J187*I187</f>
        <v>0.18</v>
      </c>
    </row>
    <row r="188" spans="1:22">
      <c r="A188" s="102" t="s">
        <v>343</v>
      </c>
      <c r="B188" s="6" t="s">
        <v>479</v>
      </c>
      <c r="C188" s="88">
        <v>0.76300000000000001</v>
      </c>
      <c r="D188" s="88">
        <v>0.57699999999999996</v>
      </c>
      <c r="E188" s="88">
        <v>0.59199999999999997</v>
      </c>
      <c r="F188" s="88">
        <v>0.59199999999999997</v>
      </c>
      <c r="G188" s="88">
        <v>0.59199999999999997</v>
      </c>
      <c r="H188" s="88">
        <v>0.59199999999999997</v>
      </c>
      <c r="I188" s="88">
        <v>0.59199999999999997</v>
      </c>
      <c r="J188" s="6">
        <v>25</v>
      </c>
      <c r="K188" s="6">
        <v>5</v>
      </c>
      <c r="L188" s="6" t="s">
        <v>173</v>
      </c>
      <c r="M188" s="6" t="s">
        <v>11</v>
      </c>
      <c r="N188" s="9" t="s">
        <v>41</v>
      </c>
      <c r="O188" s="59">
        <v>25</v>
      </c>
      <c r="P188" s="57">
        <f t="shared" si="74"/>
        <v>0.76300000000000001</v>
      </c>
      <c r="Q188" s="57">
        <f t="shared" si="75"/>
        <v>0.57699999999999996</v>
      </c>
      <c r="R188" s="57">
        <f t="shared" si="76"/>
        <v>0.59199999999999997</v>
      </c>
      <c r="S188" s="57">
        <f t="shared" si="77"/>
        <v>0.59199999999999997</v>
      </c>
      <c r="T188" s="57">
        <f t="shared" si="78"/>
        <v>0.59199999999999997</v>
      </c>
      <c r="U188" s="57">
        <f t="shared" si="79"/>
        <v>0.59199999999999997</v>
      </c>
      <c r="V188" s="57">
        <f t="shared" si="80"/>
        <v>0.59199999999999997</v>
      </c>
    </row>
    <row r="189" spans="1:22">
      <c r="A189" s="102" t="s">
        <v>343</v>
      </c>
      <c r="B189" s="6" t="s">
        <v>480</v>
      </c>
      <c r="C189" s="88">
        <v>4.2999999999999997E-2</v>
      </c>
      <c r="D189" s="88">
        <v>3.5999999999999997E-2</v>
      </c>
      <c r="E189" s="88">
        <v>0</v>
      </c>
      <c r="F189" s="88">
        <v>0</v>
      </c>
      <c r="G189" s="88">
        <v>0</v>
      </c>
      <c r="H189" s="88">
        <v>0</v>
      </c>
      <c r="I189" s="88">
        <v>0</v>
      </c>
      <c r="J189" s="6">
        <v>25</v>
      </c>
      <c r="K189" s="6">
        <v>5</v>
      </c>
      <c r="L189" s="6" t="s">
        <v>173</v>
      </c>
      <c r="M189" s="6" t="s">
        <v>11</v>
      </c>
      <c r="N189" s="9" t="s">
        <v>41</v>
      </c>
      <c r="O189" s="59">
        <v>25</v>
      </c>
      <c r="P189" s="57">
        <f t="shared" ref="P189:P190" si="95">+$O189/$J189*C189</f>
        <v>4.2999999999999997E-2</v>
      </c>
      <c r="Q189" s="57">
        <f t="shared" ref="Q189:Q190" si="96">+$O189/$J189*D189</f>
        <v>3.5999999999999997E-2</v>
      </c>
      <c r="R189" s="57">
        <f t="shared" ref="R189:R190" si="97">+$O189/$J189*E189</f>
        <v>0</v>
      </c>
      <c r="S189" s="57">
        <f t="shared" ref="S189:S190" si="98">+$O189/$J189*F189</f>
        <v>0</v>
      </c>
      <c r="T189" s="57">
        <f t="shared" ref="T189:T190" si="99">+$O189/$J189*G189</f>
        <v>0</v>
      </c>
      <c r="U189" s="57">
        <f t="shared" ref="U189:U190" si="100">+$O189/$J189*H189</f>
        <v>0</v>
      </c>
      <c r="V189" s="57">
        <f t="shared" ref="V189:V190" si="101">+$O189/$J189*I189</f>
        <v>0</v>
      </c>
    </row>
    <row r="190" spans="1:22">
      <c r="A190" s="102" t="s">
        <v>343</v>
      </c>
      <c r="B190" s="6" t="s">
        <v>481</v>
      </c>
      <c r="C190" s="88">
        <v>8.9999999999999993E-3</v>
      </c>
      <c r="D190" s="88">
        <v>0</v>
      </c>
      <c r="E190" s="88">
        <v>0</v>
      </c>
      <c r="F190" s="88">
        <v>0</v>
      </c>
      <c r="G190" s="88">
        <v>0</v>
      </c>
      <c r="H190" s="88">
        <v>0</v>
      </c>
      <c r="I190" s="88">
        <v>0</v>
      </c>
      <c r="J190" s="6">
        <v>25</v>
      </c>
      <c r="K190" s="6">
        <v>5</v>
      </c>
      <c r="L190" s="6" t="s">
        <v>173</v>
      </c>
      <c r="M190" s="6" t="s">
        <v>11</v>
      </c>
      <c r="N190" s="9" t="s">
        <v>41</v>
      </c>
      <c r="O190" s="59">
        <v>25</v>
      </c>
      <c r="P190" s="57">
        <f t="shared" si="95"/>
        <v>8.9999999999999993E-3</v>
      </c>
      <c r="Q190" s="57">
        <f t="shared" si="96"/>
        <v>0</v>
      </c>
      <c r="R190" s="57">
        <f t="shared" si="97"/>
        <v>0</v>
      </c>
      <c r="S190" s="57">
        <f t="shared" si="98"/>
        <v>0</v>
      </c>
      <c r="T190" s="57">
        <f t="shared" si="99"/>
        <v>0</v>
      </c>
      <c r="U190" s="57">
        <f t="shared" si="100"/>
        <v>0</v>
      </c>
      <c r="V190" s="57">
        <f t="shared" si="101"/>
        <v>0</v>
      </c>
    </row>
    <row r="191" spans="1:22">
      <c r="A191" s="102" t="s">
        <v>343</v>
      </c>
      <c r="B191" s="6" t="s">
        <v>482</v>
      </c>
      <c r="C191" s="88">
        <v>0</v>
      </c>
      <c r="D191" s="88">
        <v>0</v>
      </c>
      <c r="E191" s="88">
        <v>0</v>
      </c>
      <c r="F191" s="88">
        <v>0</v>
      </c>
      <c r="G191" s="88">
        <v>0</v>
      </c>
      <c r="H191" s="88">
        <v>0</v>
      </c>
      <c r="I191" s="88">
        <v>0</v>
      </c>
      <c r="J191" s="6">
        <v>25</v>
      </c>
      <c r="K191" s="6">
        <v>5</v>
      </c>
      <c r="L191" s="6" t="s">
        <v>173</v>
      </c>
      <c r="M191" s="6" t="s">
        <v>11</v>
      </c>
      <c r="N191" s="9" t="s">
        <v>41</v>
      </c>
      <c r="O191" s="59">
        <v>25</v>
      </c>
      <c r="P191" s="57">
        <f t="shared" ref="P191:P192" si="102">+$O191/$J191*C191</f>
        <v>0</v>
      </c>
      <c r="Q191" s="57">
        <f t="shared" ref="Q191:Q192" si="103">+$O191/$J191*D191</f>
        <v>0</v>
      </c>
      <c r="R191" s="57">
        <f t="shared" ref="R191:R192" si="104">+$O191/$J191*E191</f>
        <v>0</v>
      </c>
      <c r="S191" s="57">
        <f t="shared" ref="S191:S192" si="105">+$O191/$J191*F191</f>
        <v>0</v>
      </c>
      <c r="T191" s="57">
        <f t="shared" ref="T191:T192" si="106">+$O191/$J191*G191</f>
        <v>0</v>
      </c>
      <c r="U191" s="57">
        <f t="shared" ref="U191:U192" si="107">+$O191/$J191*H191</f>
        <v>0</v>
      </c>
      <c r="V191" s="57">
        <f t="shared" ref="V191:V192" si="108">+$O191/$J191*I191</f>
        <v>0</v>
      </c>
    </row>
    <row r="192" spans="1:22">
      <c r="A192" s="102" t="s">
        <v>343</v>
      </c>
      <c r="B192" s="6" t="s">
        <v>483</v>
      </c>
      <c r="C192" s="88">
        <v>0</v>
      </c>
      <c r="D192" s="88">
        <v>0.115</v>
      </c>
      <c r="E192" s="88">
        <v>0</v>
      </c>
      <c r="F192" s="88">
        <v>0</v>
      </c>
      <c r="G192" s="88">
        <v>0</v>
      </c>
      <c r="H192" s="88">
        <v>0</v>
      </c>
      <c r="I192" s="88">
        <v>0</v>
      </c>
      <c r="J192" s="6">
        <v>25</v>
      </c>
      <c r="K192" s="6">
        <v>5</v>
      </c>
      <c r="L192" s="6" t="s">
        <v>173</v>
      </c>
      <c r="M192" s="6" t="s">
        <v>11</v>
      </c>
      <c r="N192" s="9" t="s">
        <v>41</v>
      </c>
      <c r="O192" s="59">
        <v>25</v>
      </c>
      <c r="P192" s="57">
        <f t="shared" si="102"/>
        <v>0</v>
      </c>
      <c r="Q192" s="57">
        <f t="shared" si="103"/>
        <v>0.115</v>
      </c>
      <c r="R192" s="57">
        <f t="shared" si="104"/>
        <v>0</v>
      </c>
      <c r="S192" s="57">
        <f t="shared" si="105"/>
        <v>0</v>
      </c>
      <c r="T192" s="57">
        <f t="shared" si="106"/>
        <v>0</v>
      </c>
      <c r="U192" s="57">
        <f t="shared" si="107"/>
        <v>0</v>
      </c>
      <c r="V192" s="57">
        <f t="shared" si="108"/>
        <v>0</v>
      </c>
    </row>
    <row r="193" spans="1:22">
      <c r="A193" s="102" t="s">
        <v>343</v>
      </c>
      <c r="B193" s="6" t="s">
        <v>484</v>
      </c>
      <c r="C193" s="88">
        <v>0.95899999999999996</v>
      </c>
      <c r="D193" s="88">
        <v>0.5</v>
      </c>
      <c r="E193" s="88">
        <v>0</v>
      </c>
      <c r="F193" s="88">
        <v>0</v>
      </c>
      <c r="G193" s="88">
        <v>0</v>
      </c>
      <c r="H193" s="88">
        <v>0</v>
      </c>
      <c r="I193" s="88">
        <v>0</v>
      </c>
      <c r="J193" s="6">
        <v>25</v>
      </c>
      <c r="K193" s="6">
        <v>5</v>
      </c>
      <c r="L193" s="6" t="s">
        <v>173</v>
      </c>
      <c r="M193" s="6" t="s">
        <v>11</v>
      </c>
      <c r="N193" s="9" t="s">
        <v>41</v>
      </c>
      <c r="O193" s="59">
        <v>25</v>
      </c>
      <c r="P193" s="57">
        <f t="shared" ref="P193" si="109">+$O193/$J193*C193</f>
        <v>0.95899999999999996</v>
      </c>
      <c r="Q193" s="57">
        <f t="shared" ref="Q193" si="110">+$O193/$J193*D193</f>
        <v>0.5</v>
      </c>
      <c r="R193" s="57">
        <f t="shared" ref="R193" si="111">+$O193/$J193*E193</f>
        <v>0</v>
      </c>
      <c r="S193" s="57">
        <f t="shared" ref="S193" si="112">+$O193/$J193*F193</f>
        <v>0</v>
      </c>
      <c r="T193" s="57">
        <f t="shared" ref="T193" si="113">+$O193/$J193*G193</f>
        <v>0</v>
      </c>
      <c r="U193" s="57">
        <f t="shared" ref="U193" si="114">+$O193/$J193*H193</f>
        <v>0</v>
      </c>
      <c r="V193" s="57">
        <f t="shared" ref="V193" si="115">+$O193/$J193*I193</f>
        <v>0</v>
      </c>
    </row>
    <row r="194" spans="1:22">
      <c r="A194" s="102" t="s">
        <v>343</v>
      </c>
      <c r="B194" s="6" t="s">
        <v>485</v>
      </c>
      <c r="C194" s="88">
        <v>0.629</v>
      </c>
      <c r="D194" s="88">
        <v>0</v>
      </c>
      <c r="E194" s="88">
        <v>0</v>
      </c>
      <c r="F194" s="88">
        <v>0</v>
      </c>
      <c r="G194" s="88">
        <v>0</v>
      </c>
      <c r="H194" s="88">
        <v>0</v>
      </c>
      <c r="I194" s="88">
        <v>0</v>
      </c>
      <c r="J194" s="6">
        <v>25</v>
      </c>
      <c r="K194" s="6">
        <v>5</v>
      </c>
      <c r="L194" s="6" t="s">
        <v>173</v>
      </c>
      <c r="M194" s="6" t="s">
        <v>11</v>
      </c>
      <c r="N194" s="9" t="s">
        <v>41</v>
      </c>
      <c r="O194" s="59">
        <v>25</v>
      </c>
      <c r="P194" s="57">
        <f t="shared" ref="P194" si="116">+$O194/$J194*C194</f>
        <v>0.629</v>
      </c>
      <c r="Q194" s="57">
        <f t="shared" ref="Q194" si="117">+$O194/$J194*D194</f>
        <v>0</v>
      </c>
      <c r="R194" s="57">
        <f t="shared" ref="R194" si="118">+$O194/$J194*E194</f>
        <v>0</v>
      </c>
      <c r="S194" s="57">
        <f t="shared" ref="S194" si="119">+$O194/$J194*F194</f>
        <v>0</v>
      </c>
      <c r="T194" s="57">
        <f t="shared" ref="T194" si="120">+$O194/$J194*G194</f>
        <v>0</v>
      </c>
      <c r="U194" s="57">
        <f t="shared" ref="U194" si="121">+$O194/$J194*H194</f>
        <v>0</v>
      </c>
      <c r="V194" s="57">
        <f t="shared" ref="V194" si="122">+$O194/$J194*I194</f>
        <v>0</v>
      </c>
    </row>
    <row r="195" spans="1:22">
      <c r="A195" s="102" t="s">
        <v>343</v>
      </c>
      <c r="B195" s="6" t="s">
        <v>25</v>
      </c>
      <c r="C195" s="88">
        <v>0.85899999999999999</v>
      </c>
      <c r="D195" s="88">
        <v>1.53</v>
      </c>
      <c r="E195" s="88">
        <v>3.08</v>
      </c>
      <c r="F195" s="88">
        <v>4.08</v>
      </c>
      <c r="G195" s="88">
        <v>3.38</v>
      </c>
      <c r="H195" s="88">
        <v>2.48</v>
      </c>
      <c r="I195" s="88">
        <v>3.48</v>
      </c>
      <c r="J195" s="6">
        <v>100</v>
      </c>
      <c r="K195" s="6">
        <v>5</v>
      </c>
      <c r="L195" s="6" t="s">
        <v>173</v>
      </c>
      <c r="M195" s="6" t="s">
        <v>11</v>
      </c>
      <c r="N195" s="9" t="s">
        <v>41</v>
      </c>
      <c r="O195" s="59">
        <v>50</v>
      </c>
      <c r="P195" s="57">
        <f t="shared" si="74"/>
        <v>0.42949999999999999</v>
      </c>
      <c r="Q195" s="57">
        <f t="shared" si="75"/>
        <v>0.76500000000000001</v>
      </c>
      <c r="R195" s="57">
        <f t="shared" si="76"/>
        <v>1.54</v>
      </c>
      <c r="S195" s="57">
        <f t="shared" si="77"/>
        <v>2.04</v>
      </c>
      <c r="T195" s="57">
        <f t="shared" si="78"/>
        <v>1.69</v>
      </c>
      <c r="U195" s="57">
        <f t="shared" si="79"/>
        <v>1.24</v>
      </c>
      <c r="V195" s="57">
        <f t="shared" si="80"/>
        <v>1.74</v>
      </c>
    </row>
    <row r="196" spans="1:22">
      <c r="A196" s="102" t="s">
        <v>343</v>
      </c>
      <c r="B196" s="6" t="s">
        <v>277</v>
      </c>
      <c r="C196" s="88">
        <v>14.5</v>
      </c>
      <c r="D196" s="88">
        <v>7.25</v>
      </c>
      <c r="E196" s="88">
        <v>7.6509999999999998</v>
      </c>
      <c r="F196" s="88">
        <v>7.6509999999999998</v>
      </c>
      <c r="G196" s="88">
        <v>5.4009999999999998</v>
      </c>
      <c r="H196" s="88">
        <v>5.4009999999999998</v>
      </c>
      <c r="I196" s="88">
        <v>5.4009999999999998</v>
      </c>
      <c r="J196" s="6">
        <v>100</v>
      </c>
      <c r="K196" s="6">
        <v>5</v>
      </c>
      <c r="L196" s="6" t="s">
        <v>173</v>
      </c>
      <c r="M196" s="6" t="s">
        <v>26</v>
      </c>
      <c r="N196" s="6" t="s">
        <v>40</v>
      </c>
      <c r="O196" s="59">
        <v>25</v>
      </c>
      <c r="P196" s="57">
        <f t="shared" si="74"/>
        <v>3.625</v>
      </c>
      <c r="Q196" s="57">
        <f t="shared" si="75"/>
        <v>1.8125</v>
      </c>
      <c r="R196" s="57">
        <f t="shared" si="76"/>
        <v>1.91275</v>
      </c>
      <c r="S196" s="57">
        <f t="shared" si="77"/>
        <v>1.91275</v>
      </c>
      <c r="T196" s="57">
        <f t="shared" si="78"/>
        <v>1.35025</v>
      </c>
      <c r="U196" s="57">
        <f t="shared" si="79"/>
        <v>1.35025</v>
      </c>
      <c r="V196" s="57">
        <f t="shared" si="80"/>
        <v>1.35025</v>
      </c>
    </row>
    <row r="197" spans="1:22">
      <c r="A197" s="102" t="s">
        <v>344</v>
      </c>
      <c r="B197" s="6" t="s">
        <v>486</v>
      </c>
      <c r="C197" s="88">
        <v>0.11</v>
      </c>
      <c r="D197" s="88">
        <v>0.1</v>
      </c>
      <c r="E197" s="88">
        <v>0</v>
      </c>
      <c r="F197" s="88">
        <v>0</v>
      </c>
      <c r="G197" s="88">
        <v>0</v>
      </c>
      <c r="H197" s="88">
        <v>0</v>
      </c>
      <c r="I197" s="88">
        <v>0</v>
      </c>
      <c r="J197" s="6">
        <v>100</v>
      </c>
      <c r="K197" s="6">
        <v>5</v>
      </c>
      <c r="L197" s="6" t="s">
        <v>173</v>
      </c>
      <c r="M197" s="9" t="s">
        <v>41</v>
      </c>
      <c r="N197" s="6" t="s">
        <v>41</v>
      </c>
      <c r="O197" s="59">
        <v>0</v>
      </c>
    </row>
    <row r="198" spans="1:22">
      <c r="A198" s="102" t="s">
        <v>344</v>
      </c>
      <c r="B198" s="6" t="s">
        <v>487</v>
      </c>
      <c r="C198" s="88">
        <v>0.74199999999999999</v>
      </c>
      <c r="D198" s="88">
        <v>2.2810000000000001</v>
      </c>
      <c r="E198" s="88">
        <v>1.466</v>
      </c>
      <c r="F198" s="88">
        <v>2.4660000000000002</v>
      </c>
      <c r="G198" s="88">
        <v>2.52</v>
      </c>
      <c r="H198" s="88">
        <v>2.52</v>
      </c>
      <c r="I198" s="88">
        <v>1.52</v>
      </c>
      <c r="J198" s="6">
        <v>100</v>
      </c>
      <c r="K198" s="6">
        <v>5</v>
      </c>
      <c r="L198" s="6" t="s">
        <v>173</v>
      </c>
      <c r="M198" s="9" t="s">
        <v>41</v>
      </c>
      <c r="N198" s="6" t="s">
        <v>41</v>
      </c>
      <c r="O198" s="59">
        <v>0</v>
      </c>
    </row>
    <row r="199" spans="1:22">
      <c r="A199" s="102" t="s">
        <v>344</v>
      </c>
      <c r="B199" s="6" t="s">
        <v>488</v>
      </c>
      <c r="C199" s="88">
        <v>0.95599999999999996</v>
      </c>
      <c r="D199" s="88">
        <v>2.5</v>
      </c>
      <c r="E199" s="88">
        <v>2.5</v>
      </c>
      <c r="F199" s="88">
        <v>2.5</v>
      </c>
      <c r="G199" s="88">
        <v>2.5</v>
      </c>
      <c r="H199" s="88">
        <v>2.5</v>
      </c>
      <c r="I199" s="88">
        <v>2.5</v>
      </c>
      <c r="J199" s="6">
        <v>100</v>
      </c>
      <c r="K199" s="6">
        <v>1</v>
      </c>
      <c r="L199" s="101" t="s">
        <v>642</v>
      </c>
      <c r="M199" s="9" t="s">
        <v>41</v>
      </c>
      <c r="N199" s="6" t="s">
        <v>41</v>
      </c>
      <c r="O199" s="59">
        <v>0</v>
      </c>
    </row>
    <row r="200" spans="1:22">
      <c r="A200" s="102" t="s">
        <v>344</v>
      </c>
      <c r="B200" s="6" t="s">
        <v>489</v>
      </c>
      <c r="C200" s="88">
        <v>0.16300000000000001</v>
      </c>
      <c r="D200" s="88">
        <v>0.25</v>
      </c>
      <c r="E200" s="88">
        <v>0.25</v>
      </c>
      <c r="F200" s="88">
        <v>0.25</v>
      </c>
      <c r="G200" s="88">
        <v>0.25</v>
      </c>
      <c r="H200" s="88">
        <v>0.25</v>
      </c>
      <c r="I200" s="88">
        <v>0.25</v>
      </c>
      <c r="J200" s="6">
        <v>100</v>
      </c>
      <c r="K200" s="6">
        <v>1</v>
      </c>
      <c r="L200" s="101" t="s">
        <v>643</v>
      </c>
      <c r="M200" s="9" t="s">
        <v>41</v>
      </c>
      <c r="N200" s="6" t="s">
        <v>41</v>
      </c>
      <c r="O200" s="59">
        <v>0</v>
      </c>
    </row>
    <row r="201" spans="1:22">
      <c r="A201" s="102" t="s">
        <v>344</v>
      </c>
      <c r="B201" s="6" t="s">
        <v>28</v>
      </c>
      <c r="C201" s="88">
        <v>5.4</v>
      </c>
      <c r="D201" s="88">
        <v>11.88</v>
      </c>
      <c r="E201" s="88">
        <v>0</v>
      </c>
      <c r="F201" s="88">
        <v>0</v>
      </c>
      <c r="G201" s="88">
        <v>0</v>
      </c>
      <c r="H201" s="88">
        <v>0</v>
      </c>
      <c r="I201" s="88">
        <v>0</v>
      </c>
      <c r="J201" s="6">
        <v>60</v>
      </c>
      <c r="K201" s="6">
        <v>5</v>
      </c>
      <c r="L201" s="6" t="s">
        <v>173</v>
      </c>
      <c r="M201" s="9" t="s">
        <v>41</v>
      </c>
      <c r="N201" s="9" t="s">
        <v>41</v>
      </c>
      <c r="O201" s="59">
        <v>50</v>
      </c>
      <c r="P201" s="57">
        <f t="shared" si="74"/>
        <v>4.5000000000000009</v>
      </c>
      <c r="Q201" s="57">
        <f t="shared" si="75"/>
        <v>9.9</v>
      </c>
      <c r="R201" s="57">
        <f t="shared" si="76"/>
        <v>0</v>
      </c>
      <c r="S201" s="57">
        <f t="shared" si="77"/>
        <v>0</v>
      </c>
      <c r="T201" s="57">
        <f t="shared" si="78"/>
        <v>0</v>
      </c>
      <c r="U201" s="57">
        <f t="shared" si="79"/>
        <v>0</v>
      </c>
      <c r="V201" s="57">
        <f t="shared" si="80"/>
        <v>0</v>
      </c>
    </row>
    <row r="202" spans="1:22">
      <c r="A202" s="102" t="s">
        <v>345</v>
      </c>
      <c r="B202" s="6" t="s">
        <v>29</v>
      </c>
      <c r="C202" s="88">
        <v>23.518999999999998</v>
      </c>
      <c r="D202" s="88">
        <v>134.86199999999999</v>
      </c>
      <c r="E202" s="88">
        <v>12.505000000000001</v>
      </c>
      <c r="F202" s="88">
        <v>1.1879999999999999</v>
      </c>
      <c r="G202" s="88">
        <v>9.3230000000000004</v>
      </c>
      <c r="H202" s="88">
        <v>9.3179999999999996</v>
      </c>
      <c r="I202" s="88">
        <v>9.3179999999999996</v>
      </c>
      <c r="J202" s="6">
        <v>100</v>
      </c>
      <c r="K202" s="6">
        <v>5</v>
      </c>
      <c r="L202" s="6" t="s">
        <v>173</v>
      </c>
      <c r="M202" s="6" t="s">
        <v>30</v>
      </c>
      <c r="N202" s="6" t="s">
        <v>40</v>
      </c>
      <c r="O202" s="59">
        <v>100</v>
      </c>
      <c r="P202" s="57">
        <f t="shared" si="74"/>
        <v>23.518999999999998</v>
      </c>
      <c r="Q202" s="57">
        <f t="shared" si="75"/>
        <v>134.86199999999999</v>
      </c>
      <c r="R202" s="57">
        <f t="shared" si="76"/>
        <v>12.505000000000001</v>
      </c>
      <c r="S202" s="57">
        <f t="shared" si="77"/>
        <v>1.1879999999999999</v>
      </c>
      <c r="T202" s="57">
        <f t="shared" si="78"/>
        <v>9.3230000000000004</v>
      </c>
      <c r="U202" s="57">
        <f t="shared" si="79"/>
        <v>9.3179999999999996</v>
      </c>
      <c r="V202" s="57">
        <f t="shared" si="80"/>
        <v>9.3179999999999996</v>
      </c>
    </row>
    <row r="203" spans="1:22">
      <c r="A203" s="102" t="s">
        <v>344</v>
      </c>
      <c r="B203" s="6" t="s">
        <v>490</v>
      </c>
      <c r="C203" s="88">
        <v>0.104</v>
      </c>
      <c r="D203" s="88">
        <v>0.03</v>
      </c>
      <c r="E203" s="88">
        <v>0</v>
      </c>
      <c r="F203" s="88">
        <v>0</v>
      </c>
      <c r="G203" s="88">
        <v>0</v>
      </c>
      <c r="H203" s="88">
        <v>0</v>
      </c>
      <c r="I203" s="88">
        <v>0</v>
      </c>
      <c r="J203" s="6">
        <v>100</v>
      </c>
      <c r="K203" s="6">
        <v>5</v>
      </c>
      <c r="L203" s="6" t="s">
        <v>173</v>
      </c>
      <c r="M203" s="9" t="s">
        <v>41</v>
      </c>
      <c r="N203" s="6" t="s">
        <v>41</v>
      </c>
      <c r="O203" s="59">
        <v>0</v>
      </c>
      <c r="P203" s="57">
        <f t="shared" ref="P203:P206" si="123">+$O203/$J203*C203</f>
        <v>0</v>
      </c>
      <c r="Q203" s="57">
        <f t="shared" ref="Q203:Q206" si="124">+$O203/$J203*D203</f>
        <v>0</v>
      </c>
      <c r="R203" s="57">
        <f t="shared" ref="R203:R206" si="125">+$O203/$J203*E203</f>
        <v>0</v>
      </c>
      <c r="S203" s="57">
        <f t="shared" ref="S203:S206" si="126">+$O203/$J203*F203</f>
        <v>0</v>
      </c>
      <c r="T203" s="57">
        <f t="shared" ref="T203:T206" si="127">+$O203/$J203*G203</f>
        <v>0</v>
      </c>
      <c r="U203" s="57">
        <f t="shared" ref="U203:U206" si="128">+$O203/$J203*H203</f>
        <v>0</v>
      </c>
      <c r="V203" s="57">
        <f t="shared" ref="V203:V206" si="129">+$O203/$J203*I203</f>
        <v>0</v>
      </c>
    </row>
    <row r="204" spans="1:22">
      <c r="A204" s="102" t="s">
        <v>344</v>
      </c>
      <c r="B204" s="6" t="s">
        <v>491</v>
      </c>
      <c r="C204" s="88">
        <v>1.454</v>
      </c>
      <c r="D204" s="88">
        <v>1.7230000000000001</v>
      </c>
      <c r="E204" s="88">
        <v>2.0150000000000001</v>
      </c>
      <c r="F204" s="88">
        <v>2.0219999999999998</v>
      </c>
      <c r="G204" s="88">
        <v>2.0219999999999998</v>
      </c>
      <c r="H204" s="88">
        <v>2.0219999999999998</v>
      </c>
      <c r="I204" s="88">
        <v>2.0219999999999998</v>
      </c>
      <c r="J204" s="6">
        <v>100</v>
      </c>
      <c r="K204" s="6">
        <v>5</v>
      </c>
      <c r="L204" s="6" t="s">
        <v>173</v>
      </c>
      <c r="M204" s="9" t="s">
        <v>41</v>
      </c>
      <c r="N204" s="6" t="s">
        <v>41</v>
      </c>
      <c r="O204" s="59">
        <v>0</v>
      </c>
      <c r="P204" s="57">
        <f t="shared" ref="P204" si="130">+$O204/$J204*C204</f>
        <v>0</v>
      </c>
      <c r="Q204" s="57">
        <f t="shared" ref="Q204" si="131">+$O204/$J204*D204</f>
        <v>0</v>
      </c>
      <c r="R204" s="57">
        <f t="shared" ref="R204" si="132">+$O204/$J204*E204</f>
        <v>0</v>
      </c>
      <c r="S204" s="57">
        <f t="shared" ref="S204" si="133">+$O204/$J204*F204</f>
        <v>0</v>
      </c>
      <c r="T204" s="57">
        <f t="shared" ref="T204" si="134">+$O204/$J204*G204</f>
        <v>0</v>
      </c>
      <c r="U204" s="57">
        <f t="shared" ref="U204" si="135">+$O204/$J204*H204</f>
        <v>0</v>
      </c>
      <c r="V204" s="57">
        <f t="shared" ref="V204" si="136">+$O204/$J204*I204</f>
        <v>0</v>
      </c>
    </row>
    <row r="205" spans="1:22">
      <c r="A205" s="102" t="s">
        <v>346</v>
      </c>
      <c r="B205" s="6" t="s">
        <v>347</v>
      </c>
      <c r="C205" s="88">
        <v>4.9989999999999997</v>
      </c>
      <c r="D205" s="88">
        <v>4.05</v>
      </c>
      <c r="E205" s="88">
        <v>3.29</v>
      </c>
      <c r="F205" s="88">
        <v>3.29</v>
      </c>
      <c r="G205" s="88">
        <v>3.29</v>
      </c>
      <c r="H205" s="88">
        <v>3.29</v>
      </c>
      <c r="I205" s="88">
        <v>3.29</v>
      </c>
      <c r="J205" s="6">
        <v>100</v>
      </c>
      <c r="K205" s="6">
        <v>5</v>
      </c>
      <c r="L205" s="6" t="s">
        <v>173</v>
      </c>
      <c r="M205" s="6" t="s">
        <v>16</v>
      </c>
      <c r="N205" s="6" t="s">
        <v>40</v>
      </c>
      <c r="O205" s="59">
        <v>50</v>
      </c>
      <c r="P205" s="57">
        <f t="shared" si="123"/>
        <v>2.4994999999999998</v>
      </c>
      <c r="Q205" s="57">
        <f t="shared" si="124"/>
        <v>2.0249999999999999</v>
      </c>
      <c r="R205" s="57">
        <f t="shared" si="125"/>
        <v>1.645</v>
      </c>
      <c r="S205" s="57">
        <f t="shared" si="126"/>
        <v>1.645</v>
      </c>
      <c r="T205" s="57">
        <f t="shared" si="127"/>
        <v>1.645</v>
      </c>
      <c r="U205" s="57">
        <f t="shared" si="128"/>
        <v>1.645</v>
      </c>
      <c r="V205" s="57">
        <f t="shared" si="129"/>
        <v>1.645</v>
      </c>
    </row>
    <row r="206" spans="1:22">
      <c r="A206" s="102" t="s">
        <v>346</v>
      </c>
      <c r="B206" s="6" t="s">
        <v>633</v>
      </c>
      <c r="C206" s="88">
        <v>0</v>
      </c>
      <c r="D206" s="88">
        <v>31.884</v>
      </c>
      <c r="E206" s="88">
        <v>13.978999999999999</v>
      </c>
      <c r="F206" s="88">
        <v>24.933</v>
      </c>
      <c r="G206" s="88">
        <v>17.632999999999999</v>
      </c>
      <c r="H206" s="88">
        <v>17.638000000000002</v>
      </c>
      <c r="I206" s="88">
        <v>17.638000000000002</v>
      </c>
      <c r="J206" s="6">
        <v>100</v>
      </c>
      <c r="K206" s="6">
        <v>5</v>
      </c>
      <c r="L206" s="6" t="s">
        <v>173</v>
      </c>
      <c r="M206" s="6" t="s">
        <v>16</v>
      </c>
      <c r="N206" s="6" t="s">
        <v>40</v>
      </c>
      <c r="O206" s="59">
        <v>50</v>
      </c>
      <c r="P206" s="57">
        <f t="shared" si="123"/>
        <v>0</v>
      </c>
      <c r="Q206" s="57">
        <f t="shared" si="124"/>
        <v>15.942</v>
      </c>
      <c r="R206" s="57">
        <f t="shared" si="125"/>
        <v>6.9894999999999996</v>
      </c>
      <c r="S206" s="57">
        <f t="shared" si="126"/>
        <v>12.4665</v>
      </c>
      <c r="T206" s="57">
        <f t="shared" si="127"/>
        <v>8.8164999999999996</v>
      </c>
      <c r="U206" s="57">
        <f t="shared" si="128"/>
        <v>8.8190000000000008</v>
      </c>
      <c r="V206" s="57">
        <f t="shared" si="129"/>
        <v>8.8190000000000008</v>
      </c>
    </row>
    <row r="207" spans="1:22">
      <c r="A207" s="102" t="s">
        <v>492</v>
      </c>
      <c r="B207" s="6" t="s">
        <v>493</v>
      </c>
      <c r="C207" s="88">
        <v>1.141</v>
      </c>
      <c r="D207" s="88">
        <v>1.7410000000000001</v>
      </c>
      <c r="E207" s="88">
        <v>1.7410000000000001</v>
      </c>
      <c r="F207" s="88">
        <v>1.7410000000000001</v>
      </c>
      <c r="G207" s="88">
        <v>1.7410000000000001</v>
      </c>
      <c r="H207" s="88">
        <v>1.7410000000000001</v>
      </c>
      <c r="I207" s="88">
        <v>1.7410000000000001</v>
      </c>
      <c r="J207" s="6">
        <v>100</v>
      </c>
      <c r="K207" s="6">
        <v>5</v>
      </c>
      <c r="L207" s="6" t="s">
        <v>173</v>
      </c>
      <c r="M207" s="6" t="s">
        <v>16</v>
      </c>
      <c r="N207" s="6" t="s">
        <v>40</v>
      </c>
      <c r="O207" s="59">
        <v>50</v>
      </c>
      <c r="P207" s="57">
        <f t="shared" ref="P207" si="137">+$O207/$J207*C207</f>
        <v>0.57050000000000001</v>
      </c>
      <c r="Q207" s="57">
        <f t="shared" ref="Q207" si="138">+$O207/$J207*D207</f>
        <v>0.87050000000000005</v>
      </c>
      <c r="R207" s="57">
        <f t="shared" ref="R207" si="139">+$O207/$J207*E207</f>
        <v>0.87050000000000005</v>
      </c>
      <c r="S207" s="57">
        <f t="shared" ref="S207" si="140">+$O207/$J207*F207</f>
        <v>0.87050000000000005</v>
      </c>
      <c r="T207" s="57">
        <f t="shared" ref="T207" si="141">+$O207/$J207*G207</f>
        <v>0.87050000000000005</v>
      </c>
      <c r="U207" s="57">
        <f t="shared" ref="U207" si="142">+$O207/$J207*H207</f>
        <v>0.87050000000000005</v>
      </c>
      <c r="V207" s="57">
        <f t="shared" ref="V207" si="143">+$O207/$J207*I207</f>
        <v>0.87050000000000005</v>
      </c>
    </row>
    <row r="208" spans="1:22" ht="15">
      <c r="A208" s="69" t="s">
        <v>349</v>
      </c>
      <c r="B208" s="106" t="s">
        <v>348</v>
      </c>
      <c r="C208" s="88"/>
      <c r="D208" s="88"/>
      <c r="E208" s="88"/>
      <c r="F208" s="88"/>
      <c r="G208" s="88"/>
      <c r="H208" s="88"/>
      <c r="I208" s="88"/>
    </row>
    <row r="209" spans="1:22">
      <c r="A209" s="102" t="s">
        <v>351</v>
      </c>
      <c r="B209" s="6" t="s">
        <v>350</v>
      </c>
      <c r="C209" s="88">
        <v>5.093</v>
      </c>
      <c r="D209" s="88">
        <v>8.8859999999999992</v>
      </c>
      <c r="E209" s="88">
        <v>7.1109999999999998</v>
      </c>
      <c r="F209" s="88">
        <v>7.1109999999999998</v>
      </c>
      <c r="G209" s="88">
        <v>6.0949999999999998</v>
      </c>
      <c r="H209" s="88">
        <v>5.08</v>
      </c>
      <c r="I209" s="88">
        <v>4.0860000000000003</v>
      </c>
      <c r="J209" s="6">
        <v>100</v>
      </c>
      <c r="K209" s="6">
        <v>5</v>
      </c>
      <c r="L209" s="6" t="s">
        <v>173</v>
      </c>
      <c r="M209" s="6" t="s">
        <v>41</v>
      </c>
      <c r="N209" s="6" t="s">
        <v>41</v>
      </c>
      <c r="O209" s="59">
        <v>0</v>
      </c>
      <c r="P209" s="57">
        <f t="shared" ref="P209" si="144">+$O209/$J209*C209</f>
        <v>0</v>
      </c>
      <c r="Q209" s="57">
        <f t="shared" ref="Q209" si="145">+$O209/$J209*D209</f>
        <v>0</v>
      </c>
      <c r="R209" s="57">
        <f t="shared" ref="R209" si="146">+$O209/$J209*E209</f>
        <v>0</v>
      </c>
      <c r="S209" s="57">
        <f t="shared" ref="S209" si="147">+$O209/$J209*F209</f>
        <v>0</v>
      </c>
      <c r="T209" s="57">
        <f t="shared" ref="T209" si="148">+$O209/$J209*G209</f>
        <v>0</v>
      </c>
      <c r="U209" s="57">
        <f t="shared" ref="U209" si="149">+$O209/$J209*H209</f>
        <v>0</v>
      </c>
      <c r="V209" s="57">
        <f t="shared" ref="V209" si="150">+$O209/$J209*I209</f>
        <v>0</v>
      </c>
    </row>
    <row r="210" spans="1:22" ht="15">
      <c r="B210" s="69" t="s">
        <v>541</v>
      </c>
      <c r="C210" s="69">
        <f>SUM(C110:C209)</f>
        <v>657.10300000000007</v>
      </c>
      <c r="D210" s="69">
        <f t="shared" ref="D210:I210" si="151">SUM(D110:D209)</f>
        <v>922.14899999999966</v>
      </c>
      <c r="E210" s="69">
        <f t="shared" si="151"/>
        <v>781.99300000000005</v>
      </c>
      <c r="F210" s="69">
        <f t="shared" si="151"/>
        <v>832.18900000000031</v>
      </c>
      <c r="G210" s="69">
        <f t="shared" si="151"/>
        <v>805.35199999999998</v>
      </c>
      <c r="H210" s="69">
        <f t="shared" si="151"/>
        <v>805.31299999999999</v>
      </c>
      <c r="I210" s="69">
        <f t="shared" si="151"/>
        <v>792.48300000000006</v>
      </c>
      <c r="P210" s="121">
        <f>SUM(P109,P116,P167,P183)</f>
        <v>585.01200000000006</v>
      </c>
      <c r="Q210" s="121">
        <f t="shared" ref="Q210:V210" si="152">SUM(Q109,Q116,Q167,Q183)</f>
        <v>808.42</v>
      </c>
      <c r="R210" s="121">
        <f t="shared" si="152"/>
        <v>692.72974999999997</v>
      </c>
      <c r="S210" s="121">
        <f t="shared" si="152"/>
        <v>718.81975000000023</v>
      </c>
      <c r="T210" s="121">
        <f t="shared" si="152"/>
        <v>715.19325000000003</v>
      </c>
      <c r="U210" s="121">
        <f t="shared" si="152"/>
        <v>718.27224999999999</v>
      </c>
      <c r="V210" s="121">
        <f t="shared" si="152"/>
        <v>707.33574999999996</v>
      </c>
    </row>
    <row r="211" spans="1:22">
      <c r="C211" s="88"/>
      <c r="D211" s="88"/>
      <c r="E211" s="88"/>
      <c r="F211" s="88"/>
      <c r="G211" s="88"/>
      <c r="H211" s="88"/>
      <c r="I211" s="88"/>
    </row>
    <row r="212" spans="1:22" s="14" customFormat="1" ht="15">
      <c r="B212" s="13" t="s">
        <v>667</v>
      </c>
      <c r="L212" s="15"/>
      <c r="P212" s="232"/>
      <c r="Q212" s="232"/>
      <c r="R212" s="232"/>
      <c r="S212" s="232"/>
      <c r="T212" s="232"/>
      <c r="U212" s="232"/>
      <c r="V212" s="232"/>
    </row>
    <row r="213" spans="1:22" s="69" customFormat="1" ht="15">
      <c r="A213" s="69" t="s">
        <v>353</v>
      </c>
      <c r="B213" s="106" t="s">
        <v>31</v>
      </c>
      <c r="C213" s="107"/>
      <c r="D213" s="107"/>
      <c r="E213" s="107"/>
      <c r="F213" s="107"/>
      <c r="G213" s="107"/>
      <c r="H213" s="107"/>
      <c r="I213" s="107"/>
      <c r="L213" s="21"/>
      <c r="O213" s="108"/>
    </row>
    <row r="214" spans="1:22">
      <c r="A214" s="103" t="s">
        <v>354</v>
      </c>
      <c r="B214" s="9" t="s">
        <v>500</v>
      </c>
      <c r="C214" s="54">
        <v>0</v>
      </c>
      <c r="D214" s="54">
        <v>0</v>
      </c>
      <c r="E214" s="54">
        <v>0</v>
      </c>
      <c r="F214" s="54">
        <v>0</v>
      </c>
      <c r="G214" s="54">
        <v>0.25800000000000001</v>
      </c>
      <c r="H214" s="54">
        <v>0.25800000000000001</v>
      </c>
      <c r="I214" s="190" t="s">
        <v>636</v>
      </c>
      <c r="J214" s="9">
        <v>100</v>
      </c>
      <c r="K214" s="10">
        <v>8</v>
      </c>
      <c r="L214" s="9" t="s">
        <v>172</v>
      </c>
      <c r="M214" s="9" t="s">
        <v>7</v>
      </c>
      <c r="N214" s="9" t="s">
        <v>41</v>
      </c>
      <c r="O214" s="59">
        <v>100</v>
      </c>
      <c r="P214" s="57">
        <f t="shared" ref="P214" si="153">+$O214/100*C214</f>
        <v>0</v>
      </c>
      <c r="Q214" s="57">
        <f t="shared" ref="Q214" si="154">+$O214/100*D214</f>
        <v>0</v>
      </c>
      <c r="R214" s="57">
        <f t="shared" ref="R214" si="155">+$O214/100*E214</f>
        <v>0</v>
      </c>
      <c r="S214" s="57">
        <f t="shared" ref="S214" si="156">+$O214/100*F214</f>
        <v>0</v>
      </c>
      <c r="T214" s="57">
        <f t="shared" ref="T214" si="157">+$O214/100*G214</f>
        <v>0.25800000000000001</v>
      </c>
      <c r="U214" s="57">
        <f t="shared" ref="U214" si="158">+$O214/100*H214</f>
        <v>0.25800000000000001</v>
      </c>
    </row>
    <row r="215" spans="1:22">
      <c r="A215" s="103" t="s">
        <v>354</v>
      </c>
      <c r="B215" s="9" t="s">
        <v>501</v>
      </c>
      <c r="C215" s="54">
        <v>1.1020000000000001</v>
      </c>
      <c r="D215" s="54">
        <v>3.1970000000000001</v>
      </c>
      <c r="E215" s="54">
        <v>2.609</v>
      </c>
      <c r="F215" s="54">
        <v>2.0840000000000001</v>
      </c>
      <c r="G215" s="54">
        <v>2.3340000000000001</v>
      </c>
      <c r="H215" s="54">
        <v>2.4079999999999999</v>
      </c>
      <c r="I215" s="190" t="s">
        <v>636</v>
      </c>
      <c r="J215" s="9">
        <v>100</v>
      </c>
      <c r="K215" s="10">
        <v>6</v>
      </c>
      <c r="L215" s="9" t="s">
        <v>174</v>
      </c>
      <c r="M215" s="9" t="s">
        <v>7</v>
      </c>
      <c r="N215" s="9" t="s">
        <v>41</v>
      </c>
      <c r="O215" s="59">
        <v>100</v>
      </c>
      <c r="P215" s="57">
        <f t="shared" ref="P215" si="159">+$O215/100*C215</f>
        <v>1.1020000000000001</v>
      </c>
      <c r="Q215" s="57">
        <f t="shared" ref="Q215" si="160">+$O215/100*D215</f>
        <v>3.1970000000000001</v>
      </c>
      <c r="R215" s="57">
        <f t="shared" ref="R215" si="161">+$O215/100*E215</f>
        <v>2.609</v>
      </c>
      <c r="S215" s="57">
        <f t="shared" ref="S215" si="162">+$O215/100*F215</f>
        <v>2.0840000000000001</v>
      </c>
      <c r="T215" s="57">
        <f t="shared" ref="T215" si="163">+$O215/100*G215</f>
        <v>2.3340000000000001</v>
      </c>
      <c r="U215" s="57">
        <f t="shared" ref="U215" si="164">+$O215/100*H215</f>
        <v>2.4079999999999999</v>
      </c>
    </row>
    <row r="216" spans="1:22">
      <c r="A216" s="103" t="s">
        <v>354</v>
      </c>
      <c r="B216" s="9" t="s">
        <v>502</v>
      </c>
      <c r="C216" s="54">
        <v>2.9000000000000001E-2</v>
      </c>
      <c r="D216" s="54">
        <v>0.65200000000000002</v>
      </c>
      <c r="E216" s="54">
        <v>1.34</v>
      </c>
      <c r="F216" s="54">
        <v>1.3919999999999999</v>
      </c>
      <c r="G216" s="54">
        <v>1.3919999999999999</v>
      </c>
      <c r="H216" s="54">
        <v>1.3919999999999999</v>
      </c>
      <c r="I216" s="190" t="s">
        <v>636</v>
      </c>
      <c r="J216" s="9">
        <v>100</v>
      </c>
      <c r="K216" s="9">
        <v>6</v>
      </c>
      <c r="L216" s="9" t="s">
        <v>174</v>
      </c>
      <c r="M216" s="9" t="s">
        <v>7</v>
      </c>
      <c r="N216" s="9" t="s">
        <v>41</v>
      </c>
      <c r="O216" s="59">
        <v>100</v>
      </c>
      <c r="P216" s="57">
        <f>+$O216/100*C216</f>
        <v>2.9000000000000001E-2</v>
      </c>
      <c r="Q216" s="57">
        <v>0.15</v>
      </c>
      <c r="R216" s="57">
        <v>0.94</v>
      </c>
      <c r="S216" s="57">
        <v>0.94</v>
      </c>
      <c r="T216" s="57">
        <v>0.94</v>
      </c>
      <c r="U216" s="57">
        <v>0.94</v>
      </c>
      <c r="V216" s="57">
        <v>0.94</v>
      </c>
    </row>
    <row r="217" spans="1:22">
      <c r="A217" s="103" t="s">
        <v>354</v>
      </c>
      <c r="B217" s="9" t="s">
        <v>503</v>
      </c>
      <c r="C217" s="54">
        <v>0.64400000000000002</v>
      </c>
      <c r="D217" s="54">
        <v>0.501</v>
      </c>
      <c r="E217" s="54">
        <v>0.93700000000000006</v>
      </c>
      <c r="F217" s="54">
        <v>0.503</v>
      </c>
      <c r="G217" s="54">
        <v>0.503</v>
      </c>
      <c r="H217" s="54">
        <v>0.503</v>
      </c>
      <c r="I217" s="190" t="s">
        <v>636</v>
      </c>
      <c r="J217" s="9">
        <v>100</v>
      </c>
      <c r="K217" s="9">
        <v>6</v>
      </c>
      <c r="L217" s="9" t="s">
        <v>174</v>
      </c>
      <c r="M217" s="9" t="s">
        <v>7</v>
      </c>
      <c r="N217" s="9" t="s">
        <v>41</v>
      </c>
      <c r="O217" s="59">
        <v>100</v>
      </c>
      <c r="P217" s="57">
        <f>+$O217/100*C217</f>
        <v>0.64400000000000002</v>
      </c>
      <c r="Q217" s="57">
        <v>0.15</v>
      </c>
      <c r="R217" s="57">
        <v>0.94</v>
      </c>
      <c r="S217" s="57">
        <v>0.94</v>
      </c>
      <c r="T217" s="57">
        <v>0.94</v>
      </c>
      <c r="U217" s="57">
        <v>0.94</v>
      </c>
      <c r="V217" s="57">
        <v>0.94</v>
      </c>
    </row>
    <row r="218" spans="1:22">
      <c r="A218" s="103" t="s">
        <v>356</v>
      </c>
      <c r="B218" s="8" t="s">
        <v>504</v>
      </c>
      <c r="C218" s="235">
        <v>9.6430000000000007</v>
      </c>
      <c r="D218" s="235">
        <v>23.532</v>
      </c>
      <c r="E218" s="235">
        <v>23.431999999999999</v>
      </c>
      <c r="F218" s="235">
        <v>23.532</v>
      </c>
      <c r="G218" s="235">
        <v>23.532</v>
      </c>
      <c r="H218" s="235">
        <v>23.402000000000001</v>
      </c>
      <c r="I218" s="235">
        <v>24.276</v>
      </c>
      <c r="J218" s="9">
        <v>100</v>
      </c>
      <c r="K218" s="124">
        <v>8</v>
      </c>
      <c r="L218" s="9" t="s">
        <v>219</v>
      </c>
      <c r="M218" s="9" t="s">
        <v>32</v>
      </c>
      <c r="N218" s="9" t="s">
        <v>40</v>
      </c>
      <c r="O218" s="59">
        <v>50</v>
      </c>
      <c r="P218" s="57">
        <f t="shared" ref="P218:T222" si="165">+$O218/100*C218</f>
        <v>4.8215000000000003</v>
      </c>
      <c r="Q218" s="57">
        <f t="shared" si="165"/>
        <v>11.766</v>
      </c>
      <c r="R218" s="57">
        <f t="shared" si="165"/>
        <v>11.715999999999999</v>
      </c>
      <c r="S218" s="57">
        <f t="shared" si="165"/>
        <v>11.766</v>
      </c>
      <c r="T218" s="57">
        <f t="shared" si="165"/>
        <v>11.766</v>
      </c>
      <c r="U218" s="57">
        <f t="shared" ref="U218:V218" si="166">+$O218/100*H218</f>
        <v>11.701000000000001</v>
      </c>
      <c r="V218" s="57">
        <f t="shared" si="166"/>
        <v>12.138</v>
      </c>
    </row>
    <row r="219" spans="1:22">
      <c r="A219" s="103" t="s">
        <v>356</v>
      </c>
      <c r="B219" s="8" t="s">
        <v>505</v>
      </c>
      <c r="C219" s="235">
        <v>3.8889999999999998</v>
      </c>
      <c r="D219" s="235">
        <v>4.1139999999999999</v>
      </c>
      <c r="E219" s="235">
        <v>4.1139999999999999</v>
      </c>
      <c r="F219" s="235">
        <v>4.1139999999999999</v>
      </c>
      <c r="G219" s="235">
        <v>4.1139999999999999</v>
      </c>
      <c r="H219" s="235">
        <v>4.0880000000000001</v>
      </c>
      <c r="I219" s="235">
        <v>4.0880000000000001</v>
      </c>
      <c r="J219" s="9">
        <v>100</v>
      </c>
      <c r="K219" s="124">
        <v>8</v>
      </c>
      <c r="L219" s="9" t="s">
        <v>219</v>
      </c>
      <c r="M219" s="9" t="s">
        <v>32</v>
      </c>
      <c r="N219" s="9" t="s">
        <v>40</v>
      </c>
      <c r="O219" s="59">
        <v>50</v>
      </c>
      <c r="P219" s="57">
        <f t="shared" ref="P219" si="167">+$O219/100*C219</f>
        <v>1.9444999999999999</v>
      </c>
      <c r="Q219" s="57">
        <f t="shared" ref="Q219" si="168">+$O219/100*D219</f>
        <v>2.0569999999999999</v>
      </c>
      <c r="R219" s="57">
        <f t="shared" ref="R219" si="169">+$O219/100*E219</f>
        <v>2.0569999999999999</v>
      </c>
      <c r="S219" s="57">
        <f t="shared" ref="S219" si="170">+$O219/100*F219</f>
        <v>2.0569999999999999</v>
      </c>
      <c r="T219" s="57">
        <f t="shared" ref="T219" si="171">+$O219/100*G219</f>
        <v>2.0569999999999999</v>
      </c>
      <c r="U219" s="57">
        <f t="shared" ref="U219" si="172">+$O219/100*H219</f>
        <v>2.044</v>
      </c>
      <c r="V219" s="57">
        <f t="shared" ref="V219" si="173">+$O219/100*I219</f>
        <v>2.044</v>
      </c>
    </row>
    <row r="220" spans="1:22">
      <c r="A220" s="103" t="s">
        <v>356</v>
      </c>
      <c r="B220" s="8" t="s">
        <v>171</v>
      </c>
      <c r="C220" s="54">
        <v>60.911000000000001</v>
      </c>
      <c r="D220" s="54">
        <v>64.626999999999995</v>
      </c>
      <c r="E220" s="54">
        <v>65.114000000000004</v>
      </c>
      <c r="F220" s="54">
        <v>62.317999999999998</v>
      </c>
      <c r="G220" s="54">
        <v>62.317999999999998</v>
      </c>
      <c r="H220" s="54">
        <v>62.845999999999997</v>
      </c>
      <c r="I220" s="54">
        <v>62.845999999999997</v>
      </c>
      <c r="J220" s="9">
        <v>100</v>
      </c>
      <c r="K220" s="124">
        <v>8</v>
      </c>
      <c r="L220" s="9" t="s">
        <v>634</v>
      </c>
      <c r="M220" s="9" t="s">
        <v>32</v>
      </c>
      <c r="N220" s="9" t="s">
        <v>41</v>
      </c>
      <c r="O220" s="59">
        <v>50</v>
      </c>
      <c r="P220" s="57">
        <f t="shared" si="165"/>
        <v>30.455500000000001</v>
      </c>
      <c r="Q220" s="57">
        <f t="shared" si="165"/>
        <v>32.313499999999998</v>
      </c>
      <c r="R220" s="57">
        <f t="shared" si="165"/>
        <v>32.557000000000002</v>
      </c>
      <c r="S220" s="57">
        <f t="shared" si="165"/>
        <v>31.158999999999999</v>
      </c>
      <c r="T220" s="57">
        <f t="shared" si="165"/>
        <v>31.158999999999999</v>
      </c>
      <c r="U220" s="57">
        <f t="shared" ref="U220:V222" si="174">+$O220/100*H220</f>
        <v>31.422999999999998</v>
      </c>
      <c r="V220" s="57">
        <f t="shared" si="174"/>
        <v>31.422999999999998</v>
      </c>
    </row>
    <row r="221" spans="1:22">
      <c r="A221" s="103" t="s">
        <v>356</v>
      </c>
      <c r="B221" s="8" t="s">
        <v>506</v>
      </c>
      <c r="C221" s="54">
        <v>21.943000000000001</v>
      </c>
      <c r="D221" s="54">
        <v>39.514000000000003</v>
      </c>
      <c r="E221" s="54">
        <v>20.966999999999999</v>
      </c>
      <c r="F221" s="54">
        <v>14.506</v>
      </c>
      <c r="G221" s="54">
        <v>14.327</v>
      </c>
      <c r="H221" s="54">
        <v>13.481999999999999</v>
      </c>
      <c r="I221" s="54">
        <v>11.593</v>
      </c>
      <c r="J221" s="9">
        <v>100</v>
      </c>
      <c r="K221" s="9">
        <v>8</v>
      </c>
      <c r="L221" s="9" t="s">
        <v>172</v>
      </c>
      <c r="M221" s="9" t="s">
        <v>32</v>
      </c>
      <c r="N221" s="9" t="s">
        <v>41</v>
      </c>
      <c r="O221" s="59">
        <v>50</v>
      </c>
      <c r="P221" s="57">
        <f t="shared" si="165"/>
        <v>10.971500000000001</v>
      </c>
      <c r="Q221" s="57">
        <f t="shared" si="165"/>
        <v>19.757000000000001</v>
      </c>
      <c r="R221" s="57">
        <f t="shared" si="165"/>
        <v>10.483499999999999</v>
      </c>
      <c r="S221" s="57">
        <f t="shared" si="165"/>
        <v>7.2530000000000001</v>
      </c>
      <c r="T221" s="57">
        <f t="shared" si="165"/>
        <v>7.1635</v>
      </c>
      <c r="U221" s="57">
        <f t="shared" si="174"/>
        <v>6.7409999999999997</v>
      </c>
      <c r="V221" s="57">
        <f t="shared" si="174"/>
        <v>5.7965</v>
      </c>
    </row>
    <row r="222" spans="1:22">
      <c r="A222" s="103" t="s">
        <v>356</v>
      </c>
      <c r="B222" s="8" t="s">
        <v>33</v>
      </c>
      <c r="C222" s="54">
        <v>46.488999999999997</v>
      </c>
      <c r="D222" s="54">
        <v>51.341999999999999</v>
      </c>
      <c r="E222" s="54">
        <v>48.935000000000002</v>
      </c>
      <c r="F222" s="54">
        <v>57.372</v>
      </c>
      <c r="G222" s="54">
        <v>57.3</v>
      </c>
      <c r="H222" s="54">
        <v>57.279000000000003</v>
      </c>
      <c r="I222" s="54">
        <v>55.622</v>
      </c>
      <c r="J222" s="9">
        <v>100</v>
      </c>
      <c r="K222" s="9">
        <v>8</v>
      </c>
      <c r="L222" s="9" t="s">
        <v>172</v>
      </c>
      <c r="M222" s="9" t="s">
        <v>32</v>
      </c>
      <c r="N222" s="9" t="s">
        <v>41</v>
      </c>
      <c r="O222" s="59">
        <v>100</v>
      </c>
      <c r="P222" s="57">
        <f t="shared" si="165"/>
        <v>46.488999999999997</v>
      </c>
      <c r="Q222" s="57">
        <f t="shared" si="165"/>
        <v>51.341999999999999</v>
      </c>
      <c r="R222" s="57">
        <f t="shared" si="165"/>
        <v>48.935000000000002</v>
      </c>
      <c r="S222" s="57">
        <f t="shared" si="165"/>
        <v>57.372</v>
      </c>
      <c r="T222" s="57">
        <f t="shared" si="165"/>
        <v>57.3</v>
      </c>
      <c r="U222" s="57">
        <f t="shared" si="174"/>
        <v>57.279000000000003</v>
      </c>
      <c r="V222" s="57">
        <f t="shared" si="174"/>
        <v>55.622</v>
      </c>
    </row>
    <row r="223" spans="1:22">
      <c r="A223" s="103" t="s">
        <v>356</v>
      </c>
      <c r="B223" s="9" t="s">
        <v>507</v>
      </c>
      <c r="C223" s="54">
        <v>0</v>
      </c>
      <c r="D223" s="54">
        <v>0</v>
      </c>
      <c r="E223" s="54">
        <v>1.8759999999999999</v>
      </c>
      <c r="F223" s="54">
        <v>1.96</v>
      </c>
      <c r="G223" s="54">
        <v>1.96</v>
      </c>
      <c r="H223" s="54">
        <v>1.96</v>
      </c>
      <c r="I223" s="54">
        <v>1.96</v>
      </c>
      <c r="J223" s="9">
        <v>100</v>
      </c>
      <c r="K223" s="9">
        <v>8</v>
      </c>
      <c r="L223" s="9" t="s">
        <v>172</v>
      </c>
      <c r="M223" s="9" t="s">
        <v>34</v>
      </c>
      <c r="N223" s="9" t="s">
        <v>41</v>
      </c>
      <c r="O223" s="59">
        <v>50</v>
      </c>
      <c r="P223" s="57">
        <f>+$O223/100*C223</f>
        <v>0</v>
      </c>
      <c r="Q223" s="57">
        <f t="shared" ref="Q223:Q232" si="175">+$O223/100*D223</f>
        <v>0</v>
      </c>
      <c r="R223" s="57">
        <f t="shared" ref="R223:R232" si="176">+$O223/100*E223</f>
        <v>0.93799999999999994</v>
      </c>
      <c r="S223" s="57">
        <f t="shared" ref="S223:S232" si="177">+$O223/100*F223</f>
        <v>0.98</v>
      </c>
      <c r="T223" s="57">
        <f t="shared" ref="T223:T232" si="178">+$O223/100*G223</f>
        <v>0.98</v>
      </c>
      <c r="U223" s="57">
        <f t="shared" ref="U223:U232" si="179">+$O223/100*H223</f>
        <v>0.98</v>
      </c>
      <c r="V223" s="57">
        <f t="shared" ref="V223:V232" si="180">+$O223/100*I223</f>
        <v>0.98</v>
      </c>
    </row>
    <row r="224" spans="1:22">
      <c r="A224" s="103" t="s">
        <v>356</v>
      </c>
      <c r="B224" s="9" t="s">
        <v>508</v>
      </c>
      <c r="C224" s="54">
        <v>1.583</v>
      </c>
      <c r="D224" s="54">
        <v>1.454</v>
      </c>
      <c r="E224" s="54">
        <v>2.0310000000000001</v>
      </c>
      <c r="F224" s="54">
        <v>1.637</v>
      </c>
      <c r="G224" s="54">
        <v>2.137</v>
      </c>
      <c r="H224" s="54">
        <v>2.137</v>
      </c>
      <c r="I224" s="54">
        <v>2.137</v>
      </c>
      <c r="J224" s="9">
        <v>100</v>
      </c>
      <c r="K224" s="10">
        <v>8</v>
      </c>
      <c r="L224" s="9" t="s">
        <v>172</v>
      </c>
      <c r="M224" s="9" t="s">
        <v>11</v>
      </c>
      <c r="N224" s="9" t="s">
        <v>41</v>
      </c>
      <c r="O224" s="59">
        <v>30</v>
      </c>
      <c r="P224" s="57">
        <f t="shared" ref="P224:P232" si="181">+$O224/100*C224</f>
        <v>0.47489999999999999</v>
      </c>
      <c r="Q224" s="57">
        <f t="shared" si="175"/>
        <v>0.43619999999999998</v>
      </c>
      <c r="R224" s="57">
        <f t="shared" si="176"/>
        <v>0.60930000000000006</v>
      </c>
      <c r="S224" s="57">
        <f t="shared" si="177"/>
        <v>0.49109999999999998</v>
      </c>
      <c r="T224" s="57">
        <f t="shared" si="178"/>
        <v>0.6411</v>
      </c>
      <c r="U224" s="57">
        <f t="shared" si="179"/>
        <v>0.6411</v>
      </c>
      <c r="V224" s="57">
        <f t="shared" si="180"/>
        <v>0.6411</v>
      </c>
    </row>
    <row r="225" spans="1:22">
      <c r="A225" s="103" t="s">
        <v>356</v>
      </c>
      <c r="B225" s="9" t="s">
        <v>635</v>
      </c>
      <c r="C225" s="54">
        <v>0.38100000000000001</v>
      </c>
      <c r="D225" s="54">
        <v>0.995</v>
      </c>
      <c r="E225" s="54">
        <v>0.82099999999999995</v>
      </c>
      <c r="F225" s="54">
        <v>0.5</v>
      </c>
      <c r="G225" s="54">
        <v>0</v>
      </c>
      <c r="H225" s="54">
        <v>0</v>
      </c>
      <c r="I225" s="54">
        <v>0</v>
      </c>
      <c r="J225" s="9">
        <v>100</v>
      </c>
      <c r="K225" s="10">
        <v>8</v>
      </c>
      <c r="L225" s="9" t="s">
        <v>219</v>
      </c>
      <c r="M225" s="9" t="s">
        <v>11</v>
      </c>
      <c r="N225" s="9" t="s">
        <v>41</v>
      </c>
      <c r="O225" s="59">
        <v>30</v>
      </c>
      <c r="P225" s="57">
        <f t="shared" si="181"/>
        <v>0.1143</v>
      </c>
      <c r="Q225" s="57">
        <f t="shared" si="175"/>
        <v>0.29849999999999999</v>
      </c>
      <c r="R225" s="57">
        <f t="shared" si="176"/>
        <v>0.24629999999999996</v>
      </c>
      <c r="S225" s="57">
        <f t="shared" si="177"/>
        <v>0.15</v>
      </c>
      <c r="T225" s="57">
        <f t="shared" si="178"/>
        <v>0</v>
      </c>
      <c r="U225" s="57">
        <f t="shared" si="179"/>
        <v>0</v>
      </c>
      <c r="V225" s="57">
        <f t="shared" si="180"/>
        <v>0</v>
      </c>
    </row>
    <row r="226" spans="1:22">
      <c r="A226" s="103" t="s">
        <v>356</v>
      </c>
      <c r="B226" s="9" t="s">
        <v>509</v>
      </c>
      <c r="C226" s="54">
        <v>1.335</v>
      </c>
      <c r="D226" s="54">
        <v>1.5029999999999999</v>
      </c>
      <c r="E226" s="54">
        <v>2.1840000000000002</v>
      </c>
      <c r="F226" s="54">
        <v>2.871</v>
      </c>
      <c r="G226" s="54">
        <v>2.871</v>
      </c>
      <c r="H226" s="54">
        <v>3.0049999999999999</v>
      </c>
      <c r="I226" s="54">
        <v>3.0049999999999999</v>
      </c>
      <c r="J226" s="9">
        <v>100</v>
      </c>
      <c r="K226" s="10">
        <v>8</v>
      </c>
      <c r="L226" s="9" t="s">
        <v>172</v>
      </c>
      <c r="M226" s="9" t="s">
        <v>11</v>
      </c>
      <c r="N226" s="9" t="s">
        <v>41</v>
      </c>
      <c r="O226" s="59">
        <v>30</v>
      </c>
      <c r="P226" s="57">
        <f t="shared" si="181"/>
        <v>0.40049999999999997</v>
      </c>
      <c r="Q226" s="57">
        <f t="shared" si="175"/>
        <v>0.45089999999999997</v>
      </c>
      <c r="R226" s="57">
        <f t="shared" si="176"/>
        <v>0.6552</v>
      </c>
      <c r="S226" s="57">
        <f t="shared" si="177"/>
        <v>0.86129999999999995</v>
      </c>
      <c r="T226" s="57">
        <f t="shared" si="178"/>
        <v>0.86129999999999995</v>
      </c>
      <c r="U226" s="57">
        <f t="shared" si="179"/>
        <v>0.90149999999999997</v>
      </c>
      <c r="V226" s="57">
        <f t="shared" si="180"/>
        <v>0.90149999999999997</v>
      </c>
    </row>
    <row r="227" spans="1:22">
      <c r="A227" s="103" t="s">
        <v>356</v>
      </c>
      <c r="B227" s="9" t="s">
        <v>510</v>
      </c>
      <c r="C227" s="54">
        <v>2.5000000000000001E-2</v>
      </c>
      <c r="D227" s="54">
        <v>0.4</v>
      </c>
      <c r="E227" s="54">
        <v>1.891</v>
      </c>
      <c r="F227" s="54">
        <v>1.667</v>
      </c>
      <c r="G227" s="54">
        <v>1.667</v>
      </c>
      <c r="H227" s="54">
        <v>1.667</v>
      </c>
      <c r="I227" s="54">
        <v>1.667</v>
      </c>
      <c r="J227" s="9">
        <v>100</v>
      </c>
      <c r="K227" s="10">
        <v>8</v>
      </c>
      <c r="L227" s="9" t="s">
        <v>172</v>
      </c>
      <c r="M227" s="9" t="s">
        <v>11</v>
      </c>
      <c r="N227" s="9" t="s">
        <v>41</v>
      </c>
      <c r="O227" s="59">
        <v>30</v>
      </c>
      <c r="P227" s="57">
        <f t="shared" si="181"/>
        <v>7.4999999999999997E-3</v>
      </c>
      <c r="Q227" s="57">
        <f t="shared" si="175"/>
        <v>0.12</v>
      </c>
      <c r="R227" s="57">
        <f t="shared" si="176"/>
        <v>0.56730000000000003</v>
      </c>
      <c r="S227" s="57">
        <f t="shared" si="177"/>
        <v>0.50009999999999999</v>
      </c>
      <c r="T227" s="57">
        <f t="shared" si="178"/>
        <v>0.50009999999999999</v>
      </c>
      <c r="U227" s="57">
        <f t="shared" si="179"/>
        <v>0.50009999999999999</v>
      </c>
      <c r="V227" s="57">
        <f t="shared" si="180"/>
        <v>0.50009999999999999</v>
      </c>
    </row>
    <row r="228" spans="1:22">
      <c r="A228" s="103" t="s">
        <v>356</v>
      </c>
      <c r="B228" s="9" t="s">
        <v>511</v>
      </c>
      <c r="C228" s="54">
        <v>1.518</v>
      </c>
      <c r="D228" s="54">
        <v>0.20100000000000001</v>
      </c>
      <c r="E228" s="54">
        <v>0.20100000000000001</v>
      </c>
      <c r="F228" s="54">
        <v>0.20100000000000001</v>
      </c>
      <c r="G228" s="54">
        <v>0.20100000000000001</v>
      </c>
      <c r="H228" s="54">
        <v>0.20100000000000001</v>
      </c>
      <c r="I228" s="54">
        <v>0.20100000000000001</v>
      </c>
      <c r="J228" s="9">
        <v>100</v>
      </c>
      <c r="K228" s="10">
        <v>8</v>
      </c>
      <c r="L228" s="9" t="s">
        <v>172</v>
      </c>
      <c r="M228" s="9" t="s">
        <v>11</v>
      </c>
      <c r="N228" s="9" t="s">
        <v>41</v>
      </c>
      <c r="O228" s="59">
        <v>30</v>
      </c>
      <c r="P228" s="57">
        <f t="shared" si="181"/>
        <v>0.45539999999999997</v>
      </c>
      <c r="Q228" s="57">
        <f t="shared" si="175"/>
        <v>6.0299999999999999E-2</v>
      </c>
      <c r="R228" s="57">
        <f t="shared" si="176"/>
        <v>6.0299999999999999E-2</v>
      </c>
      <c r="S228" s="57">
        <f t="shared" si="177"/>
        <v>6.0299999999999999E-2</v>
      </c>
      <c r="T228" s="57">
        <f t="shared" si="178"/>
        <v>6.0299999999999999E-2</v>
      </c>
      <c r="U228" s="57">
        <f t="shared" si="179"/>
        <v>6.0299999999999999E-2</v>
      </c>
      <c r="V228" s="57">
        <f t="shared" si="180"/>
        <v>6.0299999999999999E-2</v>
      </c>
    </row>
    <row r="229" spans="1:22">
      <c r="A229" s="103" t="s">
        <v>356</v>
      </c>
      <c r="B229" s="9" t="s">
        <v>512</v>
      </c>
      <c r="C229" s="54">
        <v>2.3029999999999999</v>
      </c>
      <c r="D229" s="54">
        <v>0</v>
      </c>
      <c r="E229" s="54">
        <v>0</v>
      </c>
      <c r="F229" s="54">
        <v>0</v>
      </c>
      <c r="G229" s="54">
        <v>0</v>
      </c>
      <c r="H229" s="54">
        <v>0</v>
      </c>
      <c r="I229" s="54">
        <v>0</v>
      </c>
      <c r="J229" s="9">
        <v>100</v>
      </c>
      <c r="K229" s="10">
        <v>8</v>
      </c>
      <c r="L229" s="9" t="s">
        <v>172</v>
      </c>
      <c r="M229" s="9" t="s">
        <v>11</v>
      </c>
      <c r="N229" s="9" t="s">
        <v>41</v>
      </c>
      <c r="O229" s="59">
        <v>30</v>
      </c>
      <c r="P229" s="57">
        <f t="shared" si="181"/>
        <v>0.69089999999999996</v>
      </c>
      <c r="Q229" s="57">
        <f t="shared" si="175"/>
        <v>0</v>
      </c>
      <c r="R229" s="57">
        <f t="shared" si="176"/>
        <v>0</v>
      </c>
      <c r="S229" s="57">
        <f t="shared" si="177"/>
        <v>0</v>
      </c>
      <c r="T229" s="57">
        <f t="shared" si="178"/>
        <v>0</v>
      </c>
      <c r="U229" s="57">
        <f t="shared" si="179"/>
        <v>0</v>
      </c>
      <c r="V229" s="57">
        <f t="shared" si="180"/>
        <v>0</v>
      </c>
    </row>
    <row r="230" spans="1:22">
      <c r="A230" s="103" t="s">
        <v>356</v>
      </c>
      <c r="B230" s="9" t="s">
        <v>513</v>
      </c>
      <c r="C230" s="54">
        <v>0.497</v>
      </c>
      <c r="D230" s="54">
        <v>1.986</v>
      </c>
      <c r="E230" s="54">
        <v>1.679</v>
      </c>
      <c r="F230" s="54">
        <v>1.68</v>
      </c>
      <c r="G230" s="54">
        <v>2.4430000000000001</v>
      </c>
      <c r="H230" s="54">
        <v>2.4430000000000001</v>
      </c>
      <c r="I230" s="54">
        <v>2.4430000000000001</v>
      </c>
      <c r="J230" s="9">
        <v>100</v>
      </c>
      <c r="K230" s="10">
        <v>8</v>
      </c>
      <c r="L230" s="9" t="s">
        <v>172</v>
      </c>
      <c r="M230" s="9" t="s">
        <v>11</v>
      </c>
      <c r="N230" s="9" t="s">
        <v>41</v>
      </c>
      <c r="O230" s="59">
        <v>30</v>
      </c>
      <c r="P230" s="57">
        <f t="shared" si="181"/>
        <v>0.14909999999999998</v>
      </c>
      <c r="Q230" s="57">
        <f t="shared" si="175"/>
        <v>0.5958</v>
      </c>
      <c r="R230" s="57">
        <f t="shared" si="176"/>
        <v>0.50370000000000004</v>
      </c>
      <c r="S230" s="57">
        <f t="shared" si="177"/>
        <v>0.504</v>
      </c>
      <c r="T230" s="57">
        <f t="shared" si="178"/>
        <v>0.7329</v>
      </c>
      <c r="U230" s="57">
        <f t="shared" si="179"/>
        <v>0.7329</v>
      </c>
      <c r="V230" s="57">
        <f t="shared" si="180"/>
        <v>0.7329</v>
      </c>
    </row>
    <row r="231" spans="1:22">
      <c r="A231" s="103" t="s">
        <v>356</v>
      </c>
      <c r="B231" s="9" t="s">
        <v>514</v>
      </c>
      <c r="C231" s="54">
        <v>1.4999999999999999E-2</v>
      </c>
      <c r="D231" s="54">
        <v>0</v>
      </c>
      <c r="E231" s="54">
        <v>0</v>
      </c>
      <c r="F231" s="54">
        <v>0</v>
      </c>
      <c r="G231" s="54">
        <v>0</v>
      </c>
      <c r="H231" s="54">
        <v>0</v>
      </c>
      <c r="I231" s="54">
        <v>0</v>
      </c>
      <c r="J231" s="9">
        <v>100</v>
      </c>
      <c r="K231" s="10">
        <v>8</v>
      </c>
      <c r="L231" s="9" t="s">
        <v>172</v>
      </c>
      <c r="M231" s="9" t="s">
        <v>11</v>
      </c>
      <c r="N231" s="9" t="s">
        <v>41</v>
      </c>
      <c r="O231" s="59">
        <v>30</v>
      </c>
      <c r="P231" s="57">
        <f t="shared" si="181"/>
        <v>4.4999999999999997E-3</v>
      </c>
      <c r="Q231" s="57">
        <f t="shared" si="175"/>
        <v>0</v>
      </c>
      <c r="R231" s="57">
        <f t="shared" si="176"/>
        <v>0</v>
      </c>
      <c r="S231" s="57">
        <f t="shared" si="177"/>
        <v>0</v>
      </c>
      <c r="T231" s="57">
        <f t="shared" si="178"/>
        <v>0</v>
      </c>
      <c r="U231" s="57">
        <f t="shared" si="179"/>
        <v>0</v>
      </c>
      <c r="V231" s="57">
        <f t="shared" si="180"/>
        <v>0</v>
      </c>
    </row>
    <row r="232" spans="1:22">
      <c r="A232" s="103" t="s">
        <v>356</v>
      </c>
      <c r="B232" s="9" t="s">
        <v>357</v>
      </c>
      <c r="C232" s="54">
        <v>5.9809999999999999</v>
      </c>
      <c r="D232" s="54">
        <v>6.1470000000000002</v>
      </c>
      <c r="E232" s="54">
        <v>4.7779999999999996</v>
      </c>
      <c r="F232" s="54">
        <v>4.3550000000000004</v>
      </c>
      <c r="G232" s="54">
        <v>4.38</v>
      </c>
      <c r="H232" s="54">
        <v>2.927</v>
      </c>
      <c r="I232" s="54">
        <v>2.5289999999999999</v>
      </c>
      <c r="J232" s="9">
        <v>100</v>
      </c>
      <c r="K232" s="10">
        <v>8</v>
      </c>
      <c r="L232" s="9" t="s">
        <v>172</v>
      </c>
      <c r="M232" s="9" t="s">
        <v>11</v>
      </c>
      <c r="N232" s="9" t="s">
        <v>41</v>
      </c>
      <c r="O232" s="59">
        <v>100</v>
      </c>
      <c r="P232" s="57">
        <f t="shared" si="181"/>
        <v>5.9809999999999999</v>
      </c>
      <c r="Q232" s="57">
        <f t="shared" si="175"/>
        <v>6.1470000000000002</v>
      </c>
      <c r="R232" s="57">
        <f t="shared" si="176"/>
        <v>4.7779999999999996</v>
      </c>
      <c r="S232" s="57">
        <f t="shared" si="177"/>
        <v>4.3550000000000004</v>
      </c>
      <c r="T232" s="57">
        <f t="shared" si="178"/>
        <v>4.38</v>
      </c>
      <c r="U232" s="57">
        <f t="shared" si="179"/>
        <v>2.927</v>
      </c>
      <c r="V232" s="57">
        <f t="shared" si="180"/>
        <v>2.5289999999999999</v>
      </c>
    </row>
    <row r="233" spans="1:22" s="69" customFormat="1" ht="15">
      <c r="A233" s="69" t="s">
        <v>60</v>
      </c>
      <c r="B233" s="106" t="s">
        <v>35</v>
      </c>
      <c r="C233" s="107"/>
      <c r="D233" s="107"/>
      <c r="E233" s="107"/>
      <c r="F233" s="107"/>
      <c r="G233" s="107"/>
      <c r="H233" s="107"/>
      <c r="I233" s="107"/>
      <c r="L233" s="21"/>
      <c r="O233" s="108"/>
      <c r="P233" s="121">
        <f>+P234</f>
        <v>0</v>
      </c>
      <c r="Q233" s="121">
        <f t="shared" ref="Q233:V233" si="182">+Q234</f>
        <v>0</v>
      </c>
      <c r="R233" s="121">
        <f t="shared" si="182"/>
        <v>0</v>
      </c>
      <c r="S233" s="121">
        <f t="shared" si="182"/>
        <v>0</v>
      </c>
      <c r="T233" s="121">
        <f t="shared" si="182"/>
        <v>0</v>
      </c>
      <c r="U233" s="121">
        <f t="shared" si="182"/>
        <v>0</v>
      </c>
      <c r="V233" s="121">
        <f t="shared" si="182"/>
        <v>0</v>
      </c>
    </row>
    <row r="234" spans="1:22">
      <c r="A234" s="102">
        <v>40</v>
      </c>
      <c r="B234" s="6" t="s">
        <v>36</v>
      </c>
      <c r="C234" s="88">
        <v>0</v>
      </c>
      <c r="D234" s="88">
        <v>0</v>
      </c>
      <c r="E234" s="88">
        <v>0</v>
      </c>
      <c r="F234" s="88">
        <v>0</v>
      </c>
      <c r="G234" s="88">
        <v>0</v>
      </c>
      <c r="H234" s="88">
        <v>0</v>
      </c>
      <c r="I234" s="88">
        <v>0</v>
      </c>
      <c r="J234" s="6">
        <v>0</v>
      </c>
      <c r="K234" s="6">
        <v>11</v>
      </c>
      <c r="L234" s="101" t="s">
        <v>58</v>
      </c>
      <c r="M234" s="6" t="s">
        <v>9</v>
      </c>
      <c r="N234" s="9" t="s">
        <v>40</v>
      </c>
      <c r="O234" s="59">
        <v>0</v>
      </c>
      <c r="P234" s="57">
        <f>+$O234/100*C234</f>
        <v>0</v>
      </c>
      <c r="Q234" s="57">
        <f>+$O234/100*D234</f>
        <v>0</v>
      </c>
      <c r="R234" s="57">
        <f>+$O234/100*E234</f>
        <v>0</v>
      </c>
      <c r="S234" s="57">
        <f>+$O234/100*F234</f>
        <v>0</v>
      </c>
      <c r="T234" s="57">
        <f>+$O234/100*G234</f>
        <v>0</v>
      </c>
      <c r="U234" s="57">
        <f t="shared" ref="U234" si="183">+$O234/100*H234</f>
        <v>0</v>
      </c>
      <c r="V234" s="57">
        <f t="shared" ref="V234" si="184">+$O234/100*I234</f>
        <v>0</v>
      </c>
    </row>
    <row r="235" spans="1:22" s="69" customFormat="1" ht="15">
      <c r="B235" s="69" t="s">
        <v>668</v>
      </c>
      <c r="C235" s="107">
        <f>SUM(C214:C234)</f>
        <v>158.28800000000001</v>
      </c>
      <c r="D235" s="107">
        <f t="shared" ref="D235:I235" si="185">SUM(D214:D234)</f>
        <v>200.16499999999996</v>
      </c>
      <c r="E235" s="107">
        <f t="shared" si="185"/>
        <v>182.90899999999996</v>
      </c>
      <c r="F235" s="107">
        <f t="shared" si="185"/>
        <v>180.69200000000001</v>
      </c>
      <c r="G235" s="107">
        <f t="shared" si="185"/>
        <v>181.73699999999999</v>
      </c>
      <c r="H235" s="107">
        <f t="shared" si="185"/>
        <v>179.99799999999999</v>
      </c>
      <c r="I235" s="107">
        <f t="shared" si="185"/>
        <v>172.36700000000002</v>
      </c>
      <c r="L235" s="21"/>
      <c r="O235" s="108"/>
      <c r="P235" s="155">
        <f t="shared" ref="P235:V235" si="186">+SUM(P214:P234)</f>
        <v>104.73509999999997</v>
      </c>
      <c r="Q235" s="155">
        <f t="shared" si="186"/>
        <v>128.84120000000001</v>
      </c>
      <c r="R235" s="155">
        <f t="shared" si="186"/>
        <v>118.59560000000002</v>
      </c>
      <c r="S235" s="155">
        <f t="shared" si="186"/>
        <v>121.47280000000002</v>
      </c>
      <c r="T235" s="155">
        <f t="shared" si="186"/>
        <v>122.07319999999999</v>
      </c>
      <c r="U235" s="155">
        <f t="shared" si="186"/>
        <v>120.47690000000001</v>
      </c>
      <c r="V235" s="155">
        <f t="shared" si="186"/>
        <v>115.2484</v>
      </c>
    </row>
    <row r="236" spans="1:22">
      <c r="C236" s="88"/>
      <c r="D236" s="88"/>
      <c r="E236" s="88"/>
      <c r="F236" s="88"/>
      <c r="G236" s="88"/>
      <c r="H236" s="88"/>
      <c r="I236" s="88"/>
    </row>
    <row r="237" spans="1:22" s="15" customFormat="1" ht="15">
      <c r="A237" s="29"/>
      <c r="B237" s="26" t="s">
        <v>78</v>
      </c>
      <c r="C237" s="53"/>
      <c r="D237" s="53"/>
      <c r="E237" s="53"/>
      <c r="F237" s="53"/>
      <c r="G237" s="53"/>
      <c r="H237" s="53"/>
      <c r="I237" s="53"/>
      <c r="J237" s="26"/>
      <c r="K237" s="28"/>
      <c r="L237" s="83"/>
      <c r="M237" s="26"/>
      <c r="N237" s="26"/>
      <c r="O237" s="26"/>
      <c r="P237" s="233"/>
      <c r="Q237" s="233"/>
      <c r="R237" s="233"/>
      <c r="S237" s="233"/>
      <c r="T237" s="233"/>
      <c r="U237" s="233"/>
      <c r="V237" s="233"/>
    </row>
    <row r="238" spans="1:22">
      <c r="A238" s="6">
        <v>1</v>
      </c>
      <c r="B238" s="6" t="s">
        <v>324</v>
      </c>
      <c r="C238" s="88">
        <v>3.944</v>
      </c>
      <c r="D238" s="88">
        <v>3.8919999999999999</v>
      </c>
      <c r="E238" s="88">
        <v>7.5919999999999996</v>
      </c>
      <c r="F238" s="88">
        <v>7.5919999999999996</v>
      </c>
      <c r="G238" s="88">
        <v>7.5919999999999996</v>
      </c>
      <c r="H238" s="88">
        <v>7.5919999999999996</v>
      </c>
      <c r="I238" s="88">
        <v>7.5919999999999996</v>
      </c>
      <c r="J238" s="221">
        <v>100</v>
      </c>
      <c r="K238" s="6">
        <v>7</v>
      </c>
      <c r="L238" s="101" t="s">
        <v>100</v>
      </c>
      <c r="M238" s="6" t="s">
        <v>422</v>
      </c>
      <c r="N238" s="6" t="s">
        <v>40</v>
      </c>
    </row>
    <row r="239" spans="1:22">
      <c r="A239" s="6">
        <v>1</v>
      </c>
      <c r="B239" s="6" t="s">
        <v>324</v>
      </c>
      <c r="C239" s="88">
        <v>2.71</v>
      </c>
      <c r="D239" s="88">
        <v>3.351</v>
      </c>
      <c r="E239" s="88">
        <v>2.8620000000000001</v>
      </c>
      <c r="F239" s="88">
        <v>2.4140000000000001</v>
      </c>
      <c r="G239" s="88">
        <v>2.4369999999999998</v>
      </c>
      <c r="H239" s="88">
        <v>2.41</v>
      </c>
      <c r="I239" s="88">
        <v>2.4340000000000002</v>
      </c>
      <c r="J239" s="221">
        <v>100</v>
      </c>
      <c r="K239" s="6">
        <v>11</v>
      </c>
      <c r="L239" s="101" t="s">
        <v>58</v>
      </c>
      <c r="M239" s="6" t="s">
        <v>41</v>
      </c>
      <c r="N239" s="6" t="s">
        <v>41</v>
      </c>
      <c r="O239" s="59">
        <v>0</v>
      </c>
    </row>
    <row r="240" spans="1:22">
      <c r="A240" s="6">
        <v>1</v>
      </c>
      <c r="B240" s="6" t="s">
        <v>324</v>
      </c>
      <c r="C240" s="88">
        <v>0.42499999999999999</v>
      </c>
      <c r="D240" s="88">
        <v>0.42499999999999999</v>
      </c>
      <c r="E240" s="88">
        <v>0.12</v>
      </c>
      <c r="F240" s="88">
        <v>0</v>
      </c>
      <c r="G240" s="88">
        <v>0</v>
      </c>
      <c r="H240" s="88">
        <v>0</v>
      </c>
      <c r="I240" s="88">
        <v>0</v>
      </c>
      <c r="J240" s="221">
        <v>100</v>
      </c>
      <c r="K240" s="6">
        <v>11</v>
      </c>
      <c r="L240" s="101" t="s">
        <v>58</v>
      </c>
      <c r="M240" s="6" t="s">
        <v>423</v>
      </c>
      <c r="N240" s="6" t="s">
        <v>41</v>
      </c>
      <c r="O240" s="59">
        <v>0</v>
      </c>
    </row>
    <row r="241" spans="1:22">
      <c r="A241" s="6">
        <v>13</v>
      </c>
      <c r="B241" s="6" t="s">
        <v>325</v>
      </c>
      <c r="C241" s="88">
        <v>1.18</v>
      </c>
      <c r="D241" s="88">
        <v>0.66</v>
      </c>
      <c r="E241" s="88">
        <v>0.66</v>
      </c>
      <c r="F241" s="88">
        <v>0.66</v>
      </c>
      <c r="G241" s="88">
        <v>0.5</v>
      </c>
      <c r="H241" s="88">
        <v>0.5</v>
      </c>
      <c r="I241" s="88">
        <v>0.5</v>
      </c>
      <c r="J241" s="222">
        <v>100</v>
      </c>
      <c r="K241" s="6">
        <v>11</v>
      </c>
      <c r="L241" s="101" t="s">
        <v>58</v>
      </c>
      <c r="N241" s="6" t="s">
        <v>41</v>
      </c>
      <c r="O241" s="59">
        <v>0</v>
      </c>
    </row>
    <row r="242" spans="1:22">
      <c r="A242" s="6">
        <v>98</v>
      </c>
      <c r="B242" s="6" t="s">
        <v>117</v>
      </c>
      <c r="C242" s="88">
        <v>2.5419999999999998</v>
      </c>
      <c r="D242" s="88">
        <v>3.0640000000000001</v>
      </c>
      <c r="E242" s="88">
        <v>2.1880000000000002</v>
      </c>
      <c r="F242" s="88">
        <v>2.1880000000000002</v>
      </c>
      <c r="G242" s="88">
        <v>2.1880000000000002</v>
      </c>
      <c r="H242" s="88">
        <v>2.1880000000000002</v>
      </c>
      <c r="I242" s="88">
        <v>2.1880000000000002</v>
      </c>
      <c r="J242" s="222">
        <v>100</v>
      </c>
      <c r="K242" s="6">
        <v>11</v>
      </c>
      <c r="L242" s="101" t="s">
        <v>58</v>
      </c>
      <c r="M242" s="6" t="s">
        <v>41</v>
      </c>
      <c r="N242" s="6" t="s">
        <v>41</v>
      </c>
      <c r="O242" s="59">
        <v>0</v>
      </c>
    </row>
    <row r="243" spans="1:22" s="69" customFormat="1" ht="15">
      <c r="B243" s="69" t="s">
        <v>81</v>
      </c>
      <c r="C243" s="107">
        <f>SUM(C238:C242)</f>
        <v>10.801</v>
      </c>
      <c r="D243" s="107">
        <f t="shared" ref="D243:I243" si="187">SUM(D238:D242)</f>
        <v>11.391999999999999</v>
      </c>
      <c r="E243" s="107">
        <f t="shared" si="187"/>
        <v>13.422000000000001</v>
      </c>
      <c r="F243" s="107">
        <f t="shared" si="187"/>
        <v>12.854000000000001</v>
      </c>
      <c r="G243" s="107">
        <f t="shared" si="187"/>
        <v>12.717000000000001</v>
      </c>
      <c r="H243" s="107">
        <f t="shared" si="187"/>
        <v>12.69</v>
      </c>
      <c r="I243" s="107">
        <f t="shared" si="187"/>
        <v>12.714</v>
      </c>
      <c r="L243" s="21"/>
      <c r="O243" s="108"/>
      <c r="P243" s="106"/>
      <c r="Q243" s="106"/>
      <c r="R243" s="106"/>
      <c r="S243" s="106"/>
      <c r="T243" s="106"/>
      <c r="U243" s="106"/>
      <c r="V243" s="106"/>
    </row>
    <row r="244" spans="1:22">
      <c r="C244" s="88"/>
      <c r="D244" s="88"/>
      <c r="E244" s="88"/>
      <c r="F244" s="88"/>
      <c r="G244" s="88"/>
      <c r="H244" s="88"/>
      <c r="I244" s="88"/>
      <c r="P244" s="57" t="s">
        <v>162</v>
      </c>
    </row>
    <row r="245" spans="1:22" s="15" customFormat="1" ht="15">
      <c r="A245" s="30"/>
      <c r="B245" s="26" t="s">
        <v>79</v>
      </c>
      <c r="C245" s="55"/>
      <c r="D245" s="55"/>
      <c r="E245" s="55"/>
      <c r="F245" s="55"/>
      <c r="G245" s="55"/>
      <c r="H245" s="55"/>
      <c r="I245" s="55"/>
      <c r="J245" s="30"/>
      <c r="K245" s="30"/>
      <c r="L245" s="84"/>
      <c r="M245" s="30"/>
      <c r="N245" s="30"/>
      <c r="O245" s="30"/>
      <c r="P245" s="233"/>
      <c r="Q245" s="233"/>
      <c r="R245" s="233"/>
      <c r="S245" s="233"/>
      <c r="T245" s="233"/>
      <c r="U245" s="233"/>
      <c r="V245" s="233"/>
    </row>
    <row r="246" spans="1:22">
      <c r="A246" s="101" t="s">
        <v>253</v>
      </c>
      <c r="B246" s="101" t="s">
        <v>233</v>
      </c>
      <c r="C246" s="104">
        <v>22</v>
      </c>
      <c r="D246" s="104">
        <v>22</v>
      </c>
      <c r="E246" s="104">
        <v>22</v>
      </c>
      <c r="F246" s="104">
        <v>22</v>
      </c>
      <c r="G246" s="104">
        <v>22</v>
      </c>
      <c r="H246" s="104">
        <v>22</v>
      </c>
      <c r="I246" s="104">
        <v>22</v>
      </c>
      <c r="J246" s="105">
        <v>3.1</v>
      </c>
      <c r="K246" s="109" t="s">
        <v>70</v>
      </c>
      <c r="L246" s="101" t="s">
        <v>105</v>
      </c>
      <c r="M246" s="101" t="s">
        <v>193</v>
      </c>
      <c r="N246" s="101" t="s">
        <v>40</v>
      </c>
      <c r="O246" s="57"/>
      <c r="P246" s="57">
        <f>+$O246/100*C246</f>
        <v>0</v>
      </c>
      <c r="Q246" s="57">
        <f>+$O246/100*D246</f>
        <v>0</v>
      </c>
      <c r="R246" s="57">
        <f>+$O246/100*E246</f>
        <v>0</v>
      </c>
      <c r="S246" s="57">
        <f>+$O246/100*F246</f>
        <v>0</v>
      </c>
      <c r="T246" s="57">
        <f>+$O246/100*G246</f>
        <v>0</v>
      </c>
      <c r="U246" s="57">
        <f t="shared" ref="U246" si="188">+$O246/100*H246</f>
        <v>0</v>
      </c>
      <c r="V246" s="57">
        <f t="shared" ref="V246" si="189">+$O246/100*I246</f>
        <v>0</v>
      </c>
    </row>
    <row r="247" spans="1:22">
      <c r="A247" s="101" t="s">
        <v>603</v>
      </c>
      <c r="B247" s="101" t="s">
        <v>604</v>
      </c>
      <c r="C247" s="104">
        <v>2.2999999999999998</v>
      </c>
      <c r="D247" s="104">
        <v>3</v>
      </c>
      <c r="E247" s="104">
        <v>7</v>
      </c>
      <c r="F247" s="104">
        <v>7</v>
      </c>
      <c r="G247" s="104">
        <v>7</v>
      </c>
      <c r="H247" s="104">
        <v>7</v>
      </c>
      <c r="I247" s="104">
        <v>7</v>
      </c>
      <c r="J247" s="105">
        <v>35</v>
      </c>
      <c r="K247" s="109">
        <v>7</v>
      </c>
      <c r="L247" s="101" t="s">
        <v>100</v>
      </c>
      <c r="M247" s="101" t="s">
        <v>7</v>
      </c>
      <c r="N247" s="101" t="s">
        <v>41</v>
      </c>
    </row>
    <row r="248" spans="1:22">
      <c r="A248" s="101" t="s">
        <v>177</v>
      </c>
      <c r="B248" s="101" t="s">
        <v>254</v>
      </c>
      <c r="C248" s="104">
        <v>-0.7</v>
      </c>
      <c r="D248" s="104">
        <v>-3.5</v>
      </c>
      <c r="E248" s="104">
        <v>0</v>
      </c>
      <c r="F248" s="104">
        <v>0</v>
      </c>
      <c r="G248" s="104">
        <v>0</v>
      </c>
      <c r="H248" s="104">
        <v>0</v>
      </c>
      <c r="I248" s="104">
        <v>0</v>
      </c>
      <c r="J248" s="105">
        <v>0</v>
      </c>
      <c r="K248" s="109">
        <v>7</v>
      </c>
      <c r="L248" s="101" t="s">
        <v>100</v>
      </c>
      <c r="M248" s="101" t="s">
        <v>7</v>
      </c>
      <c r="N248" s="101" t="s">
        <v>41</v>
      </c>
      <c r="O248" s="57"/>
    </row>
    <row r="249" spans="1:22">
      <c r="A249" s="101" t="s">
        <v>177</v>
      </c>
      <c r="B249" s="101" t="s">
        <v>413</v>
      </c>
      <c r="C249" s="104">
        <v>15.4</v>
      </c>
      <c r="D249" s="104">
        <v>15.4</v>
      </c>
      <c r="E249" s="104">
        <v>15.4</v>
      </c>
      <c r="F249" s="104">
        <v>15.4</v>
      </c>
      <c r="G249" s="104">
        <v>15.4</v>
      </c>
      <c r="H249" s="104">
        <v>15.4</v>
      </c>
      <c r="I249" s="104">
        <v>15.4</v>
      </c>
      <c r="J249" s="105">
        <v>5.9</v>
      </c>
      <c r="K249" s="109" t="s">
        <v>70</v>
      </c>
      <c r="L249" s="101" t="s">
        <v>105</v>
      </c>
      <c r="M249" s="101" t="s">
        <v>27</v>
      </c>
      <c r="N249" s="101" t="s">
        <v>40</v>
      </c>
      <c r="O249" s="57"/>
      <c r="P249" s="57">
        <f>+$O249/100*C249</f>
        <v>0</v>
      </c>
      <c r="Q249" s="57">
        <f>+$O249/100*D249</f>
        <v>0</v>
      </c>
      <c r="R249" s="57">
        <f>+$O249/100*E249</f>
        <v>0</v>
      </c>
      <c r="S249" s="57">
        <f>+$O249/100*F249</f>
        <v>0</v>
      </c>
      <c r="T249" s="57">
        <f>+$O249/100*G249</f>
        <v>0</v>
      </c>
      <c r="U249" s="57">
        <f t="shared" ref="U249" si="190">+$O249/100*H249</f>
        <v>0</v>
      </c>
      <c r="V249" s="57">
        <f t="shared" ref="V249" si="191">+$O249/100*I249</f>
        <v>0</v>
      </c>
    </row>
    <row r="250" spans="1:22">
      <c r="A250" s="101" t="s">
        <v>596</v>
      </c>
      <c r="B250" s="101" t="s">
        <v>597</v>
      </c>
      <c r="C250" s="104">
        <v>2.9039999999999999</v>
      </c>
      <c r="D250" s="104">
        <v>3.7639999999999998</v>
      </c>
      <c r="E250" s="104">
        <v>3.302</v>
      </c>
      <c r="F250" s="104">
        <v>2.7930000000000001</v>
      </c>
      <c r="G250" s="104">
        <v>2.7930000000000001</v>
      </c>
      <c r="H250" s="104">
        <v>2.7930000000000001</v>
      </c>
      <c r="I250" s="104">
        <v>2.7930000000000001</v>
      </c>
      <c r="J250" s="105">
        <v>18.600000000000001</v>
      </c>
      <c r="K250" s="109">
        <v>7</v>
      </c>
      <c r="L250" s="101" t="s">
        <v>100</v>
      </c>
      <c r="M250" s="101" t="s">
        <v>41</v>
      </c>
      <c r="N250" s="101" t="s">
        <v>41</v>
      </c>
      <c r="O250" s="57"/>
    </row>
    <row r="251" spans="1:22">
      <c r="A251" s="101" t="s">
        <v>180</v>
      </c>
      <c r="B251" s="101" t="s">
        <v>414</v>
      </c>
      <c r="C251" s="104">
        <v>0.9</v>
      </c>
      <c r="D251" s="104">
        <v>1.915</v>
      </c>
      <c r="E251" s="104">
        <v>2.0779999999999998</v>
      </c>
      <c r="F251" s="104">
        <v>1.7869999999999999</v>
      </c>
      <c r="G251" s="104">
        <v>0</v>
      </c>
      <c r="H251" s="104">
        <v>0</v>
      </c>
      <c r="I251" s="104">
        <v>0</v>
      </c>
      <c r="J251" s="105">
        <v>1</v>
      </c>
      <c r="K251" s="109">
        <v>7</v>
      </c>
      <c r="L251" s="101" t="s">
        <v>100</v>
      </c>
      <c r="M251" s="101" t="s">
        <v>7</v>
      </c>
      <c r="N251" s="101" t="s">
        <v>40</v>
      </c>
      <c r="O251" s="57"/>
      <c r="P251" s="57">
        <f>+$O251/100*C251</f>
        <v>0</v>
      </c>
      <c r="Q251" s="57">
        <f>+$O251/100*D251</f>
        <v>0</v>
      </c>
      <c r="R251" s="57">
        <f>+$O251/100*E251</f>
        <v>0</v>
      </c>
      <c r="S251" s="57">
        <f>+$O251/100*F251</f>
        <v>0</v>
      </c>
      <c r="T251" s="57">
        <f>+$O251/100*G251</f>
        <v>0</v>
      </c>
      <c r="U251" s="57">
        <f t="shared" ref="U251" si="192">+$O251/100*H251</f>
        <v>0</v>
      </c>
      <c r="V251" s="57">
        <f t="shared" ref="V251" si="193">+$O251/100*I251</f>
        <v>0</v>
      </c>
    </row>
    <row r="252" spans="1:22">
      <c r="A252" s="101" t="s">
        <v>180</v>
      </c>
      <c r="B252" s="101" t="s">
        <v>598</v>
      </c>
      <c r="C252" s="104">
        <v>17.347999999999999</v>
      </c>
      <c r="D252" s="104">
        <v>17.422999999999998</v>
      </c>
      <c r="E252" s="104">
        <v>17.422999999999998</v>
      </c>
      <c r="F252" s="104">
        <v>17.422999999999998</v>
      </c>
      <c r="G252" s="104">
        <v>17.422999999999998</v>
      </c>
      <c r="H252" s="104">
        <v>17.422999999999998</v>
      </c>
      <c r="I252" s="104">
        <v>17.422999999999998</v>
      </c>
      <c r="J252" s="105">
        <v>8.1</v>
      </c>
      <c r="K252" s="109">
        <v>7</v>
      </c>
      <c r="L252" s="101" t="s">
        <v>100</v>
      </c>
      <c r="M252" s="101" t="s">
        <v>181</v>
      </c>
      <c r="N252" s="101" t="s">
        <v>40</v>
      </c>
      <c r="O252" s="57"/>
    </row>
    <row r="253" spans="1:22">
      <c r="A253" s="101" t="s">
        <v>180</v>
      </c>
      <c r="B253" s="101" t="s">
        <v>255</v>
      </c>
      <c r="C253" s="104">
        <v>0</v>
      </c>
      <c r="D253" s="104">
        <v>0</v>
      </c>
      <c r="E253" s="104">
        <v>0</v>
      </c>
      <c r="F253" s="104">
        <v>0</v>
      </c>
      <c r="G253" s="104">
        <v>0</v>
      </c>
      <c r="H253" s="104">
        <v>0</v>
      </c>
      <c r="I253" s="104">
        <v>0</v>
      </c>
      <c r="J253" s="105">
        <v>0</v>
      </c>
      <c r="K253" s="109">
        <v>7</v>
      </c>
      <c r="L253" s="101" t="s">
        <v>100</v>
      </c>
      <c r="M253" s="101" t="s">
        <v>7</v>
      </c>
      <c r="N253" s="101" t="s">
        <v>41</v>
      </c>
      <c r="O253" s="57"/>
      <c r="P253" s="57">
        <f>+$O253/100*C253</f>
        <v>0</v>
      </c>
      <c r="Q253" s="57">
        <f>+$O253/100*D253</f>
        <v>0</v>
      </c>
      <c r="R253" s="57">
        <f>+$O253/100*E253</f>
        <v>0</v>
      </c>
      <c r="S253" s="57">
        <f>+$O253/100*F253</f>
        <v>0</v>
      </c>
      <c r="T253" s="57">
        <f>+$O253/100*G253</f>
        <v>0</v>
      </c>
      <c r="U253" s="57">
        <f t="shared" ref="U253" si="194">+$O253/100*H253</f>
        <v>0</v>
      </c>
      <c r="V253" s="57">
        <f t="shared" ref="V253" si="195">+$O253/100*I253</f>
        <v>0</v>
      </c>
    </row>
    <row r="254" spans="1:22">
      <c r="A254" s="101" t="s">
        <v>180</v>
      </c>
      <c r="B254" s="101" t="s">
        <v>256</v>
      </c>
      <c r="C254" s="104">
        <v>1.085</v>
      </c>
      <c r="D254" s="104">
        <v>0</v>
      </c>
      <c r="E254" s="104">
        <v>0</v>
      </c>
      <c r="F254" s="104">
        <v>0</v>
      </c>
      <c r="G254" s="104">
        <v>0</v>
      </c>
      <c r="H254" s="104">
        <v>0</v>
      </c>
      <c r="I254" s="104">
        <v>0</v>
      </c>
      <c r="J254" s="105">
        <v>0</v>
      </c>
      <c r="K254" s="109">
        <v>7</v>
      </c>
      <c r="L254" s="101" t="s">
        <v>100</v>
      </c>
      <c r="M254" s="101" t="s">
        <v>7</v>
      </c>
      <c r="N254" s="101" t="s">
        <v>41</v>
      </c>
      <c r="O254" s="57"/>
    </row>
    <row r="255" spans="1:22">
      <c r="A255" s="101" t="s">
        <v>180</v>
      </c>
      <c r="B255" s="101" t="s">
        <v>257</v>
      </c>
      <c r="C255" s="104">
        <v>0</v>
      </c>
      <c r="D255" s="104">
        <v>5.8</v>
      </c>
      <c r="E255" s="104">
        <v>5.8</v>
      </c>
      <c r="F255" s="104">
        <v>5.8</v>
      </c>
      <c r="G255" s="104">
        <v>5.8</v>
      </c>
      <c r="H255" s="104">
        <v>5.8</v>
      </c>
      <c r="I255" s="104">
        <v>5.8</v>
      </c>
      <c r="J255" s="105">
        <v>11.8</v>
      </c>
      <c r="K255" s="109">
        <v>7</v>
      </c>
      <c r="L255" s="101" t="s">
        <v>100</v>
      </c>
      <c r="M255" s="101" t="s">
        <v>7</v>
      </c>
      <c r="N255" s="101" t="s">
        <v>40</v>
      </c>
      <c r="O255" s="57"/>
      <c r="P255" s="57">
        <f>+$O255/100*C255</f>
        <v>0</v>
      </c>
      <c r="Q255" s="57">
        <f>+$O255/100*D255</f>
        <v>0</v>
      </c>
      <c r="R255" s="57">
        <f>+$O255/100*E255</f>
        <v>0</v>
      </c>
      <c r="S255" s="57">
        <f>+$O255/100*F255</f>
        <v>0</v>
      </c>
      <c r="T255" s="57">
        <f>+$O255/100*G255</f>
        <v>0</v>
      </c>
      <c r="U255" s="57">
        <f t="shared" ref="U255" si="196">+$O255/100*H255</f>
        <v>0</v>
      </c>
      <c r="V255" s="57">
        <f t="shared" ref="V255" si="197">+$O255/100*I255</f>
        <v>0</v>
      </c>
    </row>
    <row r="256" spans="1:22">
      <c r="A256" s="101" t="s">
        <v>175</v>
      </c>
      <c r="B256" s="101" t="s">
        <v>179</v>
      </c>
      <c r="C256" s="104">
        <v>119.88</v>
      </c>
      <c r="D256" s="104">
        <v>154.941</v>
      </c>
      <c r="E256" s="104">
        <v>174.62799999999999</v>
      </c>
      <c r="F256" s="104">
        <v>155.46899999999999</v>
      </c>
      <c r="G256" s="104">
        <v>136.93100000000001</v>
      </c>
      <c r="H256" s="104">
        <v>118.22799999999999</v>
      </c>
      <c r="I256" s="104">
        <v>111.405</v>
      </c>
      <c r="J256" s="105">
        <v>91.4</v>
      </c>
      <c r="K256" s="109">
        <v>7</v>
      </c>
      <c r="L256" s="101" t="s">
        <v>100</v>
      </c>
      <c r="M256" s="101" t="s">
        <v>176</v>
      </c>
      <c r="N256" s="101" t="s">
        <v>41</v>
      </c>
      <c r="O256" s="57"/>
    </row>
    <row r="257" spans="1:22">
      <c r="A257" s="101" t="s">
        <v>175</v>
      </c>
      <c r="B257" s="101" t="s">
        <v>179</v>
      </c>
      <c r="C257" s="104">
        <v>5.7709999999999999</v>
      </c>
      <c r="D257" s="104">
        <v>5.1219999999999999</v>
      </c>
      <c r="E257" s="104">
        <v>5.2679999999999998</v>
      </c>
      <c r="F257" s="104">
        <v>5.2679999999999998</v>
      </c>
      <c r="G257" s="104">
        <v>5.2679999999999998</v>
      </c>
      <c r="H257" s="104">
        <v>5.2679999999999998</v>
      </c>
      <c r="I257" s="104">
        <v>5.2679999999999998</v>
      </c>
      <c r="J257" s="105">
        <v>10.8</v>
      </c>
      <c r="K257" s="109">
        <v>7</v>
      </c>
      <c r="L257" s="101" t="s">
        <v>100</v>
      </c>
      <c r="M257" s="101" t="s">
        <v>106</v>
      </c>
      <c r="N257" s="101" t="s">
        <v>40</v>
      </c>
      <c r="O257" s="57"/>
    </row>
    <row r="258" spans="1:22">
      <c r="A258" s="101" t="s">
        <v>175</v>
      </c>
      <c r="B258" s="101" t="s">
        <v>605</v>
      </c>
      <c r="C258" s="104">
        <v>15.589</v>
      </c>
      <c r="D258" s="104">
        <v>16.899999999999999</v>
      </c>
      <c r="E258" s="104">
        <v>16.399999999999999</v>
      </c>
      <c r="F258" s="104">
        <v>16.7</v>
      </c>
      <c r="G258" s="104">
        <v>17.600000000000001</v>
      </c>
      <c r="H258" s="104">
        <v>17</v>
      </c>
      <c r="I258" s="104">
        <v>17.600000000000001</v>
      </c>
      <c r="J258" s="105">
        <v>8.6</v>
      </c>
      <c r="K258" s="109">
        <v>7</v>
      </c>
      <c r="L258" s="101" t="s">
        <v>100</v>
      </c>
      <c r="M258" s="101" t="s">
        <v>176</v>
      </c>
      <c r="N258" s="101" t="s">
        <v>41</v>
      </c>
      <c r="O258" s="57"/>
      <c r="P258" s="57">
        <f>+$O258/100*C258</f>
        <v>0</v>
      </c>
      <c r="Q258" s="57">
        <f>+$O258/100*D258</f>
        <v>0</v>
      </c>
      <c r="R258" s="57">
        <f>+$O258/100*E258</f>
        <v>0</v>
      </c>
      <c r="S258" s="57">
        <f>+$O258/100*F258</f>
        <v>0</v>
      </c>
      <c r="T258" s="57">
        <f>+$O258/100*G258</f>
        <v>0</v>
      </c>
      <c r="U258" s="57">
        <f t="shared" ref="U258" si="198">+$O258/100*H258</f>
        <v>0</v>
      </c>
      <c r="V258" s="57">
        <f t="shared" ref="V258" si="199">+$O258/100*I258</f>
        <v>0</v>
      </c>
    </row>
    <row r="259" spans="1:22">
      <c r="A259" s="101" t="s">
        <v>175</v>
      </c>
      <c r="B259" s="101" t="s">
        <v>606</v>
      </c>
      <c r="C259" s="104">
        <v>7.665</v>
      </c>
      <c r="D259" s="104">
        <v>7.665</v>
      </c>
      <c r="E259" s="104">
        <v>4.665</v>
      </c>
      <c r="F259" s="104">
        <v>0</v>
      </c>
      <c r="G259" s="104">
        <v>0</v>
      </c>
      <c r="H259" s="104">
        <v>0</v>
      </c>
      <c r="I259" s="104">
        <v>0</v>
      </c>
      <c r="J259" s="105">
        <v>9.5</v>
      </c>
      <c r="K259" s="109">
        <v>7</v>
      </c>
      <c r="L259" s="101" t="s">
        <v>100</v>
      </c>
      <c r="M259" s="101" t="s">
        <v>7</v>
      </c>
      <c r="N259" s="101" t="s">
        <v>607</v>
      </c>
      <c r="O259" s="57"/>
    </row>
    <row r="260" spans="1:22">
      <c r="A260" s="101" t="s">
        <v>599</v>
      </c>
      <c r="B260" s="101" t="s">
        <v>600</v>
      </c>
      <c r="C260" s="104">
        <v>0</v>
      </c>
      <c r="D260" s="104">
        <v>0</v>
      </c>
      <c r="E260" s="104">
        <v>5</v>
      </c>
      <c r="F260" s="104">
        <v>5</v>
      </c>
      <c r="G260" s="104">
        <v>6.7</v>
      </c>
      <c r="H260" s="104">
        <v>8.1999999999999993</v>
      </c>
      <c r="I260" s="104">
        <v>8.1999999999999993</v>
      </c>
      <c r="J260" s="105">
        <v>3</v>
      </c>
      <c r="K260" s="109">
        <v>7</v>
      </c>
      <c r="L260" s="101" t="s">
        <v>100</v>
      </c>
      <c r="M260" s="101" t="s">
        <v>41</v>
      </c>
      <c r="N260" s="101" t="s">
        <v>41</v>
      </c>
      <c r="O260" s="57"/>
    </row>
    <row r="261" spans="1:22">
      <c r="A261" s="101" t="s">
        <v>231</v>
      </c>
      <c r="B261" s="101" t="s">
        <v>236</v>
      </c>
      <c r="C261" s="104">
        <v>10.9</v>
      </c>
      <c r="D261" s="104">
        <v>10.9</v>
      </c>
      <c r="E261" s="104">
        <v>10.9</v>
      </c>
      <c r="F261" s="104">
        <v>10.9</v>
      </c>
      <c r="G261" s="104">
        <v>10.9</v>
      </c>
      <c r="H261" s="104">
        <v>10.9</v>
      </c>
      <c r="I261" s="104">
        <v>10.9</v>
      </c>
      <c r="J261" s="105">
        <v>69.5</v>
      </c>
      <c r="K261" s="109" t="s">
        <v>70</v>
      </c>
      <c r="L261" s="101" t="s">
        <v>105</v>
      </c>
      <c r="M261" s="101" t="s">
        <v>27</v>
      </c>
      <c r="N261" s="101" t="s">
        <v>40</v>
      </c>
      <c r="O261" s="57"/>
    </row>
    <row r="262" spans="1:22">
      <c r="A262" s="101" t="s">
        <v>328</v>
      </c>
      <c r="B262" s="101" t="s">
        <v>601</v>
      </c>
      <c r="C262" s="104">
        <v>5.4820000000000002</v>
      </c>
      <c r="D262" s="104">
        <v>6.0650000000000004</v>
      </c>
      <c r="E262" s="104">
        <v>6.4989999999999997</v>
      </c>
      <c r="F262" s="104">
        <v>6.6289999999999996</v>
      </c>
      <c r="G262" s="104">
        <v>6.7619999999999996</v>
      </c>
      <c r="H262" s="104">
        <v>6.8970000000000002</v>
      </c>
      <c r="I262" s="104">
        <v>7.0350000000000001</v>
      </c>
      <c r="J262" s="105">
        <v>26.7</v>
      </c>
      <c r="K262" s="109">
        <v>11</v>
      </c>
      <c r="L262" s="101" t="s">
        <v>58</v>
      </c>
      <c r="M262" s="101" t="s">
        <v>178</v>
      </c>
      <c r="N262" s="101" t="s">
        <v>40</v>
      </c>
      <c r="O262" s="57"/>
    </row>
    <row r="263" spans="1:22">
      <c r="A263" s="101" t="s">
        <v>328</v>
      </c>
      <c r="B263" s="101" t="s">
        <v>602</v>
      </c>
      <c r="C263" s="104">
        <v>3.5790000000000002</v>
      </c>
      <c r="D263" s="104">
        <v>3.1030000000000002</v>
      </c>
      <c r="E263" s="104">
        <v>2.9359999999999999</v>
      </c>
      <c r="F263" s="104">
        <v>2.9950000000000001</v>
      </c>
      <c r="G263" s="104">
        <v>3.0550000000000002</v>
      </c>
      <c r="H263" s="104">
        <v>3.1160000000000001</v>
      </c>
      <c r="I263" s="104">
        <v>3.1779999999999999</v>
      </c>
      <c r="J263" s="105">
        <v>12.1</v>
      </c>
      <c r="K263" s="109">
        <v>11</v>
      </c>
      <c r="L263" s="101" t="s">
        <v>58</v>
      </c>
      <c r="M263" s="101" t="s">
        <v>7</v>
      </c>
      <c r="N263" s="101" t="s">
        <v>41</v>
      </c>
      <c r="O263" s="57"/>
    </row>
    <row r="264" spans="1:22">
      <c r="A264" s="101" t="s">
        <v>328</v>
      </c>
      <c r="B264" s="101" t="s">
        <v>602</v>
      </c>
      <c r="C264" s="104">
        <v>2.8000000000000001E-2</v>
      </c>
      <c r="D264" s="104">
        <v>8.1000000000000003E-2</v>
      </c>
      <c r="E264" s="104">
        <v>7.6999999999999999E-2</v>
      </c>
      <c r="F264" s="104">
        <v>7.9000000000000001E-2</v>
      </c>
      <c r="G264" s="104">
        <v>8.1000000000000003E-2</v>
      </c>
      <c r="H264" s="104">
        <v>8.3000000000000004E-2</v>
      </c>
      <c r="I264" s="104">
        <v>8.5000000000000006E-2</v>
      </c>
      <c r="J264" s="105">
        <v>0.3</v>
      </c>
      <c r="K264" s="109">
        <v>11</v>
      </c>
      <c r="L264" s="101" t="s">
        <v>58</v>
      </c>
      <c r="M264" s="101" t="s">
        <v>11</v>
      </c>
      <c r="N264" s="101" t="s">
        <v>41</v>
      </c>
      <c r="O264" s="57"/>
    </row>
    <row r="265" spans="1:22">
      <c r="A265" s="101" t="s">
        <v>328</v>
      </c>
      <c r="B265" s="101" t="s">
        <v>602</v>
      </c>
      <c r="C265" s="104">
        <v>3.5000000000000003E-2</v>
      </c>
      <c r="D265" s="104">
        <v>6.5000000000000002E-2</v>
      </c>
      <c r="E265" s="104">
        <v>6.0999999999999999E-2</v>
      </c>
      <c r="F265" s="104">
        <v>6.2E-2</v>
      </c>
      <c r="G265" s="104">
        <v>6.3E-2</v>
      </c>
      <c r="H265" s="104">
        <v>6.4000000000000001E-2</v>
      </c>
      <c r="I265" s="104">
        <v>6.5000000000000002E-2</v>
      </c>
      <c r="J265" s="105">
        <v>0.3</v>
      </c>
      <c r="K265" s="109">
        <v>11</v>
      </c>
      <c r="L265" s="101" t="s">
        <v>58</v>
      </c>
      <c r="M265" s="101" t="s">
        <v>69</v>
      </c>
      <c r="N265" s="101" t="s">
        <v>41</v>
      </c>
      <c r="O265" s="57"/>
    </row>
    <row r="266" spans="1:22" s="69" customFormat="1" ht="15">
      <c r="B266" s="69" t="s">
        <v>82</v>
      </c>
      <c r="C266" s="106">
        <f t="shared" ref="C266:I266" si="200">SUM(C246:C265)</f>
        <v>230.16599999999997</v>
      </c>
      <c r="D266" s="106">
        <f t="shared" si="200"/>
        <v>270.64400000000001</v>
      </c>
      <c r="E266" s="106">
        <f t="shared" si="200"/>
        <v>299.43699999999995</v>
      </c>
      <c r="F266" s="106">
        <f t="shared" si="200"/>
        <v>275.30500000000001</v>
      </c>
      <c r="G266" s="106">
        <f t="shared" si="200"/>
        <v>257.77600000000001</v>
      </c>
      <c r="H266" s="106">
        <f t="shared" si="200"/>
        <v>240.172</v>
      </c>
      <c r="I266" s="106">
        <f t="shared" si="200"/>
        <v>234.15199999999999</v>
      </c>
      <c r="L266" s="21"/>
      <c r="O266" s="108"/>
      <c r="P266" s="107">
        <f t="shared" ref="P266:V266" si="201">SUM(P246:P265)</f>
        <v>0</v>
      </c>
      <c r="Q266" s="107">
        <f t="shared" si="201"/>
        <v>0</v>
      </c>
      <c r="R266" s="107">
        <f t="shared" si="201"/>
        <v>0</v>
      </c>
      <c r="S266" s="107">
        <f t="shared" si="201"/>
        <v>0</v>
      </c>
      <c r="T266" s="107">
        <f t="shared" si="201"/>
        <v>0</v>
      </c>
      <c r="U266" s="107">
        <f t="shared" si="201"/>
        <v>0</v>
      </c>
      <c r="V266" s="107">
        <f t="shared" si="201"/>
        <v>0</v>
      </c>
    </row>
    <row r="267" spans="1:22">
      <c r="C267" s="88"/>
      <c r="D267" s="88"/>
      <c r="E267" s="88"/>
      <c r="F267" s="88"/>
      <c r="G267" s="88"/>
      <c r="H267" s="88"/>
      <c r="I267" s="88"/>
    </row>
    <row r="268" spans="1:22" s="21" customFormat="1" ht="15.75">
      <c r="A268" s="223"/>
      <c r="B268" s="224" t="s">
        <v>80</v>
      </c>
      <c r="C268" s="225">
        <f>SUM(C8,C16,C23,C29,C64,C72,C106,C210,C235,C243,C266)</f>
        <v>4957.9422203081031</v>
      </c>
      <c r="D268" s="225">
        <f t="shared" ref="D268:I268" si="202">SUM(D8,D16,D23,D29,D64,D72,D106,D210,D235,D243,D266)</f>
        <v>5566.2732919187438</v>
      </c>
      <c r="E268" s="225">
        <f t="shared" si="202"/>
        <v>5521.8480864504872</v>
      </c>
      <c r="F268" s="225">
        <f t="shared" si="202"/>
        <v>5566.6921322269645</v>
      </c>
      <c r="G268" s="225">
        <f t="shared" si="202"/>
        <v>5501.2666568591803</v>
      </c>
      <c r="H268" s="225">
        <f t="shared" si="202"/>
        <v>5485.2964894027509</v>
      </c>
      <c r="I268" s="225">
        <f t="shared" si="202"/>
        <v>5482.04227424694</v>
      </c>
      <c r="P268" s="107">
        <f>+P8+P16+P23+P29+P64+P72+P106+P210+P235+P243+P266</f>
        <v>1042.4646499999999</v>
      </c>
      <c r="Q268" s="107">
        <f t="shared" ref="Q268:V268" si="203">+Q8+Q16+Q23+Q29+Q64+Q72+Q106+Q210+Q235+Q243+Q266</f>
        <v>1303.20117</v>
      </c>
      <c r="R268" s="107">
        <f t="shared" si="203"/>
        <v>1180.8411600000002</v>
      </c>
      <c r="S268" s="107">
        <f t="shared" si="203"/>
        <v>1211.7482100000002</v>
      </c>
      <c r="T268" s="107">
        <f t="shared" si="203"/>
        <v>1208.9606100000001</v>
      </c>
      <c r="U268" s="107">
        <f t="shared" si="203"/>
        <v>1210.5133800000001</v>
      </c>
      <c r="V268" s="107">
        <f t="shared" si="203"/>
        <v>1194.2445799999998</v>
      </c>
    </row>
    <row r="269" spans="1:22">
      <c r="C269" s="210"/>
      <c r="D269" s="210"/>
      <c r="E269" s="210"/>
      <c r="F269" s="210"/>
      <c r="G269" s="210"/>
      <c r="H269" s="210"/>
      <c r="I269" s="236"/>
    </row>
    <row r="270" spans="1:22" ht="15">
      <c r="B270" s="69" t="s">
        <v>157</v>
      </c>
      <c r="O270" s="226" t="s">
        <v>279</v>
      </c>
    </row>
    <row r="271" spans="1:22">
      <c r="B271" s="21"/>
      <c r="C271" s="21">
        <f t="shared" ref="C271:I271" si="204">C4</f>
        <v>2017</v>
      </c>
      <c r="D271" s="21">
        <f t="shared" si="204"/>
        <v>2018</v>
      </c>
      <c r="E271" s="21">
        <f t="shared" si="204"/>
        <v>2019</v>
      </c>
      <c r="F271" s="21">
        <f t="shared" si="204"/>
        <v>2020</v>
      </c>
      <c r="G271" s="21">
        <f t="shared" si="204"/>
        <v>2021</v>
      </c>
      <c r="H271" s="21">
        <f t="shared" si="204"/>
        <v>2022</v>
      </c>
      <c r="I271" s="21">
        <f t="shared" si="204"/>
        <v>2023</v>
      </c>
      <c r="K271" s="21" t="s">
        <v>651</v>
      </c>
      <c r="L271" s="181" t="s">
        <v>232</v>
      </c>
      <c r="P271" s="21">
        <f>C271</f>
        <v>2017</v>
      </c>
      <c r="Q271" s="21">
        <f t="shared" ref="Q271:V271" si="205">D271</f>
        <v>2018</v>
      </c>
      <c r="R271" s="21">
        <f t="shared" si="205"/>
        <v>2019</v>
      </c>
      <c r="S271" s="21">
        <f t="shared" si="205"/>
        <v>2020</v>
      </c>
      <c r="T271" s="21">
        <f t="shared" si="205"/>
        <v>2021</v>
      </c>
      <c r="U271" s="21">
        <f t="shared" si="205"/>
        <v>2022</v>
      </c>
      <c r="V271" s="21">
        <f t="shared" si="205"/>
        <v>2023</v>
      </c>
    </row>
    <row r="272" spans="1:22">
      <c r="B272" s="6" t="s">
        <v>149</v>
      </c>
      <c r="C272" s="88">
        <f t="shared" ref="C272:I272" si="206">C8</f>
        <v>0.51</v>
      </c>
      <c r="D272" s="88">
        <f t="shared" si="206"/>
        <v>0.59399999999999997</v>
      </c>
      <c r="E272" s="88">
        <f t="shared" si="206"/>
        <v>0.59399999999999997</v>
      </c>
      <c r="F272" s="88">
        <f t="shared" si="206"/>
        <v>0.59399999999999997</v>
      </c>
      <c r="G272" s="88">
        <f t="shared" si="206"/>
        <v>0.59399999999999997</v>
      </c>
      <c r="H272" s="88">
        <f t="shared" si="206"/>
        <v>0.59399999999999997</v>
      </c>
      <c r="I272" s="88">
        <f t="shared" si="206"/>
        <v>0.59399999999999997</v>
      </c>
      <c r="K272" s="35">
        <f t="shared" ref="K272:K283" si="207">+I272-C272</f>
        <v>8.3999999999999964E-2</v>
      </c>
      <c r="L272" s="222">
        <f t="shared" ref="L272:L283" si="208">+(I272-C272)/C272*100</f>
        <v>16.470588235294109</v>
      </c>
      <c r="O272" s="59" t="s">
        <v>163</v>
      </c>
      <c r="P272" s="35">
        <f t="shared" ref="P272:V272" si="209">+P8</f>
        <v>0</v>
      </c>
      <c r="Q272" s="35">
        <f t="shared" si="209"/>
        <v>0</v>
      </c>
      <c r="R272" s="35">
        <f t="shared" si="209"/>
        <v>0</v>
      </c>
      <c r="S272" s="35">
        <f t="shared" si="209"/>
        <v>0</v>
      </c>
      <c r="T272" s="35">
        <f t="shared" si="209"/>
        <v>0</v>
      </c>
      <c r="U272" s="35">
        <f t="shared" si="209"/>
        <v>0</v>
      </c>
      <c r="V272" s="35">
        <f t="shared" si="209"/>
        <v>0</v>
      </c>
    </row>
    <row r="273" spans="1:22">
      <c r="B273" s="6" t="s">
        <v>150</v>
      </c>
      <c r="C273" s="88">
        <f t="shared" ref="C273:I273" si="210">C16</f>
        <v>38.99499999999999</v>
      </c>
      <c r="D273" s="88">
        <f t="shared" si="210"/>
        <v>39.611000000000004</v>
      </c>
      <c r="E273" s="88">
        <f t="shared" si="210"/>
        <v>33.366</v>
      </c>
      <c r="F273" s="88">
        <f t="shared" si="210"/>
        <v>32.143000000000001</v>
      </c>
      <c r="G273" s="88">
        <f t="shared" si="210"/>
        <v>32.058</v>
      </c>
      <c r="H273" s="88">
        <f t="shared" si="210"/>
        <v>32.042999999999999</v>
      </c>
      <c r="I273" s="88">
        <f t="shared" si="210"/>
        <v>32.042999999999999</v>
      </c>
      <c r="K273" s="35">
        <f t="shared" si="207"/>
        <v>-6.9519999999999911</v>
      </c>
      <c r="L273" s="222">
        <f t="shared" si="208"/>
        <v>-17.827926657263735</v>
      </c>
      <c r="O273" s="59" t="s">
        <v>164</v>
      </c>
      <c r="P273" s="35">
        <f t="shared" ref="P273:V273" si="211">+P16</f>
        <v>0</v>
      </c>
      <c r="Q273" s="35">
        <f t="shared" si="211"/>
        <v>0</v>
      </c>
      <c r="R273" s="35">
        <f t="shared" si="211"/>
        <v>0</v>
      </c>
      <c r="S273" s="35">
        <f t="shared" si="211"/>
        <v>0</v>
      </c>
      <c r="T273" s="35">
        <f t="shared" si="211"/>
        <v>0</v>
      </c>
      <c r="U273" s="35">
        <f t="shared" si="211"/>
        <v>0</v>
      </c>
      <c r="V273" s="35">
        <f t="shared" si="211"/>
        <v>0</v>
      </c>
    </row>
    <row r="274" spans="1:22">
      <c r="B274" s="6" t="s">
        <v>533</v>
      </c>
      <c r="C274" s="88">
        <f t="shared" ref="C274:I274" si="212">C23</f>
        <v>21.884999999999998</v>
      </c>
      <c r="D274" s="88">
        <f t="shared" si="212"/>
        <v>22.134999999999998</v>
      </c>
      <c r="E274" s="88">
        <f t="shared" si="212"/>
        <v>22.015000000000001</v>
      </c>
      <c r="F274" s="88">
        <f t="shared" si="212"/>
        <v>21.648</v>
      </c>
      <c r="G274" s="88">
        <f t="shared" si="212"/>
        <v>21.72</v>
      </c>
      <c r="H274" s="88">
        <f t="shared" si="212"/>
        <v>21.719000000000001</v>
      </c>
      <c r="I274" s="88">
        <f t="shared" si="212"/>
        <v>21.720999999999997</v>
      </c>
      <c r="K274" s="35">
        <f t="shared" si="207"/>
        <v>-0.16400000000000148</v>
      </c>
      <c r="L274" s="222">
        <f t="shared" si="208"/>
        <v>-0.74937171578707562</v>
      </c>
      <c r="O274" s="59" t="s">
        <v>536</v>
      </c>
      <c r="P274" s="35">
        <f t="shared" ref="P274:V274" si="213">+P23</f>
        <v>3.2950499999999998</v>
      </c>
      <c r="Q274" s="35">
        <f t="shared" si="213"/>
        <v>3.3590700000000004</v>
      </c>
      <c r="R274" s="35">
        <f t="shared" si="213"/>
        <v>3.3683100000000006</v>
      </c>
      <c r="S274" s="35">
        <f t="shared" si="213"/>
        <v>3.2577600000000002</v>
      </c>
      <c r="T274" s="35">
        <f t="shared" si="213"/>
        <v>3.2775600000000003</v>
      </c>
      <c r="U274" s="35">
        <f t="shared" si="213"/>
        <v>3.2772299999999999</v>
      </c>
      <c r="V274" s="35">
        <f t="shared" si="213"/>
        <v>3.2772299999999999</v>
      </c>
    </row>
    <row r="275" spans="1:22">
      <c r="B275" s="6" t="s">
        <v>151</v>
      </c>
      <c r="C275" s="88">
        <f t="shared" ref="C275:I275" si="214">C29</f>
        <v>7.3550000000000004</v>
      </c>
      <c r="D275" s="88">
        <f t="shared" si="214"/>
        <v>10.298999999999999</v>
      </c>
      <c r="E275" s="88">
        <f t="shared" si="214"/>
        <v>8.8150000000000013</v>
      </c>
      <c r="F275" s="88">
        <f t="shared" si="214"/>
        <v>9.0289999999999999</v>
      </c>
      <c r="G275" s="88">
        <f t="shared" si="214"/>
        <v>10.206</v>
      </c>
      <c r="H275" s="88">
        <f t="shared" si="214"/>
        <v>10.61</v>
      </c>
      <c r="I275" s="88">
        <f t="shared" si="214"/>
        <v>9.572000000000001</v>
      </c>
      <c r="K275" s="227">
        <f t="shared" si="207"/>
        <v>2.2170000000000005</v>
      </c>
      <c r="L275" s="222">
        <f t="shared" si="208"/>
        <v>30.142760027192388</v>
      </c>
      <c r="O275" s="59" t="s">
        <v>165</v>
      </c>
      <c r="P275" s="35">
        <f t="shared" ref="P275:V275" si="215">+P29</f>
        <v>0.73550000000000004</v>
      </c>
      <c r="Q275" s="35">
        <f t="shared" si="215"/>
        <v>1.0299</v>
      </c>
      <c r="R275" s="35">
        <f t="shared" si="215"/>
        <v>0.88150000000000017</v>
      </c>
      <c r="S275" s="35">
        <f t="shared" si="215"/>
        <v>0.90290000000000015</v>
      </c>
      <c r="T275" s="35">
        <f t="shared" si="215"/>
        <v>1.0206</v>
      </c>
      <c r="U275" s="35">
        <f t="shared" si="215"/>
        <v>1.0609999999999999</v>
      </c>
      <c r="V275" s="35">
        <f t="shared" si="215"/>
        <v>0.95720000000000005</v>
      </c>
    </row>
    <row r="276" spans="1:22">
      <c r="B276" s="6" t="s">
        <v>152</v>
      </c>
      <c r="C276" s="35">
        <f t="shared" ref="C276:I276" si="216">C64</f>
        <v>3701.9372203081025</v>
      </c>
      <c r="D276" s="35">
        <f t="shared" si="216"/>
        <v>3940.1422919187439</v>
      </c>
      <c r="E276" s="35">
        <f t="shared" si="216"/>
        <v>4039.1720864504873</v>
      </c>
      <c r="F276" s="35">
        <f t="shared" si="216"/>
        <v>4063.4291322269637</v>
      </c>
      <c r="G276" s="35">
        <f t="shared" si="216"/>
        <v>4045.2506568591807</v>
      </c>
      <c r="H276" s="35">
        <f t="shared" si="216"/>
        <v>4052.4454894027513</v>
      </c>
      <c r="I276" s="35">
        <f t="shared" si="216"/>
        <v>4075.6592742469393</v>
      </c>
      <c r="K276" s="35">
        <f t="shared" si="207"/>
        <v>373.72205393883678</v>
      </c>
      <c r="L276" s="222">
        <f t="shared" si="208"/>
        <v>10.095310419870732</v>
      </c>
      <c r="M276" s="6">
        <f>E276/E283</f>
        <v>0.73148917232290567</v>
      </c>
      <c r="O276" s="59" t="s">
        <v>166</v>
      </c>
      <c r="P276" s="35">
        <f t="shared" ref="P276:V276" si="217">+P64</f>
        <v>289</v>
      </c>
      <c r="Q276" s="35">
        <f t="shared" si="217"/>
        <v>289</v>
      </c>
      <c r="R276" s="35">
        <f t="shared" si="217"/>
        <v>289</v>
      </c>
      <c r="S276" s="35">
        <f t="shared" si="217"/>
        <v>289</v>
      </c>
      <c r="T276" s="35">
        <f t="shared" si="217"/>
        <v>289</v>
      </c>
      <c r="U276" s="35">
        <f t="shared" si="217"/>
        <v>289</v>
      </c>
      <c r="V276" s="35">
        <f t="shared" si="217"/>
        <v>289</v>
      </c>
    </row>
    <row r="277" spans="1:22">
      <c r="B277" s="6" t="s">
        <v>54</v>
      </c>
      <c r="C277" s="88">
        <f t="shared" ref="C277:I277" si="218">C72</f>
        <v>54.756000000000007</v>
      </c>
      <c r="D277" s="88">
        <f t="shared" si="218"/>
        <v>67.111999999999995</v>
      </c>
      <c r="E277" s="88">
        <f t="shared" si="218"/>
        <v>70.238</v>
      </c>
      <c r="F277" s="88">
        <f t="shared" si="218"/>
        <v>72.266999999999996</v>
      </c>
      <c r="G277" s="88">
        <f t="shared" si="218"/>
        <v>72.298000000000002</v>
      </c>
      <c r="H277" s="88">
        <f t="shared" si="218"/>
        <v>72.328000000000003</v>
      </c>
      <c r="I277" s="88">
        <f t="shared" si="218"/>
        <v>72.328000000000003</v>
      </c>
      <c r="K277" s="35">
        <f t="shared" si="207"/>
        <v>17.571999999999996</v>
      </c>
      <c r="L277" s="222">
        <f t="shared" si="208"/>
        <v>32.091460296588494</v>
      </c>
      <c r="O277" s="59" t="s">
        <v>167</v>
      </c>
      <c r="P277" s="35">
        <f t="shared" ref="P277:V277" si="219">+P72</f>
        <v>54.756000000000007</v>
      </c>
      <c r="Q277" s="35">
        <f t="shared" si="219"/>
        <v>67.111999999999995</v>
      </c>
      <c r="R277" s="35">
        <f t="shared" si="219"/>
        <v>70.238</v>
      </c>
      <c r="S277" s="35">
        <f t="shared" si="219"/>
        <v>72.266999999999996</v>
      </c>
      <c r="T277" s="35">
        <f t="shared" si="219"/>
        <v>72.298000000000002</v>
      </c>
      <c r="U277" s="35">
        <f t="shared" si="219"/>
        <v>72.328000000000003</v>
      </c>
      <c r="V277" s="35">
        <f t="shared" si="219"/>
        <v>72.328000000000003</v>
      </c>
    </row>
    <row r="278" spans="1:22">
      <c r="B278" s="6" t="s">
        <v>534</v>
      </c>
      <c r="C278" s="88">
        <f t="shared" ref="C278:I278" si="220">C106</f>
        <v>76.146000000000001</v>
      </c>
      <c r="D278" s="88">
        <f t="shared" si="220"/>
        <v>82.03</v>
      </c>
      <c r="E278" s="88">
        <f t="shared" si="220"/>
        <v>69.887</v>
      </c>
      <c r="F278" s="88">
        <f t="shared" si="220"/>
        <v>66.542000000000002</v>
      </c>
      <c r="G278" s="88">
        <f t="shared" si="220"/>
        <v>61.558</v>
      </c>
      <c r="H278" s="88">
        <f t="shared" si="220"/>
        <v>57.384000000000007</v>
      </c>
      <c r="I278" s="88">
        <f t="shared" si="220"/>
        <v>58.409000000000006</v>
      </c>
      <c r="K278" s="35">
        <f t="shared" si="207"/>
        <v>-17.736999999999995</v>
      </c>
      <c r="L278" s="222">
        <f t="shared" si="208"/>
        <v>-23.293410028103896</v>
      </c>
      <c r="O278" s="59" t="s">
        <v>537</v>
      </c>
      <c r="P278" s="35">
        <f t="shared" ref="P278:V278" si="221">+P106</f>
        <v>4.931</v>
      </c>
      <c r="Q278" s="35">
        <f t="shared" si="221"/>
        <v>5.4390000000000001</v>
      </c>
      <c r="R278" s="35">
        <f t="shared" si="221"/>
        <v>6.0280000000000005</v>
      </c>
      <c r="S278" s="35">
        <f t="shared" si="221"/>
        <v>6.0280000000000005</v>
      </c>
      <c r="T278" s="35">
        <f t="shared" si="221"/>
        <v>6.0980000000000008</v>
      </c>
      <c r="U278" s="35">
        <f t="shared" si="221"/>
        <v>6.0980000000000008</v>
      </c>
      <c r="V278" s="35">
        <f t="shared" si="221"/>
        <v>6.0980000000000008</v>
      </c>
    </row>
    <row r="279" spans="1:22">
      <c r="B279" s="6" t="s">
        <v>535</v>
      </c>
      <c r="C279" s="88">
        <f>C210</f>
        <v>657.10300000000007</v>
      </c>
      <c r="D279" s="88">
        <f t="shared" ref="D279:I279" si="222">D210</f>
        <v>922.14899999999966</v>
      </c>
      <c r="E279" s="88">
        <f t="shared" si="222"/>
        <v>781.99300000000005</v>
      </c>
      <c r="F279" s="88">
        <f t="shared" si="222"/>
        <v>832.18900000000031</v>
      </c>
      <c r="G279" s="88">
        <f t="shared" si="222"/>
        <v>805.35199999999998</v>
      </c>
      <c r="H279" s="88">
        <f t="shared" si="222"/>
        <v>805.31299999999999</v>
      </c>
      <c r="I279" s="88">
        <f t="shared" si="222"/>
        <v>792.48300000000006</v>
      </c>
      <c r="K279" s="35">
        <f t="shared" si="207"/>
        <v>135.38</v>
      </c>
      <c r="L279" s="222">
        <f t="shared" si="208"/>
        <v>20.602553937510553</v>
      </c>
      <c r="M279" s="6">
        <f>E279/E283</f>
        <v>0.14161798509431195</v>
      </c>
      <c r="O279" s="59" t="s">
        <v>538</v>
      </c>
      <c r="P279" s="222">
        <f>P210</f>
        <v>585.01200000000006</v>
      </c>
      <c r="Q279" s="222">
        <f t="shared" ref="Q279:V279" si="223">Q210</f>
        <v>808.42</v>
      </c>
      <c r="R279" s="222">
        <f t="shared" si="223"/>
        <v>692.72974999999997</v>
      </c>
      <c r="S279" s="222">
        <f t="shared" si="223"/>
        <v>718.81975000000023</v>
      </c>
      <c r="T279" s="222">
        <f t="shared" si="223"/>
        <v>715.19325000000003</v>
      </c>
      <c r="U279" s="222">
        <f t="shared" si="223"/>
        <v>718.27224999999999</v>
      </c>
      <c r="V279" s="222">
        <f t="shared" si="223"/>
        <v>707.33574999999996</v>
      </c>
    </row>
    <row r="280" spans="1:22">
      <c r="B280" s="6" t="s">
        <v>669</v>
      </c>
      <c r="C280" s="88">
        <f>C235</f>
        <v>158.28800000000001</v>
      </c>
      <c r="D280" s="88">
        <f t="shared" ref="D280:I280" si="224">D235</f>
        <v>200.16499999999996</v>
      </c>
      <c r="E280" s="88">
        <f t="shared" si="224"/>
        <v>182.90899999999996</v>
      </c>
      <c r="F280" s="88">
        <f t="shared" si="224"/>
        <v>180.69200000000001</v>
      </c>
      <c r="G280" s="88">
        <f t="shared" si="224"/>
        <v>181.73699999999999</v>
      </c>
      <c r="H280" s="88">
        <f t="shared" si="224"/>
        <v>179.99799999999999</v>
      </c>
      <c r="I280" s="88">
        <f t="shared" si="224"/>
        <v>172.36700000000002</v>
      </c>
      <c r="K280" s="35">
        <f t="shared" si="207"/>
        <v>14.079000000000008</v>
      </c>
      <c r="L280" s="222">
        <f t="shared" si="208"/>
        <v>8.894546649145866</v>
      </c>
      <c r="O280" s="59" t="s">
        <v>674</v>
      </c>
      <c r="P280" s="35">
        <f>P235</f>
        <v>104.73509999999997</v>
      </c>
      <c r="Q280" s="35">
        <f t="shared" ref="Q280:V280" si="225">Q235</f>
        <v>128.84120000000001</v>
      </c>
      <c r="R280" s="35">
        <f t="shared" si="225"/>
        <v>118.59560000000002</v>
      </c>
      <c r="S280" s="35">
        <f t="shared" si="225"/>
        <v>121.47280000000002</v>
      </c>
      <c r="T280" s="35">
        <f t="shared" si="225"/>
        <v>122.07319999999999</v>
      </c>
      <c r="U280" s="35">
        <f t="shared" si="225"/>
        <v>120.47690000000001</v>
      </c>
      <c r="V280" s="35">
        <f t="shared" si="225"/>
        <v>115.2484</v>
      </c>
    </row>
    <row r="281" spans="1:22">
      <c r="B281" s="6" t="s">
        <v>153</v>
      </c>
      <c r="C281" s="88">
        <f t="shared" ref="C281:I281" si="226">C243</f>
        <v>10.801</v>
      </c>
      <c r="D281" s="88">
        <f t="shared" si="226"/>
        <v>11.391999999999999</v>
      </c>
      <c r="E281" s="88">
        <f t="shared" si="226"/>
        <v>13.422000000000001</v>
      </c>
      <c r="F281" s="88">
        <f t="shared" si="226"/>
        <v>12.854000000000001</v>
      </c>
      <c r="G281" s="88">
        <f t="shared" si="226"/>
        <v>12.717000000000001</v>
      </c>
      <c r="H281" s="88">
        <f t="shared" si="226"/>
        <v>12.69</v>
      </c>
      <c r="I281" s="88">
        <f t="shared" si="226"/>
        <v>12.714</v>
      </c>
      <c r="K281" s="35">
        <f t="shared" si="207"/>
        <v>1.9130000000000003</v>
      </c>
      <c r="L281" s="222">
        <f t="shared" si="208"/>
        <v>17.711323025645775</v>
      </c>
      <c r="O281" s="59" t="s">
        <v>168</v>
      </c>
      <c r="P281" s="35">
        <f t="shared" ref="P281:V281" si="227">+P243</f>
        <v>0</v>
      </c>
      <c r="Q281" s="35">
        <f t="shared" si="227"/>
        <v>0</v>
      </c>
      <c r="R281" s="35">
        <f t="shared" si="227"/>
        <v>0</v>
      </c>
      <c r="S281" s="35">
        <f t="shared" si="227"/>
        <v>0</v>
      </c>
      <c r="T281" s="35">
        <f t="shared" si="227"/>
        <v>0</v>
      </c>
      <c r="U281" s="35">
        <f t="shared" si="227"/>
        <v>0</v>
      </c>
      <c r="V281" s="35">
        <f t="shared" si="227"/>
        <v>0</v>
      </c>
    </row>
    <row r="282" spans="1:22">
      <c r="B282" s="6" t="s">
        <v>154</v>
      </c>
      <c r="C282" s="88">
        <f>C266</f>
        <v>230.16599999999997</v>
      </c>
      <c r="D282" s="88">
        <f t="shared" ref="D282:I282" si="228">D266</f>
        <v>270.64400000000001</v>
      </c>
      <c r="E282" s="88">
        <f t="shared" si="228"/>
        <v>299.43699999999995</v>
      </c>
      <c r="F282" s="88">
        <f t="shared" si="228"/>
        <v>275.30500000000001</v>
      </c>
      <c r="G282" s="88">
        <f t="shared" si="228"/>
        <v>257.77600000000001</v>
      </c>
      <c r="H282" s="88">
        <f t="shared" si="228"/>
        <v>240.172</v>
      </c>
      <c r="I282" s="88">
        <f t="shared" si="228"/>
        <v>234.15199999999999</v>
      </c>
      <c r="K282" s="35">
        <f t="shared" si="207"/>
        <v>3.9860000000000184</v>
      </c>
      <c r="L282" s="222">
        <f t="shared" si="208"/>
        <v>1.7317935750719129</v>
      </c>
      <c r="O282" s="59" t="s">
        <v>169</v>
      </c>
      <c r="P282" s="35">
        <f>+P266</f>
        <v>0</v>
      </c>
      <c r="Q282" s="35">
        <f t="shared" ref="Q282:V282" si="229">+Q266</f>
        <v>0</v>
      </c>
      <c r="R282" s="35">
        <f t="shared" si="229"/>
        <v>0</v>
      </c>
      <c r="S282" s="35">
        <f t="shared" si="229"/>
        <v>0</v>
      </c>
      <c r="T282" s="35">
        <f t="shared" si="229"/>
        <v>0</v>
      </c>
      <c r="U282" s="35">
        <f t="shared" si="229"/>
        <v>0</v>
      </c>
      <c r="V282" s="35">
        <f t="shared" si="229"/>
        <v>0</v>
      </c>
    </row>
    <row r="283" spans="1:22">
      <c r="B283" s="21" t="s">
        <v>52</v>
      </c>
      <c r="C283" s="36">
        <f>SUM(C272:C282)</f>
        <v>4957.9422203081031</v>
      </c>
      <c r="D283" s="36">
        <f t="shared" ref="D283:I283" si="230">SUM(D272:D282)</f>
        <v>5566.2732919187438</v>
      </c>
      <c r="E283" s="36">
        <f t="shared" si="230"/>
        <v>5521.8480864504872</v>
      </c>
      <c r="F283" s="36">
        <f t="shared" si="230"/>
        <v>5566.6921322269645</v>
      </c>
      <c r="G283" s="36">
        <f t="shared" si="230"/>
        <v>5501.2666568591803</v>
      </c>
      <c r="H283" s="36">
        <f t="shared" si="230"/>
        <v>5485.2964894027509</v>
      </c>
      <c r="I283" s="36">
        <f t="shared" si="230"/>
        <v>5482.04227424694</v>
      </c>
      <c r="K283" s="35">
        <f t="shared" si="207"/>
        <v>524.10005393883694</v>
      </c>
      <c r="L283" s="222">
        <f t="shared" si="208"/>
        <v>10.570918954885835</v>
      </c>
      <c r="O283" s="59" t="s">
        <v>147</v>
      </c>
      <c r="P283" s="36">
        <f>SUM(P272:P282)</f>
        <v>1042.4646499999999</v>
      </c>
      <c r="Q283" s="36">
        <f t="shared" ref="Q283:V283" si="231">SUM(Q272:Q282)</f>
        <v>1303.20117</v>
      </c>
      <c r="R283" s="36">
        <f t="shared" si="231"/>
        <v>1180.8411600000002</v>
      </c>
      <c r="S283" s="36">
        <f t="shared" si="231"/>
        <v>1211.7482100000002</v>
      </c>
      <c r="T283" s="36">
        <f t="shared" si="231"/>
        <v>1208.9606100000001</v>
      </c>
      <c r="U283" s="36">
        <f t="shared" si="231"/>
        <v>1210.5133800000001</v>
      </c>
      <c r="V283" s="36">
        <f t="shared" si="231"/>
        <v>1194.2445799999998</v>
      </c>
    </row>
    <row r="284" spans="1:22">
      <c r="E284" s="88"/>
    </row>
    <row r="285" spans="1:22" s="216" customFormat="1" ht="15">
      <c r="A285" s="237" t="s">
        <v>371</v>
      </c>
      <c r="C285" s="238"/>
      <c r="E285" s="238"/>
      <c r="K285" s="239"/>
      <c r="L285" s="6"/>
      <c r="O285" s="185"/>
      <c r="P285" s="240"/>
      <c r="Q285" s="240"/>
      <c r="R285" s="240"/>
      <c r="S285" s="240"/>
      <c r="T285" s="240"/>
      <c r="U285" s="240"/>
      <c r="V285" s="240"/>
    </row>
    <row r="286" spans="1:22">
      <c r="E286" s="88"/>
      <c r="P286" s="228"/>
      <c r="Q286" s="228"/>
      <c r="R286" s="228"/>
      <c r="S286" s="228"/>
      <c r="T286" s="228"/>
      <c r="U286" s="228"/>
      <c r="V286" s="228"/>
    </row>
    <row r="287" spans="1:22">
      <c r="C287" s="88"/>
      <c r="D287" s="88"/>
      <c r="E287" s="88"/>
      <c r="F287" s="88"/>
      <c r="G287" s="88"/>
      <c r="H287" s="88"/>
      <c r="I287" s="88"/>
    </row>
    <row r="288" spans="1:22">
      <c r="P288" s="229"/>
    </row>
    <row r="289" spans="2:9">
      <c r="B289" s="183"/>
      <c r="C289" s="183"/>
      <c r="D289" s="183"/>
      <c r="E289" s="183"/>
      <c r="F289" s="183"/>
      <c r="G289" s="183"/>
      <c r="H289" s="183"/>
      <c r="I289" s="183"/>
    </row>
    <row r="290" spans="2:9">
      <c r="B290" s="183"/>
      <c r="C290" s="183"/>
      <c r="D290" s="183"/>
      <c r="E290" s="183"/>
      <c r="F290" s="183"/>
      <c r="G290" s="183"/>
      <c r="H290" s="183"/>
      <c r="I290" s="183"/>
    </row>
    <row r="292" spans="2:9">
      <c r="B292" s="183"/>
      <c r="C292" s="88"/>
      <c r="D292" s="88"/>
      <c r="E292" s="88"/>
      <c r="F292" s="88"/>
      <c r="G292" s="88"/>
      <c r="H292" s="88"/>
      <c r="I292" s="88"/>
    </row>
    <row r="293" spans="2:9">
      <c r="B293" s="183"/>
      <c r="C293" s="88"/>
      <c r="D293" s="88"/>
      <c r="E293" s="88"/>
      <c r="F293" s="88"/>
      <c r="G293" s="88"/>
      <c r="H293" s="88"/>
      <c r="I293" s="88"/>
    </row>
    <row r="294" spans="2:9">
      <c r="B294" s="183"/>
      <c r="C294" s="88"/>
      <c r="D294" s="88"/>
      <c r="E294" s="88"/>
      <c r="F294" s="88"/>
      <c r="G294" s="88"/>
      <c r="H294" s="88"/>
      <c r="I294" s="88"/>
    </row>
    <row r="295" spans="2:9">
      <c r="B295" s="183"/>
      <c r="C295" s="88"/>
      <c r="D295" s="88"/>
      <c r="E295" s="88"/>
      <c r="F295" s="88"/>
      <c r="G295" s="88"/>
      <c r="H295" s="88"/>
      <c r="I295" s="88"/>
    </row>
    <row r="296" spans="2:9">
      <c r="B296" s="183"/>
      <c r="C296" s="88"/>
      <c r="D296" s="88"/>
      <c r="E296" s="88"/>
      <c r="F296" s="88"/>
      <c r="G296" s="88"/>
      <c r="H296" s="88"/>
      <c r="I296" s="88"/>
    </row>
    <row r="297" spans="2:9">
      <c r="B297" s="183"/>
      <c r="C297" s="88"/>
      <c r="D297" s="88"/>
      <c r="E297" s="88"/>
      <c r="F297" s="88"/>
      <c r="G297" s="88"/>
      <c r="H297" s="88"/>
      <c r="I297" s="88"/>
    </row>
    <row r="298" spans="2:9">
      <c r="B298" s="183"/>
      <c r="C298" s="88"/>
      <c r="D298" s="88"/>
      <c r="E298" s="88"/>
      <c r="F298" s="88"/>
      <c r="G298" s="88"/>
      <c r="H298" s="88"/>
      <c r="I298" s="88"/>
    </row>
    <row r="299" spans="2:9">
      <c r="B299" s="183"/>
      <c r="C299" s="88"/>
      <c r="D299" s="88"/>
      <c r="E299" s="88"/>
      <c r="F299" s="88"/>
      <c r="G299" s="88"/>
      <c r="H299" s="88"/>
      <c r="I299" s="88"/>
    </row>
    <row r="300" spans="2:9">
      <c r="B300" s="183"/>
      <c r="C300" s="88"/>
      <c r="D300" s="88"/>
      <c r="E300" s="88"/>
      <c r="F300" s="88"/>
      <c r="G300" s="88"/>
      <c r="H300" s="88"/>
      <c r="I300" s="88"/>
    </row>
    <row r="301" spans="2:9">
      <c r="B301" s="183"/>
      <c r="C301" s="88"/>
      <c r="D301" s="88"/>
      <c r="E301" s="88"/>
      <c r="F301" s="88"/>
      <c r="G301" s="88"/>
      <c r="H301" s="88"/>
      <c r="I301" s="88"/>
    </row>
  </sheetData>
  <sortState ref="A184:N196">
    <sortCondition ref="A184:A196"/>
  </sortState>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4" manualBreakCount="4">
    <brk id="64" max="21" man="1"/>
    <brk id="107" max="21" man="1"/>
    <brk id="166" max="21" man="1"/>
    <brk id="235" max="21" man="1"/>
  </rowBreaks>
  <colBreaks count="1" manualBreakCount="1">
    <brk id="14" max="28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0"/>
  <sheetViews>
    <sheetView zoomScaleNormal="100" zoomScaleSheetLayoutView="100" workbookViewId="0">
      <pane ySplit="3" topLeftCell="A4" activePane="bottomLeft" state="frozen"/>
      <selection pane="bottomLeft" activeCell="A4" sqref="A4"/>
    </sheetView>
  </sheetViews>
  <sheetFormatPr defaultRowHeight="12.75"/>
  <cols>
    <col min="1" max="1" width="9.140625" style="102"/>
    <col min="2" max="2" width="58" style="6" bestFit="1" customWidth="1"/>
    <col min="3" max="9" width="12" style="6" customWidth="1"/>
    <col min="10" max="10" width="12.28515625" style="6" customWidth="1"/>
    <col min="11" max="11" width="15" style="6" bestFit="1" customWidth="1"/>
    <col min="12" max="12" width="41.28515625" style="6" customWidth="1"/>
    <col min="13" max="16384" width="9.140625" style="6"/>
  </cols>
  <sheetData>
    <row r="1" spans="1:15" ht="18.75">
      <c r="A1" s="241" t="s">
        <v>148</v>
      </c>
    </row>
    <row r="2" spans="1:15" ht="18.75">
      <c r="A2" s="241"/>
      <c r="C2" s="21" t="str">
        <f>'R&amp;D'!C3</f>
        <v>realisatie</v>
      </c>
      <c r="D2" s="21" t="str">
        <f>'R&amp;D'!D3</f>
        <v xml:space="preserve">stand begr. </v>
      </c>
      <c r="E2" s="21" t="str">
        <f>'R&amp;D'!E3</f>
        <v>ontwerp</v>
      </c>
      <c r="F2" s="21" t="str">
        <f>'R&amp;D'!F3</f>
        <v>meerjarencijfers</v>
      </c>
      <c r="G2" s="21"/>
      <c r="H2" s="21"/>
      <c r="I2" s="21"/>
      <c r="J2" s="21" t="s">
        <v>408</v>
      </c>
    </row>
    <row r="3" spans="1:15" s="69" customFormat="1" ht="15">
      <c r="A3" s="242"/>
      <c r="C3" s="21">
        <f>'R&amp;D'!C4</f>
        <v>2017</v>
      </c>
      <c r="D3" s="21">
        <f>'R&amp;D'!D4</f>
        <v>2018</v>
      </c>
      <c r="E3" s="21">
        <f>'R&amp;D'!E4</f>
        <v>2019</v>
      </c>
      <c r="F3" s="21">
        <f>'R&amp;D'!F4</f>
        <v>2020</v>
      </c>
      <c r="G3" s="21">
        <f>'R&amp;D'!G4</f>
        <v>2021</v>
      </c>
      <c r="H3" s="21">
        <f>'R&amp;D'!H4</f>
        <v>2022</v>
      </c>
      <c r="I3" s="21">
        <f>'R&amp;D'!I4</f>
        <v>2023</v>
      </c>
      <c r="J3" s="243" t="s">
        <v>360</v>
      </c>
      <c r="K3" s="6"/>
      <c r="L3" s="6" t="s">
        <v>554</v>
      </c>
    </row>
    <row r="4" spans="1:15" s="69" customFormat="1" ht="15">
      <c r="A4" s="211" t="s">
        <v>72</v>
      </c>
      <c r="B4" s="69" t="s">
        <v>45</v>
      </c>
      <c r="C4" s="89"/>
      <c r="D4" s="89"/>
      <c r="E4" s="89"/>
      <c r="F4" s="89"/>
      <c r="G4" s="89"/>
      <c r="H4" s="89"/>
      <c r="I4" s="89"/>
      <c r="J4" s="21"/>
      <c r="K4" s="21"/>
      <c r="L4" s="21"/>
      <c r="M4" s="21"/>
      <c r="N4" s="21"/>
      <c r="O4" s="21"/>
    </row>
    <row r="5" spans="1:15">
      <c r="A5" s="244">
        <v>4</v>
      </c>
      <c r="B5" s="126" t="s">
        <v>301</v>
      </c>
      <c r="C5" s="245">
        <v>20.690999999999999</v>
      </c>
      <c r="D5" s="245">
        <v>20.771000000000001</v>
      </c>
      <c r="E5" s="245">
        <v>42.063000000000002</v>
      </c>
      <c r="F5" s="245">
        <v>38.274999999999999</v>
      </c>
      <c r="G5" s="245">
        <v>32.686</v>
      </c>
      <c r="H5" s="245">
        <v>27.606000000000002</v>
      </c>
      <c r="I5" s="245">
        <v>24.966000000000001</v>
      </c>
      <c r="J5" s="222"/>
      <c r="L5" s="6" t="s">
        <v>647</v>
      </c>
    </row>
    <row r="6" spans="1:15">
      <c r="A6" s="244">
        <v>3</v>
      </c>
      <c r="B6" s="126" t="s">
        <v>372</v>
      </c>
      <c r="C6" s="245">
        <v>16.399999999999999</v>
      </c>
      <c r="D6" s="245">
        <v>16.399999999999999</v>
      </c>
      <c r="E6" s="245">
        <v>16.399999999999999</v>
      </c>
      <c r="F6" s="245">
        <v>16.399999999999999</v>
      </c>
      <c r="G6" s="245">
        <v>16.399999999999999</v>
      </c>
      <c r="H6" s="245">
        <v>16.399999999999999</v>
      </c>
      <c r="I6" s="245">
        <v>16.399999999999999</v>
      </c>
    </row>
    <row r="7" spans="1:15">
      <c r="A7" s="244">
        <v>3</v>
      </c>
      <c r="B7" s="126" t="s">
        <v>373</v>
      </c>
      <c r="C7" s="245">
        <v>2.4</v>
      </c>
      <c r="D7" s="245">
        <v>2.4</v>
      </c>
      <c r="E7" s="245">
        <v>2.4</v>
      </c>
      <c r="F7" s="245">
        <v>2.4</v>
      </c>
      <c r="G7" s="245">
        <v>2.4</v>
      </c>
      <c r="H7" s="245">
        <v>2.4</v>
      </c>
      <c r="I7" s="245">
        <v>2.4</v>
      </c>
    </row>
    <row r="8" spans="1:15">
      <c r="A8" s="244">
        <v>3</v>
      </c>
      <c r="B8" s="126" t="s">
        <v>374</v>
      </c>
      <c r="C8" s="245">
        <v>0.71299999999999997</v>
      </c>
      <c r="D8" s="245">
        <v>1.53</v>
      </c>
      <c r="E8" s="245">
        <v>0.3</v>
      </c>
      <c r="F8" s="245"/>
      <c r="G8" s="245"/>
      <c r="H8" s="245"/>
      <c r="I8" s="245"/>
    </row>
    <row r="9" spans="1:15">
      <c r="A9" s="244">
        <v>3</v>
      </c>
      <c r="B9" s="126" t="s">
        <v>375</v>
      </c>
      <c r="C9" s="245">
        <v>2.9159999999999999</v>
      </c>
      <c r="D9" s="245">
        <v>2.6</v>
      </c>
      <c r="E9" s="245">
        <v>2.6</v>
      </c>
      <c r="F9" s="245">
        <v>2.6</v>
      </c>
      <c r="G9" s="245">
        <v>2.6</v>
      </c>
      <c r="H9" s="245">
        <v>2.6</v>
      </c>
      <c r="I9" s="245">
        <v>2.6</v>
      </c>
    </row>
    <row r="10" spans="1:15">
      <c r="A10" s="244">
        <v>3</v>
      </c>
      <c r="B10" s="126" t="s">
        <v>376</v>
      </c>
      <c r="C10" s="245">
        <v>2.4</v>
      </c>
      <c r="D10" s="245"/>
      <c r="E10" s="245"/>
      <c r="F10" s="245"/>
      <c r="G10" s="245"/>
      <c r="H10" s="222"/>
    </row>
    <row r="11" spans="1:15">
      <c r="A11" s="244">
        <v>3</v>
      </c>
      <c r="B11" s="126" t="s">
        <v>377</v>
      </c>
      <c r="C11" s="245">
        <v>0.35399999999999998</v>
      </c>
      <c r="D11" s="245"/>
      <c r="E11" s="245"/>
      <c r="F11" s="245"/>
      <c r="G11" s="245"/>
      <c r="H11" s="222"/>
    </row>
    <row r="12" spans="1:15">
      <c r="A12" s="244">
        <v>1</v>
      </c>
      <c r="B12" s="246" t="s">
        <v>378</v>
      </c>
      <c r="C12" s="245">
        <v>0.77400000000000002</v>
      </c>
      <c r="D12" s="245">
        <v>0.77400000000000002</v>
      </c>
      <c r="E12" s="245"/>
      <c r="F12" s="245"/>
      <c r="G12" s="245"/>
      <c r="H12" s="245"/>
      <c r="I12" s="245"/>
      <c r="J12" s="222"/>
      <c r="K12" s="247"/>
    </row>
    <row r="13" spans="1:15">
      <c r="A13" s="244">
        <v>1</v>
      </c>
      <c r="B13" s="246" t="s">
        <v>379</v>
      </c>
      <c r="C13" s="245">
        <v>3.5</v>
      </c>
      <c r="D13" s="245">
        <v>1.5</v>
      </c>
      <c r="E13" s="245">
        <v>3.5</v>
      </c>
      <c r="F13" s="245">
        <v>4.9000000000000004</v>
      </c>
      <c r="G13" s="245">
        <v>5.2</v>
      </c>
      <c r="H13" s="245">
        <v>5.2</v>
      </c>
      <c r="I13" s="245">
        <v>5.2</v>
      </c>
      <c r="J13" s="222"/>
      <c r="K13" s="247"/>
    </row>
    <row r="14" spans="1:15">
      <c r="A14" s="244">
        <v>1</v>
      </c>
      <c r="B14" s="246" t="s">
        <v>380</v>
      </c>
      <c r="C14" s="245">
        <v>0.8</v>
      </c>
      <c r="D14" s="245">
        <v>5</v>
      </c>
      <c r="E14" s="245">
        <v>1.8520000000000001</v>
      </c>
      <c r="F14" s="245"/>
      <c r="G14" s="245"/>
      <c r="H14" s="245"/>
      <c r="I14" s="245"/>
      <c r="J14" s="222"/>
      <c r="K14" s="247"/>
    </row>
    <row r="15" spans="1:15">
      <c r="A15" s="244">
        <v>1</v>
      </c>
      <c r="B15" s="246" t="s">
        <v>381</v>
      </c>
      <c r="C15" s="245">
        <v>2.5</v>
      </c>
      <c r="D15" s="245">
        <v>1.5</v>
      </c>
      <c r="E15" s="245">
        <v>1.5</v>
      </c>
      <c r="F15" s="245"/>
      <c r="G15" s="245"/>
      <c r="H15" s="245"/>
      <c r="I15" s="245"/>
      <c r="J15" s="222"/>
      <c r="K15" s="247"/>
    </row>
    <row r="16" spans="1:15">
      <c r="A16" s="244">
        <v>1</v>
      </c>
      <c r="B16" s="246" t="s">
        <v>637</v>
      </c>
      <c r="C16" s="245">
        <v>4.548</v>
      </c>
      <c r="D16" s="245">
        <v>5.5</v>
      </c>
      <c r="E16" s="245">
        <v>6.6</v>
      </c>
      <c r="F16" s="245">
        <v>6.5</v>
      </c>
      <c r="G16" s="245">
        <v>6.5</v>
      </c>
      <c r="H16" s="245">
        <v>6.5</v>
      </c>
      <c r="I16" s="245">
        <v>6.5</v>
      </c>
      <c r="J16" s="222"/>
      <c r="K16" s="247"/>
    </row>
    <row r="17" spans="1:12">
      <c r="A17" s="244">
        <v>1</v>
      </c>
      <c r="B17" s="246" t="s">
        <v>382</v>
      </c>
      <c r="C17" s="245">
        <v>0.3</v>
      </c>
      <c r="D17" s="245">
        <v>0.3</v>
      </c>
      <c r="E17" s="245"/>
      <c r="F17" s="245"/>
      <c r="G17" s="245"/>
      <c r="H17" s="245"/>
      <c r="I17" s="245"/>
      <c r="J17" s="222"/>
      <c r="K17" s="247"/>
    </row>
    <row r="18" spans="1:12">
      <c r="A18" s="244">
        <v>1</v>
      </c>
      <c r="B18" s="246" t="s">
        <v>383</v>
      </c>
      <c r="C18" s="245">
        <v>0.25</v>
      </c>
      <c r="D18" s="245">
        <v>0.4</v>
      </c>
      <c r="E18" s="245">
        <v>0.3</v>
      </c>
      <c r="F18" s="245"/>
      <c r="G18" s="245"/>
      <c r="H18" s="245"/>
      <c r="I18" s="245"/>
      <c r="J18" s="222"/>
      <c r="K18" s="247"/>
    </row>
    <row r="19" spans="1:12">
      <c r="A19" s="244">
        <v>1</v>
      </c>
      <c r="B19" s="246" t="s">
        <v>384</v>
      </c>
      <c r="C19" s="245">
        <v>0.45</v>
      </c>
      <c r="D19" s="245"/>
      <c r="E19" s="245"/>
      <c r="F19" s="245"/>
      <c r="G19" s="245"/>
      <c r="H19" s="245"/>
      <c r="I19" s="245"/>
      <c r="J19" s="222"/>
      <c r="K19" s="247"/>
    </row>
    <row r="20" spans="1:12">
      <c r="A20" s="244">
        <v>1</v>
      </c>
      <c r="B20" s="246" t="s">
        <v>385</v>
      </c>
      <c r="C20" s="245">
        <v>0.3</v>
      </c>
      <c r="D20" s="245">
        <v>0.3</v>
      </c>
      <c r="E20" s="245">
        <v>0.3</v>
      </c>
      <c r="F20" s="245"/>
      <c r="G20" s="245"/>
      <c r="J20" s="222"/>
      <c r="K20" s="247"/>
    </row>
    <row r="21" spans="1:12">
      <c r="A21" s="244">
        <v>1</v>
      </c>
      <c r="B21" s="246" t="s">
        <v>386</v>
      </c>
      <c r="C21" s="248"/>
      <c r="D21" s="245">
        <v>0.159</v>
      </c>
      <c r="E21" s="245"/>
      <c r="F21" s="245">
        <v>0.11899999999999999</v>
      </c>
      <c r="G21" s="245"/>
      <c r="H21" s="245"/>
      <c r="J21" s="222"/>
      <c r="K21" s="246"/>
    </row>
    <row r="22" spans="1:12">
      <c r="A22" s="244">
        <v>6</v>
      </c>
      <c r="B22" s="126" t="s">
        <v>387</v>
      </c>
      <c r="C22" s="245">
        <v>0.25</v>
      </c>
      <c r="D22" s="245">
        <v>2.2690000000000001</v>
      </c>
      <c r="E22" s="245">
        <v>3.3</v>
      </c>
      <c r="F22" s="245">
        <v>3.8</v>
      </c>
      <c r="G22" s="245">
        <v>6.3</v>
      </c>
      <c r="H22" s="245">
        <v>7.9</v>
      </c>
      <c r="I22" s="245">
        <v>8.3000000000000007</v>
      </c>
      <c r="L22" s="6" t="s">
        <v>388</v>
      </c>
    </row>
    <row r="23" spans="1:12">
      <c r="A23" s="244">
        <v>7</v>
      </c>
      <c r="B23" s="126" t="s">
        <v>389</v>
      </c>
      <c r="C23" s="245">
        <v>0.25</v>
      </c>
      <c r="D23" s="245">
        <v>2.2679999999999998</v>
      </c>
      <c r="E23" s="245">
        <v>3.3</v>
      </c>
      <c r="F23" s="245">
        <v>3.8</v>
      </c>
      <c r="G23" s="245">
        <v>6.3</v>
      </c>
      <c r="H23" s="245">
        <v>7.9</v>
      </c>
      <c r="I23" s="245">
        <v>8.3000000000000007</v>
      </c>
      <c r="L23" s="6" t="s">
        <v>388</v>
      </c>
    </row>
    <row r="24" spans="1:12">
      <c r="A24" s="249" t="s">
        <v>405</v>
      </c>
      <c r="B24" s="126" t="s">
        <v>390</v>
      </c>
      <c r="C24" s="245">
        <v>0.98799999999999999</v>
      </c>
      <c r="D24" s="245">
        <v>1.5760000000000001</v>
      </c>
      <c r="E24" s="245">
        <v>2</v>
      </c>
      <c r="F24" s="245">
        <v>2</v>
      </c>
      <c r="G24" s="245">
        <v>2</v>
      </c>
      <c r="H24" s="245">
        <v>2</v>
      </c>
      <c r="I24" s="245">
        <v>2</v>
      </c>
      <c r="L24" s="6" t="s">
        <v>391</v>
      </c>
    </row>
    <row r="25" spans="1:12">
      <c r="A25" s="244">
        <v>14</v>
      </c>
      <c r="B25" s="126" t="s">
        <v>393</v>
      </c>
      <c r="C25" s="250">
        <v>0.8</v>
      </c>
      <c r="D25" s="251">
        <v>1</v>
      </c>
      <c r="E25" s="251">
        <v>1</v>
      </c>
      <c r="F25" s="251">
        <v>0.2</v>
      </c>
      <c r="G25" s="251">
        <v>0.2</v>
      </c>
      <c r="H25" s="251">
        <v>0.2</v>
      </c>
      <c r="I25" s="251">
        <v>0.2</v>
      </c>
    </row>
    <row r="26" spans="1:12">
      <c r="A26" s="244">
        <v>14</v>
      </c>
      <c r="B26" s="126" t="s">
        <v>525</v>
      </c>
      <c r="C26" s="250">
        <v>1.823</v>
      </c>
      <c r="D26" s="251">
        <v>7.5659999999999998</v>
      </c>
      <c r="E26" s="251">
        <v>7.4749999999999996</v>
      </c>
      <c r="F26" s="251">
        <v>1.9750000000000001</v>
      </c>
      <c r="G26" s="251">
        <v>1.9750000000000001</v>
      </c>
      <c r="H26" s="251">
        <v>1.9750000000000001</v>
      </c>
      <c r="I26" s="251">
        <v>1.9750000000000001</v>
      </c>
    </row>
    <row r="27" spans="1:12">
      <c r="A27" s="244">
        <v>14</v>
      </c>
      <c r="B27" s="126" t="s">
        <v>526</v>
      </c>
      <c r="C27" s="250">
        <v>16.489000000000001</v>
      </c>
      <c r="D27" s="251">
        <v>15.959</v>
      </c>
      <c r="E27" s="251">
        <v>15.759</v>
      </c>
      <c r="F27" s="251">
        <v>15.759</v>
      </c>
      <c r="G27" s="251">
        <v>15.759</v>
      </c>
      <c r="H27" s="251">
        <v>15.759</v>
      </c>
      <c r="I27" s="251">
        <v>15.759</v>
      </c>
    </row>
    <row r="28" spans="1:12">
      <c r="A28" s="244">
        <v>15</v>
      </c>
      <c r="B28" s="126" t="s">
        <v>394</v>
      </c>
      <c r="C28" s="245">
        <v>1.0409999999999999</v>
      </c>
      <c r="D28" s="245">
        <v>0.86499999999999999</v>
      </c>
      <c r="E28" s="245">
        <v>0.8</v>
      </c>
      <c r="F28" s="245">
        <v>0.8</v>
      </c>
      <c r="G28" s="245">
        <v>0.8</v>
      </c>
      <c r="H28" s="245">
        <v>0.8</v>
      </c>
      <c r="I28" s="245">
        <v>0.8</v>
      </c>
    </row>
    <row r="29" spans="1:12" s="69" customFormat="1" ht="15">
      <c r="A29" s="244">
        <v>25</v>
      </c>
      <c r="B29" s="126" t="s">
        <v>404</v>
      </c>
      <c r="C29" s="219"/>
      <c r="D29" s="219"/>
      <c r="E29" s="219"/>
      <c r="F29" s="219"/>
      <c r="G29" s="219"/>
      <c r="H29" s="219"/>
      <c r="I29" s="219"/>
      <c r="J29" s="216"/>
      <c r="K29" s="216"/>
      <c r="L29" s="252"/>
    </row>
    <row r="30" spans="1:12" s="69" customFormat="1" ht="15">
      <c r="A30" s="242"/>
      <c r="B30" s="69" t="s">
        <v>64</v>
      </c>
      <c r="C30" s="106">
        <f>SUM(C5:C29)</f>
        <v>80.936999999999983</v>
      </c>
      <c r="D30" s="106">
        <f>SUM(D5:D29)</f>
        <v>90.636999999999986</v>
      </c>
      <c r="E30" s="106">
        <f>SUM(E5:E29)</f>
        <v>111.44899999999998</v>
      </c>
      <c r="F30" s="106">
        <f>SUM(F5:F29)</f>
        <v>99.527999999999992</v>
      </c>
      <c r="G30" s="106">
        <f>SUM(G5:G29)</f>
        <v>99.11999999999999</v>
      </c>
      <c r="H30" s="106">
        <f>SUM(H5:H29)</f>
        <v>97.240000000000009</v>
      </c>
      <c r="I30" s="106">
        <f>SUM(I5:I29)</f>
        <v>95.399999999999991</v>
      </c>
    </row>
    <row r="31" spans="1:12">
      <c r="C31" s="88"/>
    </row>
    <row r="32" spans="1:12" s="242" customFormat="1" ht="15">
      <c r="B32" s="242" t="s">
        <v>42</v>
      </c>
    </row>
    <row r="33" spans="1:14">
      <c r="A33" s="102" t="s">
        <v>568</v>
      </c>
      <c r="B33" s="6" t="s">
        <v>569</v>
      </c>
      <c r="C33" s="245">
        <v>2.1040000000000001</v>
      </c>
      <c r="D33" s="245">
        <v>5</v>
      </c>
      <c r="E33" s="245">
        <v>5</v>
      </c>
      <c r="F33" s="245">
        <v>5</v>
      </c>
      <c r="G33" s="245">
        <v>5</v>
      </c>
      <c r="H33" s="245">
        <v>5</v>
      </c>
      <c r="I33" s="245">
        <v>5</v>
      </c>
    </row>
    <row r="34" spans="1:14" ht="15">
      <c r="B34" s="21" t="s">
        <v>56</v>
      </c>
      <c r="C34" s="107">
        <f>SUM(C33)</f>
        <v>2.1040000000000001</v>
      </c>
      <c r="D34" s="107">
        <f t="shared" ref="D34:I34" si="0">SUM(D33)</f>
        <v>5</v>
      </c>
      <c r="E34" s="107">
        <f t="shared" si="0"/>
        <v>5</v>
      </c>
      <c r="F34" s="107">
        <f t="shared" si="0"/>
        <v>5</v>
      </c>
      <c r="G34" s="107">
        <f t="shared" si="0"/>
        <v>5</v>
      </c>
      <c r="H34" s="107">
        <f t="shared" si="0"/>
        <v>5</v>
      </c>
      <c r="I34" s="107">
        <f t="shared" si="0"/>
        <v>5</v>
      </c>
    </row>
    <row r="35" spans="1:14">
      <c r="C35" s="88"/>
    </row>
    <row r="36" spans="1:14" ht="15">
      <c r="A36" s="242"/>
      <c r="B36" s="31" t="s">
        <v>415</v>
      </c>
      <c r="C36" s="69"/>
      <c r="D36" s="218"/>
      <c r="E36" s="218"/>
      <c r="F36" s="218"/>
      <c r="G36" s="218"/>
      <c r="H36" s="218"/>
      <c r="I36" s="218"/>
      <c r="J36" s="218"/>
      <c r="K36" s="31"/>
      <c r="L36" s="220"/>
      <c r="M36" s="31"/>
      <c r="N36" s="31"/>
    </row>
    <row r="37" spans="1:14">
      <c r="A37" s="244" t="s">
        <v>302</v>
      </c>
      <c r="B37" s="126" t="s">
        <v>142</v>
      </c>
      <c r="C37" s="245">
        <v>0.51600000000000001</v>
      </c>
      <c r="D37" s="245">
        <v>0.55100000000000005</v>
      </c>
      <c r="E37" s="245">
        <v>0.26200000000000001</v>
      </c>
      <c r="F37" s="245">
        <v>0</v>
      </c>
      <c r="G37" s="245">
        <v>0</v>
      </c>
      <c r="H37" s="245">
        <v>0</v>
      </c>
      <c r="I37" s="245">
        <v>0</v>
      </c>
      <c r="J37" s="222">
        <v>0.1</v>
      </c>
    </row>
    <row r="38" spans="1:14">
      <c r="A38" s="244" t="s">
        <v>144</v>
      </c>
      <c r="B38" s="126" t="s">
        <v>143</v>
      </c>
      <c r="C38" s="245">
        <v>29.940999999999999</v>
      </c>
      <c r="D38" s="245">
        <v>25.725999999999999</v>
      </c>
      <c r="E38" s="245">
        <v>1.1950000000000001</v>
      </c>
      <c r="F38" s="245">
        <v>5.8120000000000003</v>
      </c>
      <c r="G38" s="245">
        <v>3.4009999999999998</v>
      </c>
      <c r="H38" s="245">
        <v>6.2160000000000002</v>
      </c>
      <c r="I38" s="245">
        <v>3.5779999999999998</v>
      </c>
      <c r="J38" s="222">
        <v>0.7</v>
      </c>
    </row>
    <row r="39" spans="1:14">
      <c r="A39" s="244" t="s">
        <v>303</v>
      </c>
      <c r="B39" s="126" t="s">
        <v>304</v>
      </c>
      <c r="C39" s="245">
        <v>0</v>
      </c>
      <c r="D39" s="245">
        <v>0</v>
      </c>
      <c r="E39" s="245">
        <v>0</v>
      </c>
      <c r="F39" s="245">
        <v>0</v>
      </c>
      <c r="G39" s="245">
        <v>0</v>
      </c>
      <c r="H39" s="245">
        <v>0</v>
      </c>
      <c r="I39" s="245">
        <v>0</v>
      </c>
      <c r="J39" s="222">
        <v>0</v>
      </c>
    </row>
    <row r="40" spans="1:14">
      <c r="A40" s="244" t="s">
        <v>305</v>
      </c>
      <c r="B40" s="126" t="str">
        <f>[1]format!$B$96</f>
        <v>Opdrachten KDC</v>
      </c>
      <c r="C40" s="245">
        <v>0.59399999999999997</v>
      </c>
      <c r="D40" s="245">
        <v>0.7</v>
      </c>
      <c r="E40" s="245">
        <v>0.6</v>
      </c>
      <c r="F40" s="245">
        <v>0.6</v>
      </c>
      <c r="G40" s="245">
        <v>0.6</v>
      </c>
      <c r="H40" s="245">
        <v>0.6</v>
      </c>
      <c r="I40" s="245">
        <v>0.6</v>
      </c>
      <c r="J40" s="222">
        <v>2.2000000000000002</v>
      </c>
      <c r="K40" s="6" t="s">
        <v>127</v>
      </c>
    </row>
    <row r="41" spans="1:14">
      <c r="A41" s="244" t="s">
        <v>305</v>
      </c>
      <c r="B41" s="126" t="str">
        <f>[1]format!$B$98</f>
        <v>KLM Corporate Biofuel Programme</v>
      </c>
      <c r="C41" s="245">
        <v>0.2</v>
      </c>
      <c r="D41" s="245">
        <v>0.2</v>
      </c>
      <c r="E41" s="245">
        <v>0</v>
      </c>
      <c r="F41" s="245">
        <v>0</v>
      </c>
      <c r="G41" s="245">
        <v>0</v>
      </c>
      <c r="H41" s="245">
        <v>0</v>
      </c>
      <c r="I41" s="245">
        <v>0</v>
      </c>
      <c r="J41" s="222">
        <v>0</v>
      </c>
      <c r="K41" s="6" t="s">
        <v>307</v>
      </c>
    </row>
    <row r="42" spans="1:14">
      <c r="A42" s="244" t="s">
        <v>306</v>
      </c>
      <c r="B42" s="126" t="str">
        <f>[1]format!$B$100</f>
        <v>topsector logistiek - opdrachten</v>
      </c>
      <c r="C42" s="245">
        <v>16.809999999999999</v>
      </c>
      <c r="D42" s="245">
        <v>18.588000000000001</v>
      </c>
      <c r="E42" s="245">
        <v>17.59</v>
      </c>
      <c r="F42" s="245">
        <v>15.231</v>
      </c>
      <c r="G42" s="245">
        <v>0</v>
      </c>
      <c r="H42" s="245">
        <v>0</v>
      </c>
      <c r="I42" s="245">
        <v>0</v>
      </c>
      <c r="J42" s="222">
        <v>45.6</v>
      </c>
      <c r="K42" s="6" t="s">
        <v>308</v>
      </c>
      <c r="L42" s="6" t="s">
        <v>311</v>
      </c>
    </row>
    <row r="43" spans="1:14">
      <c r="A43" s="244" t="s">
        <v>306</v>
      </c>
      <c r="B43" s="126" t="str">
        <f>[1]format!$B$102</f>
        <v>topsector logistiek - subsidies</v>
      </c>
      <c r="C43" s="245">
        <v>7.7750000000000004</v>
      </c>
      <c r="D43" s="245">
        <v>6.5640000000000001</v>
      </c>
      <c r="E43" s="245">
        <v>4.1040000000000001</v>
      </c>
      <c r="F43" s="245">
        <v>1.764</v>
      </c>
      <c r="G43" s="245">
        <v>0</v>
      </c>
      <c r="H43" s="245">
        <v>0</v>
      </c>
      <c r="I43" s="245">
        <v>0</v>
      </c>
      <c r="J43" s="222">
        <v>10.6</v>
      </c>
      <c r="K43" s="6" t="s">
        <v>309</v>
      </c>
      <c r="L43" s="6" t="s">
        <v>311</v>
      </c>
    </row>
    <row r="44" spans="1:14">
      <c r="A44" s="244" t="s">
        <v>306</v>
      </c>
      <c r="B44" s="126" t="str">
        <f>[1]format!$B$104</f>
        <v>subsidieregeling innovaties duurzame binnenvaart</v>
      </c>
      <c r="C44" s="245">
        <v>0.498</v>
      </c>
      <c r="D44" s="245">
        <v>1.4379999999999999</v>
      </c>
      <c r="E44" s="245">
        <v>0.30199999999999999</v>
      </c>
      <c r="F44" s="245">
        <v>0.30199999999999999</v>
      </c>
      <c r="G44" s="245">
        <v>0.30199999999999999</v>
      </c>
      <c r="H44" s="245">
        <v>0.30199999999999999</v>
      </c>
      <c r="I44" s="245">
        <v>0.30199999999999999</v>
      </c>
      <c r="J44" s="222">
        <v>0.8</v>
      </c>
      <c r="K44" s="6" t="s">
        <v>310</v>
      </c>
      <c r="L44" s="6" t="s">
        <v>187</v>
      </c>
    </row>
    <row r="45" spans="1:14">
      <c r="A45" s="244" t="s">
        <v>417</v>
      </c>
      <c r="B45" s="126" t="s">
        <v>418</v>
      </c>
      <c r="C45" s="245">
        <v>14.917999999999999</v>
      </c>
      <c r="D45" s="245">
        <v>5.8460000000000001</v>
      </c>
      <c r="E45" s="245">
        <v>4.8369999999999997</v>
      </c>
      <c r="F45" s="245">
        <v>4.5350000000000001</v>
      </c>
      <c r="G45" s="245">
        <v>8.5000000000000006E-2</v>
      </c>
      <c r="H45" s="245">
        <v>0</v>
      </c>
      <c r="I45" s="245">
        <v>0</v>
      </c>
      <c r="J45" s="222">
        <v>14.5</v>
      </c>
      <c r="K45" s="6" t="s">
        <v>420</v>
      </c>
      <c r="L45" s="6" t="s">
        <v>421</v>
      </c>
    </row>
    <row r="46" spans="1:14">
      <c r="A46" s="244" t="s">
        <v>417</v>
      </c>
      <c r="B46" s="126" t="s">
        <v>419</v>
      </c>
      <c r="C46" s="245">
        <v>1.5</v>
      </c>
      <c r="D46" s="245">
        <v>1.5</v>
      </c>
      <c r="E46" s="245">
        <v>1.5</v>
      </c>
      <c r="F46" s="245">
        <v>1.5</v>
      </c>
      <c r="G46" s="245">
        <v>0</v>
      </c>
      <c r="H46" s="245">
        <v>0</v>
      </c>
      <c r="I46" s="245">
        <v>0</v>
      </c>
      <c r="J46" s="222">
        <v>4.5</v>
      </c>
      <c r="L46" s="6" t="s">
        <v>421</v>
      </c>
    </row>
    <row r="47" spans="1:14">
      <c r="A47" s="244"/>
      <c r="B47" s="126" t="s">
        <v>590</v>
      </c>
      <c r="C47" s="245">
        <v>0</v>
      </c>
      <c r="D47" s="245">
        <v>0.64200000000000002</v>
      </c>
      <c r="E47" s="245">
        <v>0.61499999999999999</v>
      </c>
      <c r="F47" s="245">
        <v>0.51</v>
      </c>
      <c r="G47" s="245">
        <v>0.51</v>
      </c>
      <c r="H47" s="245">
        <v>0.51</v>
      </c>
      <c r="I47" s="245">
        <v>0.51</v>
      </c>
      <c r="J47" s="222">
        <v>1.8</v>
      </c>
      <c r="L47" s="6" t="s">
        <v>595</v>
      </c>
    </row>
    <row r="48" spans="1:14">
      <c r="A48" s="244" t="s">
        <v>589</v>
      </c>
      <c r="B48" s="126" t="s">
        <v>648</v>
      </c>
      <c r="C48" s="245">
        <v>3.387</v>
      </c>
      <c r="D48" s="245">
        <v>2.9119999999999999</v>
      </c>
      <c r="E48" s="245">
        <v>2.6469999999999998</v>
      </c>
      <c r="F48" s="245">
        <v>2.5</v>
      </c>
      <c r="G48" s="245">
        <v>2.5</v>
      </c>
      <c r="H48" s="245">
        <v>2.5</v>
      </c>
      <c r="I48" s="245">
        <v>2.5</v>
      </c>
      <c r="J48" s="222">
        <v>100</v>
      </c>
    </row>
    <row r="49" spans="1:12">
      <c r="A49" s="244" t="s">
        <v>591</v>
      </c>
      <c r="B49" s="126" t="s">
        <v>592</v>
      </c>
      <c r="C49" s="245">
        <v>0</v>
      </c>
      <c r="D49" s="245">
        <v>0.14399999999999999</v>
      </c>
      <c r="E49" s="245">
        <v>0.17499999999999999</v>
      </c>
      <c r="F49" s="245">
        <v>0.17499999999999999</v>
      </c>
      <c r="G49" s="245">
        <v>0.17499999999999999</v>
      </c>
      <c r="H49" s="245">
        <v>0.17499999999999999</v>
      </c>
      <c r="I49" s="245">
        <v>0.17499999999999999</v>
      </c>
      <c r="J49" s="222">
        <v>0.5</v>
      </c>
      <c r="K49" s="6" t="s">
        <v>594</v>
      </c>
      <c r="L49" s="6" t="s">
        <v>187</v>
      </c>
    </row>
    <row r="50" spans="1:12">
      <c r="A50" s="244" t="s">
        <v>593</v>
      </c>
      <c r="B50" s="126" t="s">
        <v>592</v>
      </c>
      <c r="C50" s="245">
        <v>0</v>
      </c>
      <c r="D50" s="245">
        <v>0.47499999999999998</v>
      </c>
      <c r="E50" s="245">
        <v>0.4</v>
      </c>
      <c r="F50" s="245">
        <v>0.5</v>
      </c>
      <c r="G50" s="245">
        <v>0.5</v>
      </c>
      <c r="H50" s="245">
        <v>0.2</v>
      </c>
      <c r="I50" s="245">
        <v>0</v>
      </c>
      <c r="J50" s="222">
        <v>6.4</v>
      </c>
      <c r="K50" s="6" t="s">
        <v>310</v>
      </c>
      <c r="L50" s="6" t="s">
        <v>187</v>
      </c>
    </row>
    <row r="51" spans="1:12" s="69" customFormat="1" ht="15">
      <c r="A51" s="242"/>
      <c r="B51" s="69" t="s">
        <v>416</v>
      </c>
      <c r="C51" s="107">
        <f t="shared" ref="C51:I51" si="1">SUM(C37:C50)</f>
        <v>76.138999999999996</v>
      </c>
      <c r="D51" s="107">
        <f t="shared" si="1"/>
        <v>65.286000000000001</v>
      </c>
      <c r="E51" s="107">
        <f t="shared" si="1"/>
        <v>34.22699999999999</v>
      </c>
      <c r="F51" s="107">
        <f t="shared" si="1"/>
        <v>33.429000000000002</v>
      </c>
      <c r="G51" s="107">
        <f t="shared" si="1"/>
        <v>8.0729999999999986</v>
      </c>
      <c r="H51" s="107">
        <f t="shared" si="1"/>
        <v>10.503</v>
      </c>
      <c r="I51" s="107">
        <f t="shared" si="1"/>
        <v>7.6649999999999991</v>
      </c>
    </row>
    <row r="52" spans="1:12">
      <c r="C52" s="89"/>
      <c r="D52" s="21"/>
      <c r="E52" s="21"/>
      <c r="F52" s="21"/>
      <c r="G52" s="21"/>
      <c r="H52" s="21"/>
      <c r="I52" s="21"/>
    </row>
    <row r="53" spans="1:12" ht="15">
      <c r="B53" s="69" t="s">
        <v>540</v>
      </c>
    </row>
    <row r="54" spans="1:12">
      <c r="A54" s="126" t="s">
        <v>37</v>
      </c>
      <c r="B54" s="126" t="s">
        <v>261</v>
      </c>
      <c r="C54" s="57">
        <v>1.5820000000000001</v>
      </c>
      <c r="D54" s="57">
        <v>2.8079999999999998</v>
      </c>
      <c r="E54" s="57">
        <v>3.4750000000000001</v>
      </c>
      <c r="F54" s="57">
        <v>3.8519999999999999</v>
      </c>
      <c r="G54" s="57">
        <v>4.032</v>
      </c>
      <c r="H54" s="57">
        <v>4.032</v>
      </c>
      <c r="I54" s="57">
        <v>4.032</v>
      </c>
      <c r="J54" s="6">
        <v>10</v>
      </c>
      <c r="K54" s="6" t="s">
        <v>14</v>
      </c>
    </row>
    <row r="55" spans="1:12">
      <c r="A55" s="126" t="s">
        <v>15</v>
      </c>
      <c r="B55" s="126" t="s">
        <v>436</v>
      </c>
      <c r="C55" s="57">
        <v>0.77</v>
      </c>
      <c r="D55" s="57">
        <v>0</v>
      </c>
      <c r="E55" s="57">
        <v>0</v>
      </c>
      <c r="F55" s="57">
        <v>0</v>
      </c>
      <c r="G55" s="57">
        <v>0</v>
      </c>
      <c r="H55" s="57">
        <v>0</v>
      </c>
      <c r="I55" s="57">
        <v>0</v>
      </c>
      <c r="J55" s="6">
        <v>20</v>
      </c>
      <c r="K55" s="6" t="s">
        <v>11</v>
      </c>
    </row>
    <row r="56" spans="1:12">
      <c r="A56" s="126" t="s">
        <v>19</v>
      </c>
      <c r="B56" s="126" t="s">
        <v>312</v>
      </c>
      <c r="C56" s="57">
        <v>1.6E-2</v>
      </c>
      <c r="D56" s="57">
        <v>0</v>
      </c>
      <c r="E56" s="57">
        <v>0</v>
      </c>
      <c r="F56" s="57">
        <v>0</v>
      </c>
      <c r="G56" s="57">
        <v>0</v>
      </c>
      <c r="H56" s="57">
        <v>0</v>
      </c>
      <c r="I56" s="57">
        <v>0</v>
      </c>
      <c r="J56" s="59">
        <v>80</v>
      </c>
      <c r="K56" s="6" t="s">
        <v>22</v>
      </c>
    </row>
    <row r="57" spans="1:12">
      <c r="A57" s="126" t="s">
        <v>266</v>
      </c>
      <c r="B57" s="126" t="s">
        <v>313</v>
      </c>
      <c r="C57" s="57">
        <v>1.9950000000000001</v>
      </c>
      <c r="D57" s="57">
        <v>0</v>
      </c>
      <c r="E57" s="57">
        <v>0</v>
      </c>
      <c r="F57" s="57">
        <v>0</v>
      </c>
      <c r="G57" s="57">
        <v>0</v>
      </c>
      <c r="H57" s="57">
        <v>0</v>
      </c>
      <c r="I57" s="57">
        <v>0</v>
      </c>
      <c r="J57" s="6">
        <v>100</v>
      </c>
      <c r="K57" s="6" t="s">
        <v>11</v>
      </c>
    </row>
    <row r="58" spans="1:12">
      <c r="A58" s="126" t="s">
        <v>641</v>
      </c>
      <c r="B58" s="126" t="s">
        <v>461</v>
      </c>
      <c r="C58" s="57">
        <v>6.6859999999999999</v>
      </c>
      <c r="D58" s="57">
        <v>2.8279999999999998</v>
      </c>
      <c r="E58" s="57">
        <v>2.3479999999999999</v>
      </c>
      <c r="F58" s="57">
        <v>3.2890000000000001</v>
      </c>
      <c r="G58" s="57">
        <v>3.6970000000000001</v>
      </c>
      <c r="H58" s="57">
        <v>3.92</v>
      </c>
      <c r="I58" s="57">
        <v>3.7669999999999999</v>
      </c>
      <c r="J58" s="6">
        <v>40</v>
      </c>
      <c r="K58" s="6" t="s">
        <v>23</v>
      </c>
    </row>
    <row r="59" spans="1:12">
      <c r="A59" s="126" t="s">
        <v>39</v>
      </c>
      <c r="B59" s="126" t="s">
        <v>267</v>
      </c>
      <c r="C59" s="57">
        <v>19.963000000000001</v>
      </c>
      <c r="D59" s="57">
        <v>23.34</v>
      </c>
      <c r="E59" s="57">
        <v>21.960999999999999</v>
      </c>
      <c r="F59" s="57">
        <v>21.718</v>
      </c>
      <c r="G59" s="57">
        <v>21.448</v>
      </c>
      <c r="H59" s="57">
        <v>21.448</v>
      </c>
      <c r="I59" s="57">
        <v>21.428999999999998</v>
      </c>
      <c r="J59" s="6">
        <v>19</v>
      </c>
      <c r="K59" s="6" t="s">
        <v>9</v>
      </c>
    </row>
    <row r="60" spans="1:12">
      <c r="A60" s="126" t="s">
        <v>258</v>
      </c>
      <c r="B60" s="126" t="s">
        <v>259</v>
      </c>
      <c r="C60" s="57">
        <v>14.942</v>
      </c>
      <c r="D60" s="57">
        <v>13.521000000000001</v>
      </c>
      <c r="E60" s="57">
        <v>10.986000000000001</v>
      </c>
      <c r="F60" s="57">
        <v>9.3439999999999994</v>
      </c>
      <c r="G60" s="57">
        <v>9.6359999999999992</v>
      </c>
      <c r="H60" s="57">
        <v>9.4139999999999997</v>
      </c>
      <c r="I60" s="57">
        <v>9.2710000000000008</v>
      </c>
      <c r="J60" s="6">
        <v>40</v>
      </c>
      <c r="K60" s="6" t="s">
        <v>11</v>
      </c>
    </row>
    <row r="61" spans="1:12">
      <c r="A61" s="126" t="s">
        <v>258</v>
      </c>
      <c r="B61" s="126" t="s">
        <v>238</v>
      </c>
      <c r="C61" s="57">
        <v>0.29599999999999999</v>
      </c>
      <c r="D61" s="57">
        <v>0</v>
      </c>
      <c r="E61" s="57">
        <v>0</v>
      </c>
      <c r="F61" s="57">
        <v>0</v>
      </c>
      <c r="G61" s="57">
        <v>0</v>
      </c>
      <c r="H61" s="57">
        <v>0</v>
      </c>
      <c r="I61" s="57">
        <v>0</v>
      </c>
      <c r="J61" s="6">
        <v>5</v>
      </c>
      <c r="K61" s="6" t="s">
        <v>23</v>
      </c>
    </row>
    <row r="62" spans="1:12">
      <c r="A62" s="126"/>
      <c r="B62" s="126"/>
      <c r="C62" s="57"/>
      <c r="D62" s="57"/>
      <c r="E62" s="57"/>
      <c r="F62" s="57"/>
      <c r="G62" s="57"/>
      <c r="H62" s="57"/>
      <c r="I62" s="57"/>
    </row>
    <row r="63" spans="1:12">
      <c r="A63" s="126" t="s">
        <v>38</v>
      </c>
      <c r="B63" s="126" t="s">
        <v>260</v>
      </c>
      <c r="C63" s="57">
        <v>3.6920000000000002</v>
      </c>
      <c r="D63" s="57">
        <v>6.194</v>
      </c>
      <c r="E63" s="57">
        <v>6.9939999999999998</v>
      </c>
      <c r="F63" s="57">
        <v>9.0340000000000007</v>
      </c>
      <c r="G63" s="57">
        <v>9.9939999999999998</v>
      </c>
      <c r="H63" s="57">
        <v>10.868</v>
      </c>
      <c r="I63" s="57">
        <v>10.967000000000001</v>
      </c>
      <c r="J63" s="6">
        <v>20</v>
      </c>
      <c r="K63" s="6" t="s">
        <v>11</v>
      </c>
    </row>
    <row r="64" spans="1:12">
      <c r="A64" s="126"/>
      <c r="B64" s="122" t="s">
        <v>467</v>
      </c>
      <c r="C64" s="57">
        <v>3.4</v>
      </c>
      <c r="D64" s="57">
        <v>3.452</v>
      </c>
      <c r="E64" s="57">
        <v>3.452</v>
      </c>
      <c r="F64" s="57">
        <v>3.452</v>
      </c>
      <c r="G64" s="57">
        <v>3.452</v>
      </c>
      <c r="H64" s="57">
        <v>0</v>
      </c>
      <c r="I64" s="57">
        <v>0</v>
      </c>
      <c r="J64" s="6">
        <v>34</v>
      </c>
      <c r="K64" s="6" t="s">
        <v>11</v>
      </c>
    </row>
    <row r="65" spans="1:14">
      <c r="A65" s="126"/>
      <c r="B65" s="122" t="s">
        <v>468</v>
      </c>
      <c r="C65" s="57">
        <v>0</v>
      </c>
      <c r="D65" s="57">
        <v>0.35299999999999998</v>
      </c>
      <c r="E65" s="57">
        <v>0.86299999999999999</v>
      </c>
      <c r="F65" s="57">
        <v>0.86099999999999999</v>
      </c>
      <c r="G65" s="57">
        <v>0.69099999999999995</v>
      </c>
      <c r="H65" s="57">
        <v>0.68</v>
      </c>
      <c r="I65" s="57">
        <v>0</v>
      </c>
      <c r="J65" s="6">
        <v>34</v>
      </c>
      <c r="K65" s="6" t="s">
        <v>11</v>
      </c>
    </row>
    <row r="66" spans="1:14">
      <c r="A66" s="126"/>
      <c r="B66" s="122"/>
      <c r="C66" s="57"/>
      <c r="D66" s="57"/>
      <c r="E66" s="57"/>
      <c r="F66" s="57"/>
      <c r="G66" s="57"/>
      <c r="H66" s="57"/>
      <c r="I66" s="57"/>
    </row>
    <row r="67" spans="1:14">
      <c r="A67" s="126" t="s">
        <v>12</v>
      </c>
      <c r="B67" s="126" t="s">
        <v>262</v>
      </c>
      <c r="C67" s="57">
        <v>2.7</v>
      </c>
      <c r="D67" s="57">
        <v>6.4980000000000002</v>
      </c>
      <c r="E67" s="57">
        <v>5.17</v>
      </c>
      <c r="F67" s="57">
        <v>7.1470000000000002</v>
      </c>
      <c r="G67" s="57">
        <v>6.3179999999999996</v>
      </c>
      <c r="H67" s="57">
        <v>7.8579999999999997</v>
      </c>
      <c r="I67" s="57">
        <v>4.8529999999999998</v>
      </c>
      <c r="J67" s="6">
        <v>20</v>
      </c>
      <c r="K67" s="6" t="s">
        <v>11</v>
      </c>
    </row>
    <row r="68" spans="1:14">
      <c r="A68" s="126" t="s">
        <v>341</v>
      </c>
      <c r="B68" s="126" t="s">
        <v>469</v>
      </c>
      <c r="C68" s="57">
        <v>3.3130000000000002</v>
      </c>
      <c r="D68" s="57">
        <v>5.0940000000000003</v>
      </c>
      <c r="E68" s="57">
        <v>5.1050000000000004</v>
      </c>
      <c r="F68" s="57">
        <v>5.1050000000000004</v>
      </c>
      <c r="G68" s="57">
        <v>5.1059999999999999</v>
      </c>
      <c r="H68" s="57">
        <v>5.3220000000000001</v>
      </c>
      <c r="I68" s="57">
        <v>5.5129999999999999</v>
      </c>
      <c r="J68" s="6">
        <v>50</v>
      </c>
      <c r="K68" s="6" t="s">
        <v>11</v>
      </c>
      <c r="M68" s="102"/>
    </row>
    <row r="69" spans="1:14">
      <c r="A69" s="126" t="s">
        <v>341</v>
      </c>
      <c r="B69" s="126" t="s">
        <v>470</v>
      </c>
      <c r="C69" s="57">
        <v>2.5249999999999999</v>
      </c>
      <c r="D69" s="57">
        <v>2.5710000000000002</v>
      </c>
      <c r="E69" s="57">
        <v>2.5630000000000002</v>
      </c>
      <c r="F69" s="57">
        <v>2.5640000000000001</v>
      </c>
      <c r="G69" s="57">
        <v>2.5649999999999999</v>
      </c>
      <c r="H69" s="57">
        <v>2.5529999999999999</v>
      </c>
      <c r="I69" s="57">
        <v>2.3029999999999999</v>
      </c>
      <c r="J69" s="6">
        <v>50</v>
      </c>
      <c r="K69" s="6" t="s">
        <v>11</v>
      </c>
      <c r="M69" s="102"/>
    </row>
    <row r="70" spans="1:14">
      <c r="A70" s="126" t="s">
        <v>471</v>
      </c>
      <c r="B70" s="126" t="s">
        <v>472</v>
      </c>
      <c r="C70" s="57">
        <v>2.8000000000000001E-2</v>
      </c>
      <c r="D70" s="57">
        <v>0.77200000000000002</v>
      </c>
      <c r="E70" s="57">
        <v>0.4</v>
      </c>
      <c r="F70" s="57">
        <v>0.4</v>
      </c>
      <c r="G70" s="57">
        <v>0.4</v>
      </c>
      <c r="H70" s="57">
        <v>0</v>
      </c>
      <c r="I70" s="57">
        <v>0</v>
      </c>
      <c r="J70" s="6">
        <v>50</v>
      </c>
      <c r="K70" s="6" t="s">
        <v>11</v>
      </c>
      <c r="M70" s="102"/>
    </row>
    <row r="71" spans="1:14">
      <c r="A71" s="126" t="s">
        <v>314</v>
      </c>
      <c r="B71" s="126" t="s">
        <v>315</v>
      </c>
      <c r="C71" s="57">
        <v>15.000999999999999</v>
      </c>
      <c r="D71" s="57">
        <v>8.8559999999999999</v>
      </c>
      <c r="E71" s="57">
        <v>0</v>
      </c>
      <c r="F71" s="57">
        <v>0</v>
      </c>
      <c r="G71" s="57">
        <v>0</v>
      </c>
      <c r="H71" s="57">
        <v>0</v>
      </c>
      <c r="I71" s="57">
        <v>0</v>
      </c>
      <c r="J71" s="6">
        <v>100</v>
      </c>
      <c r="K71" s="6" t="s">
        <v>11</v>
      </c>
      <c r="M71" s="102"/>
    </row>
    <row r="72" spans="1:14">
      <c r="A72" s="126"/>
      <c r="B72" s="126"/>
      <c r="C72" s="57"/>
      <c r="D72" s="57"/>
      <c r="E72" s="57"/>
      <c r="F72" s="57"/>
      <c r="G72" s="57"/>
      <c r="H72" s="57"/>
      <c r="I72" s="57"/>
      <c r="M72" s="102"/>
    </row>
    <row r="73" spans="1:14">
      <c r="A73" s="102" t="s">
        <v>343</v>
      </c>
      <c r="B73" s="6" t="s">
        <v>475</v>
      </c>
      <c r="C73" s="57">
        <v>29.085000000000001</v>
      </c>
      <c r="D73" s="57">
        <v>55.034999999999997</v>
      </c>
      <c r="E73" s="57">
        <v>53.618000000000002</v>
      </c>
      <c r="F73" s="57">
        <v>27.367999999999999</v>
      </c>
      <c r="G73" s="57">
        <v>27.367999999999999</v>
      </c>
      <c r="H73" s="57">
        <v>27.367999999999999</v>
      </c>
      <c r="I73" s="57">
        <v>27.367999999999999</v>
      </c>
      <c r="J73" s="6">
        <v>75</v>
      </c>
      <c r="K73" s="6" t="s">
        <v>11</v>
      </c>
      <c r="M73" s="102"/>
    </row>
    <row r="74" spans="1:14">
      <c r="A74" s="102" t="s">
        <v>343</v>
      </c>
      <c r="B74" s="6" t="s">
        <v>476</v>
      </c>
      <c r="C74" s="57">
        <v>23.201000000000001</v>
      </c>
      <c r="D74" s="57">
        <v>20.704000000000001</v>
      </c>
      <c r="E74" s="57">
        <v>37.5</v>
      </c>
      <c r="F74" s="57">
        <v>37.5</v>
      </c>
      <c r="G74" s="57">
        <v>13.125</v>
      </c>
      <c r="H74" s="57">
        <v>3.75</v>
      </c>
      <c r="I74" s="57">
        <v>1.875</v>
      </c>
      <c r="J74" s="6">
        <v>75</v>
      </c>
      <c r="K74" s="6" t="s">
        <v>11</v>
      </c>
      <c r="M74" s="102"/>
    </row>
    <row r="75" spans="1:14">
      <c r="A75" s="102" t="s">
        <v>343</v>
      </c>
      <c r="B75" s="6" t="s">
        <v>477</v>
      </c>
      <c r="C75" s="57">
        <v>15.352</v>
      </c>
      <c r="D75" s="57">
        <v>17.010000000000002</v>
      </c>
      <c r="E75" s="57">
        <v>28.84</v>
      </c>
      <c r="F75" s="57">
        <v>27.72</v>
      </c>
      <c r="G75" s="57">
        <v>24.15</v>
      </c>
      <c r="H75" s="57">
        <v>25.41</v>
      </c>
      <c r="I75" s="57">
        <v>26.11</v>
      </c>
      <c r="J75" s="6">
        <v>70</v>
      </c>
      <c r="K75" s="6" t="s">
        <v>11</v>
      </c>
      <c r="M75" s="102"/>
    </row>
    <row r="76" spans="1:14">
      <c r="A76" s="102" t="s">
        <v>343</v>
      </c>
      <c r="B76" s="6" t="s">
        <v>478</v>
      </c>
      <c r="C76" s="57">
        <v>0</v>
      </c>
      <c r="D76" s="57">
        <v>0.35</v>
      </c>
      <c r="E76" s="57">
        <v>2.0299999999999998</v>
      </c>
      <c r="F76" s="57">
        <v>1.4</v>
      </c>
      <c r="G76" s="57">
        <v>1.33</v>
      </c>
      <c r="H76" s="57">
        <v>1.19</v>
      </c>
      <c r="I76" s="57">
        <v>0.42</v>
      </c>
      <c r="J76" s="6">
        <v>70</v>
      </c>
      <c r="K76" s="6" t="s">
        <v>11</v>
      </c>
      <c r="M76" s="102"/>
    </row>
    <row r="77" spans="1:14">
      <c r="A77" s="102" t="s">
        <v>343</v>
      </c>
      <c r="B77" s="6" t="s">
        <v>479</v>
      </c>
      <c r="C77" s="57">
        <v>2.29</v>
      </c>
      <c r="D77" s="57">
        <v>1.7310000000000001</v>
      </c>
      <c r="E77" s="57">
        <v>1.776</v>
      </c>
      <c r="F77" s="57">
        <v>1.776</v>
      </c>
      <c r="G77" s="57">
        <v>1.776</v>
      </c>
      <c r="H77" s="57">
        <v>1.776</v>
      </c>
      <c r="I77" s="57">
        <v>1.776</v>
      </c>
      <c r="J77" s="6">
        <v>75</v>
      </c>
      <c r="K77" s="6" t="s">
        <v>11</v>
      </c>
      <c r="M77" s="102"/>
    </row>
    <row r="78" spans="1:14" s="131" customFormat="1">
      <c r="A78" s="102" t="s">
        <v>343</v>
      </c>
      <c r="B78" s="6" t="s">
        <v>480</v>
      </c>
      <c r="C78" s="57">
        <v>0.13</v>
      </c>
      <c r="D78" s="57">
        <v>0.108</v>
      </c>
      <c r="E78" s="57">
        <v>0</v>
      </c>
      <c r="F78" s="57">
        <v>0</v>
      </c>
      <c r="G78" s="57">
        <v>0</v>
      </c>
      <c r="H78" s="57">
        <v>0</v>
      </c>
      <c r="I78" s="57">
        <v>0</v>
      </c>
      <c r="J78" s="6">
        <v>75</v>
      </c>
      <c r="K78" s="6" t="s">
        <v>11</v>
      </c>
      <c r="L78" s="6"/>
      <c r="M78" s="102"/>
      <c r="N78" s="6"/>
    </row>
    <row r="79" spans="1:14" s="131" customFormat="1">
      <c r="A79" s="102" t="s">
        <v>343</v>
      </c>
      <c r="B79" s="6" t="s">
        <v>481</v>
      </c>
      <c r="C79" s="57">
        <v>2.5999999999999999E-2</v>
      </c>
      <c r="D79" s="57">
        <v>0</v>
      </c>
      <c r="E79" s="57">
        <v>0</v>
      </c>
      <c r="F79" s="57">
        <v>0</v>
      </c>
      <c r="G79" s="57">
        <v>0</v>
      </c>
      <c r="H79" s="57">
        <v>0</v>
      </c>
      <c r="I79" s="57">
        <v>0</v>
      </c>
      <c r="J79" s="6">
        <v>75</v>
      </c>
      <c r="K79" s="6" t="s">
        <v>11</v>
      </c>
      <c r="L79" s="6"/>
    </row>
    <row r="80" spans="1:14">
      <c r="A80" s="102" t="s">
        <v>343</v>
      </c>
      <c r="B80" s="6" t="s">
        <v>482</v>
      </c>
      <c r="C80" s="57">
        <v>0</v>
      </c>
      <c r="D80" s="57">
        <v>0</v>
      </c>
      <c r="E80" s="57">
        <v>0</v>
      </c>
      <c r="F80" s="57">
        <v>0</v>
      </c>
      <c r="G80" s="57">
        <v>0</v>
      </c>
      <c r="H80" s="57">
        <v>0</v>
      </c>
      <c r="I80" s="57">
        <v>0</v>
      </c>
      <c r="J80" s="6">
        <v>75</v>
      </c>
      <c r="K80" s="6" t="s">
        <v>11</v>
      </c>
    </row>
    <row r="81" spans="1:12">
      <c r="A81" s="102" t="s">
        <v>343</v>
      </c>
      <c r="B81" s="6" t="s">
        <v>483</v>
      </c>
      <c r="C81" s="57">
        <v>0</v>
      </c>
      <c r="D81" s="57">
        <v>0.34499999999999997</v>
      </c>
      <c r="E81" s="57">
        <v>0</v>
      </c>
      <c r="F81" s="57">
        <v>0</v>
      </c>
      <c r="G81" s="57">
        <v>0</v>
      </c>
      <c r="H81" s="57">
        <v>0</v>
      </c>
      <c r="I81" s="57">
        <v>0</v>
      </c>
      <c r="J81" s="6">
        <v>75</v>
      </c>
      <c r="K81" s="6" t="s">
        <v>11</v>
      </c>
    </row>
    <row r="82" spans="1:12" s="131" customFormat="1">
      <c r="A82" s="102" t="s">
        <v>343</v>
      </c>
      <c r="B82" s="6" t="s">
        <v>484</v>
      </c>
      <c r="C82" s="57">
        <v>2.8780000000000001</v>
      </c>
      <c r="D82" s="57">
        <v>1.5</v>
      </c>
      <c r="E82" s="57">
        <v>0</v>
      </c>
      <c r="F82" s="57">
        <v>0</v>
      </c>
      <c r="G82" s="57">
        <v>0</v>
      </c>
      <c r="H82" s="57">
        <v>0</v>
      </c>
      <c r="I82" s="57">
        <v>0</v>
      </c>
      <c r="J82" s="6">
        <v>75</v>
      </c>
      <c r="K82" s="6" t="s">
        <v>11</v>
      </c>
    </row>
    <row r="83" spans="1:12">
      <c r="A83" s="102" t="s">
        <v>343</v>
      </c>
      <c r="B83" s="6" t="s">
        <v>485</v>
      </c>
      <c r="C83" s="57">
        <v>1.8879999999999999</v>
      </c>
      <c r="D83" s="57">
        <v>0</v>
      </c>
      <c r="E83" s="57">
        <v>0</v>
      </c>
      <c r="F83" s="57">
        <v>0</v>
      </c>
      <c r="G83" s="57">
        <v>0</v>
      </c>
      <c r="H83" s="57">
        <v>0</v>
      </c>
      <c r="I83" s="57">
        <v>0</v>
      </c>
      <c r="J83" s="6">
        <v>75</v>
      </c>
      <c r="K83" s="6" t="s">
        <v>11</v>
      </c>
    </row>
    <row r="84" spans="1:12">
      <c r="C84" s="57"/>
      <c r="D84" s="57"/>
      <c r="E84" s="57"/>
      <c r="F84" s="57"/>
      <c r="G84" s="57"/>
      <c r="H84" s="57"/>
      <c r="I84" s="57"/>
    </row>
    <row r="85" spans="1:12">
      <c r="C85" s="57"/>
      <c r="D85" s="57"/>
      <c r="E85" s="57"/>
      <c r="F85" s="57"/>
      <c r="G85" s="57"/>
      <c r="H85" s="57"/>
      <c r="I85" s="57"/>
    </row>
    <row r="86" spans="1:12" ht="15">
      <c r="A86" s="130"/>
      <c r="B86" s="69" t="s">
        <v>541</v>
      </c>
      <c r="C86" s="69">
        <f>SUM(C54:C83)</f>
        <v>151.75899999999999</v>
      </c>
      <c r="D86" s="69">
        <f>SUM(D54:D83)</f>
        <v>173.07</v>
      </c>
      <c r="E86" s="69">
        <f>SUM(E54:E83)</f>
        <v>187.08100000000002</v>
      </c>
      <c r="F86" s="69">
        <f>SUM(F54:F83)</f>
        <v>162.53</v>
      </c>
      <c r="G86" s="69">
        <f>SUM(G54:G83)</f>
        <v>135.08800000000002</v>
      </c>
      <c r="H86" s="69">
        <f>SUM(H54:H83)</f>
        <v>125.58899999999998</v>
      </c>
      <c r="I86" s="69">
        <f>SUM(I54:I83)</f>
        <v>119.68399999999998</v>
      </c>
      <c r="J86" s="131"/>
      <c r="K86" s="131"/>
      <c r="L86" s="131"/>
    </row>
    <row r="87" spans="1:12" ht="15">
      <c r="A87" s="130"/>
      <c r="B87" s="69"/>
      <c r="C87" s="69"/>
      <c r="D87" s="69"/>
      <c r="E87" s="69"/>
      <c r="F87" s="69"/>
      <c r="G87" s="69"/>
      <c r="H87" s="69"/>
      <c r="I87" s="69"/>
      <c r="J87" s="131"/>
      <c r="K87" s="131"/>
      <c r="L87" s="131"/>
    </row>
    <row r="88" spans="1:12" ht="15">
      <c r="B88" s="69" t="s">
        <v>667</v>
      </c>
    </row>
    <row r="89" spans="1:12" s="216" customFormat="1" ht="15">
      <c r="A89" s="103">
        <v>16</v>
      </c>
      <c r="B89" s="103" t="s">
        <v>494</v>
      </c>
      <c r="C89" s="253">
        <v>0.76200000000000001</v>
      </c>
      <c r="D89" s="253">
        <v>0</v>
      </c>
      <c r="E89" s="253">
        <v>0</v>
      </c>
      <c r="F89" s="253">
        <v>0</v>
      </c>
      <c r="G89" s="253">
        <v>0</v>
      </c>
      <c r="H89" s="253">
        <v>0</v>
      </c>
      <c r="I89" s="253">
        <v>0</v>
      </c>
      <c r="J89" s="6">
        <v>100</v>
      </c>
      <c r="K89" s="6" t="s">
        <v>11</v>
      </c>
      <c r="L89" s="6"/>
    </row>
    <row r="90" spans="1:12" s="216" customFormat="1" ht="15">
      <c r="A90" s="103">
        <v>16</v>
      </c>
      <c r="B90" s="103" t="s">
        <v>495</v>
      </c>
      <c r="C90" s="253">
        <v>1.246</v>
      </c>
      <c r="D90" s="253">
        <v>0</v>
      </c>
      <c r="E90" s="253">
        <v>0</v>
      </c>
      <c r="F90" s="253">
        <v>0</v>
      </c>
      <c r="G90" s="253">
        <v>0</v>
      </c>
      <c r="H90" s="253">
        <v>0</v>
      </c>
      <c r="I90" s="253">
        <v>0</v>
      </c>
      <c r="J90" s="6">
        <v>100</v>
      </c>
      <c r="K90" s="6" t="s">
        <v>11</v>
      </c>
      <c r="L90" s="6"/>
    </row>
    <row r="91" spans="1:12" s="216" customFormat="1" ht="15">
      <c r="A91" s="103" t="s">
        <v>496</v>
      </c>
      <c r="B91" s="103" t="s">
        <v>498</v>
      </c>
      <c r="C91" s="253">
        <v>3.984</v>
      </c>
      <c r="D91" s="253">
        <v>5.4</v>
      </c>
      <c r="E91" s="253">
        <v>1.4</v>
      </c>
      <c r="F91" s="253">
        <v>5.4</v>
      </c>
      <c r="G91" s="253">
        <v>5.4</v>
      </c>
      <c r="H91" s="253">
        <v>5.4</v>
      </c>
      <c r="I91" s="254" t="s">
        <v>636</v>
      </c>
      <c r="J91" s="6">
        <v>100</v>
      </c>
      <c r="K91" s="6" t="s">
        <v>11</v>
      </c>
      <c r="L91" s="6"/>
    </row>
    <row r="92" spans="1:12" s="216" customFormat="1" ht="15">
      <c r="A92" s="103" t="s">
        <v>496</v>
      </c>
      <c r="B92" s="103" t="s">
        <v>499</v>
      </c>
      <c r="C92" s="253">
        <v>3.29</v>
      </c>
      <c r="D92" s="253">
        <v>4.835</v>
      </c>
      <c r="E92" s="253">
        <v>5.5389999999999997</v>
      </c>
      <c r="F92" s="253">
        <v>5.5389999999999997</v>
      </c>
      <c r="G92" s="253">
        <v>5.5389999999999997</v>
      </c>
      <c r="H92" s="253">
        <v>5.5389999999999997</v>
      </c>
      <c r="I92" s="254" t="s">
        <v>636</v>
      </c>
      <c r="J92" s="6">
        <v>100</v>
      </c>
      <c r="K92" s="6" t="s">
        <v>11</v>
      </c>
      <c r="L92" s="6"/>
    </row>
    <row r="93" spans="1:12" s="216" customFormat="1" ht="15">
      <c r="A93" s="103" t="s">
        <v>354</v>
      </c>
      <c r="B93" s="103" t="s">
        <v>497</v>
      </c>
      <c r="C93" s="253">
        <v>1.544</v>
      </c>
      <c r="D93" s="253">
        <v>1.2849999999999999</v>
      </c>
      <c r="E93" s="253">
        <v>2.6419999999999999</v>
      </c>
      <c r="F93" s="253">
        <v>1.776</v>
      </c>
      <c r="G93" s="253">
        <v>1.8260000000000001</v>
      </c>
      <c r="H93" s="253">
        <v>1.8859999999999999</v>
      </c>
      <c r="I93" s="254" t="s">
        <v>636</v>
      </c>
      <c r="J93" s="6">
        <v>100</v>
      </c>
      <c r="K93" s="6" t="s">
        <v>11</v>
      </c>
      <c r="L93" s="6"/>
    </row>
    <row r="94" spans="1:12" ht="15">
      <c r="A94" s="132"/>
      <c r="B94" s="69" t="s">
        <v>670</v>
      </c>
      <c r="C94" s="69">
        <f>SUM(C89:C93)</f>
        <v>10.826000000000001</v>
      </c>
      <c r="D94" s="69">
        <f t="shared" ref="D94:I94" si="2">SUM(D89:D93)</f>
        <v>11.52</v>
      </c>
      <c r="E94" s="69">
        <f t="shared" si="2"/>
        <v>9.5809999999999995</v>
      </c>
      <c r="F94" s="69">
        <f t="shared" si="2"/>
        <v>12.715</v>
      </c>
      <c r="G94" s="69">
        <f t="shared" si="2"/>
        <v>12.765000000000001</v>
      </c>
      <c r="H94" s="69">
        <f t="shared" si="2"/>
        <v>12.824999999999999</v>
      </c>
      <c r="I94" s="69">
        <f t="shared" si="2"/>
        <v>0</v>
      </c>
      <c r="J94" s="131"/>
      <c r="K94" s="131"/>
      <c r="L94" s="131"/>
    </row>
    <row r="96" spans="1:12" ht="15">
      <c r="B96" s="69" t="s">
        <v>78</v>
      </c>
    </row>
    <row r="97" spans="1:12" s="216" customFormat="1" ht="15">
      <c r="A97" s="103">
        <v>2</v>
      </c>
      <c r="B97" s="103" t="s">
        <v>327</v>
      </c>
      <c r="C97" s="253">
        <v>0.29899999999999999</v>
      </c>
      <c r="D97" s="253">
        <v>0.313</v>
      </c>
      <c r="E97" s="253">
        <v>0.22</v>
      </c>
      <c r="F97" s="253">
        <v>0.16500000000000001</v>
      </c>
      <c r="G97" s="253">
        <v>0.16700000000000001</v>
      </c>
      <c r="H97" s="253">
        <v>0.16700000000000001</v>
      </c>
      <c r="I97" s="253">
        <v>0.16700000000000001</v>
      </c>
      <c r="J97" s="57"/>
      <c r="K97" s="6" t="s">
        <v>176</v>
      </c>
      <c r="L97" s="6"/>
    </row>
    <row r="98" spans="1:12" s="216" customFormat="1" ht="15">
      <c r="A98" s="103">
        <v>2</v>
      </c>
      <c r="B98" s="103" t="s">
        <v>327</v>
      </c>
      <c r="C98" s="253">
        <v>1.0640000000000001</v>
      </c>
      <c r="D98" s="253">
        <v>2.403</v>
      </c>
      <c r="E98" s="253">
        <v>1.655</v>
      </c>
      <c r="F98" s="253">
        <v>1.7390000000000001</v>
      </c>
      <c r="G98" s="253">
        <v>1.2969999999999999</v>
      </c>
      <c r="H98" s="253">
        <v>1.2969999999999999</v>
      </c>
      <c r="I98" s="253">
        <v>1.2969999999999999</v>
      </c>
      <c r="J98" s="57"/>
      <c r="K98" s="6" t="s">
        <v>34</v>
      </c>
      <c r="L98" s="6"/>
    </row>
    <row r="99" spans="1:12">
      <c r="A99" s="103">
        <v>13</v>
      </c>
      <c r="B99" s="103" t="s">
        <v>326</v>
      </c>
      <c r="C99" s="253">
        <v>2.8410000000000002</v>
      </c>
      <c r="D99" s="253">
        <v>2.8559999999999999</v>
      </c>
      <c r="E99" s="253">
        <v>2.7360000000000002</v>
      </c>
      <c r="F99" s="253">
        <v>2.7360000000000002</v>
      </c>
      <c r="G99" s="253">
        <v>2.7360000000000002</v>
      </c>
      <c r="H99" s="253">
        <v>2.6</v>
      </c>
      <c r="I99" s="253">
        <v>2.6</v>
      </c>
      <c r="J99" s="222"/>
      <c r="K99" s="6" t="s">
        <v>7</v>
      </c>
    </row>
    <row r="100" spans="1:12" s="255" customFormat="1" ht="15.75">
      <c r="A100" s="242"/>
      <c r="B100" s="69" t="s">
        <v>81</v>
      </c>
      <c r="C100" s="106">
        <f>SUM(C97:C99)</f>
        <v>4.2040000000000006</v>
      </c>
      <c r="D100" s="106">
        <f t="shared" ref="D100:I100" si="3">SUM(D97:D99)</f>
        <v>5.5720000000000001</v>
      </c>
      <c r="E100" s="106">
        <f t="shared" si="3"/>
        <v>4.6110000000000007</v>
      </c>
      <c r="F100" s="106">
        <f t="shared" si="3"/>
        <v>4.6400000000000006</v>
      </c>
      <c r="G100" s="106">
        <f t="shared" si="3"/>
        <v>4.2</v>
      </c>
      <c r="H100" s="106">
        <f t="shared" si="3"/>
        <v>4.0640000000000001</v>
      </c>
      <c r="I100" s="106">
        <f t="shared" si="3"/>
        <v>4.0640000000000001</v>
      </c>
      <c r="J100" s="69"/>
      <c r="K100" s="69"/>
      <c r="L100" s="69"/>
    </row>
    <row r="101" spans="1:12" ht="15">
      <c r="A101" s="81"/>
      <c r="B101" s="69"/>
      <c r="C101" s="17"/>
      <c r="D101" s="17"/>
      <c r="E101" s="17"/>
      <c r="F101" s="17"/>
      <c r="G101" s="17"/>
      <c r="H101" s="17"/>
      <c r="I101" s="17"/>
      <c r="J101" s="216"/>
      <c r="K101" s="216"/>
      <c r="L101" s="216"/>
    </row>
    <row r="102" spans="1:12" ht="15">
      <c r="B102" s="31" t="s">
        <v>79</v>
      </c>
    </row>
    <row r="103" spans="1:12">
      <c r="A103" s="102" t="s">
        <v>180</v>
      </c>
      <c r="B103" s="6" t="s">
        <v>329</v>
      </c>
      <c r="C103" s="6">
        <v>0.215</v>
      </c>
      <c r="D103" s="6">
        <v>0.215</v>
      </c>
      <c r="E103" s="6">
        <v>0.215</v>
      </c>
      <c r="F103" s="6">
        <v>0.215</v>
      </c>
      <c r="G103" s="6">
        <v>0</v>
      </c>
      <c r="H103" s="57">
        <v>0</v>
      </c>
      <c r="I103" s="57">
        <v>0</v>
      </c>
      <c r="J103" s="6">
        <v>0.1</v>
      </c>
      <c r="K103" s="6" t="s">
        <v>182</v>
      </c>
      <c r="L103" s="6" t="s">
        <v>183</v>
      </c>
    </row>
    <row r="104" spans="1:12">
      <c r="A104" s="102" t="s">
        <v>180</v>
      </c>
      <c r="B104" s="6" t="s">
        <v>330</v>
      </c>
      <c r="C104" s="57">
        <v>0</v>
      </c>
      <c r="D104" s="57">
        <v>0</v>
      </c>
      <c r="E104" s="57">
        <v>0</v>
      </c>
      <c r="F104" s="57">
        <v>0</v>
      </c>
      <c r="G104" s="57">
        <v>0</v>
      </c>
      <c r="H104" s="57">
        <v>0</v>
      </c>
      <c r="I104" s="57">
        <v>0</v>
      </c>
      <c r="J104" s="222">
        <v>0</v>
      </c>
      <c r="K104" s="6" t="s">
        <v>7</v>
      </c>
      <c r="L104" s="6" t="s">
        <v>184</v>
      </c>
    </row>
    <row r="105" spans="1:12">
      <c r="A105" s="102" t="s">
        <v>608</v>
      </c>
      <c r="B105" s="6" t="s">
        <v>331</v>
      </c>
      <c r="C105" s="88">
        <v>1.2E-2</v>
      </c>
      <c r="D105" s="88">
        <v>0</v>
      </c>
      <c r="E105" s="88">
        <v>0</v>
      </c>
      <c r="F105" s="88">
        <v>0</v>
      </c>
      <c r="G105" s="88">
        <v>0</v>
      </c>
      <c r="H105" s="88">
        <v>0</v>
      </c>
      <c r="I105" s="88">
        <v>0</v>
      </c>
      <c r="J105" s="222">
        <v>0</v>
      </c>
      <c r="K105" s="6" t="s">
        <v>7</v>
      </c>
      <c r="L105" s="6" t="s">
        <v>185</v>
      </c>
    </row>
    <row r="106" spans="1:12">
      <c r="A106" s="102" t="s">
        <v>609</v>
      </c>
      <c r="B106" s="6" t="s">
        <v>610</v>
      </c>
      <c r="C106" s="57">
        <v>0.25</v>
      </c>
      <c r="D106" s="57">
        <v>0.25</v>
      </c>
      <c r="E106" s="57">
        <v>0.25</v>
      </c>
      <c r="F106" s="57">
        <v>0.25</v>
      </c>
      <c r="G106" s="57">
        <v>0.25</v>
      </c>
      <c r="H106" s="57">
        <v>0.25</v>
      </c>
      <c r="I106" s="57">
        <v>0.25</v>
      </c>
      <c r="J106" s="6">
        <v>0.1</v>
      </c>
      <c r="K106" s="6" t="s">
        <v>7</v>
      </c>
      <c r="L106" s="6" t="s">
        <v>186</v>
      </c>
    </row>
    <row r="107" spans="1:12" ht="15">
      <c r="A107" s="81"/>
      <c r="B107" s="69" t="s">
        <v>82</v>
      </c>
      <c r="C107" s="17">
        <f t="shared" ref="C107:I107" si="4">SUM(C103:C106)</f>
        <v>0.47699999999999998</v>
      </c>
      <c r="D107" s="17">
        <f t="shared" si="4"/>
        <v>0.46499999999999997</v>
      </c>
      <c r="E107" s="17">
        <f t="shared" si="4"/>
        <v>0.46499999999999997</v>
      </c>
      <c r="F107" s="17">
        <f t="shared" si="4"/>
        <v>0.46499999999999997</v>
      </c>
      <c r="G107" s="17">
        <f t="shared" si="4"/>
        <v>0.25</v>
      </c>
      <c r="H107" s="17">
        <f t="shared" si="4"/>
        <v>0.25</v>
      </c>
      <c r="I107" s="17">
        <f t="shared" si="4"/>
        <v>0.25</v>
      </c>
      <c r="J107" s="216"/>
      <c r="K107" s="216"/>
      <c r="L107" s="216"/>
    </row>
    <row r="109" spans="1:12" ht="15.75">
      <c r="A109" s="256"/>
      <c r="B109" s="224" t="s">
        <v>80</v>
      </c>
      <c r="C109" s="257">
        <f>SUM(C30+C34+C51+C86+C94+C100+C107)</f>
        <v>326.44599999999997</v>
      </c>
      <c r="D109" s="257">
        <f>SUM(D30+D34+D51+D86+D94+D100+D107)</f>
        <v>351.54999999999995</v>
      </c>
      <c r="E109" s="257">
        <f>SUM(E30+E34+E51+E86+E94+E100+E107)</f>
        <v>352.41399999999999</v>
      </c>
      <c r="F109" s="257">
        <f>SUM(F30+F34+F51+F86+F94+F100+F107)</f>
        <v>318.3069999999999</v>
      </c>
      <c r="G109" s="257">
        <f>SUM(G30+G34+G51+G86+G94+G100+G107)</f>
        <v>264.49599999999998</v>
      </c>
      <c r="H109" s="257">
        <f>SUM(H30+H34+H51+H86+H94+H100+H107)</f>
        <v>255.47099999999998</v>
      </c>
      <c r="I109" s="257">
        <f>SUM(I30+I34+I51+I86+I94+I100+I107)</f>
        <v>232.06299999999996</v>
      </c>
      <c r="J109" s="255"/>
      <c r="K109" s="255"/>
      <c r="L109" s="255"/>
    </row>
    <row r="111" spans="1:12">
      <c r="C111" s="57"/>
    </row>
    <row r="112" spans="1:12">
      <c r="C112" s="228"/>
      <c r="D112" s="228"/>
      <c r="E112" s="228"/>
      <c r="F112" s="228"/>
      <c r="G112" s="228"/>
      <c r="H112" s="228"/>
      <c r="I112" s="228"/>
    </row>
    <row r="113" spans="1:11">
      <c r="C113" s="228"/>
      <c r="D113" s="228"/>
      <c r="E113" s="228"/>
      <c r="F113" s="228"/>
      <c r="G113" s="228"/>
      <c r="H113" s="228"/>
      <c r="I113" s="228"/>
      <c r="K113" s="258"/>
    </row>
    <row r="114" spans="1:11">
      <c r="C114" s="228"/>
      <c r="D114" s="228"/>
      <c r="E114" s="228"/>
      <c r="F114" s="228"/>
      <c r="G114" s="228"/>
      <c r="H114" s="228"/>
      <c r="I114" s="228"/>
    </row>
    <row r="116" spans="1:11">
      <c r="D116" s="229"/>
    </row>
    <row r="117" spans="1:11" ht="15">
      <c r="A117" s="259"/>
    </row>
    <row r="118" spans="1:11" ht="15">
      <c r="A118" s="259"/>
    </row>
    <row r="119" spans="1:11" ht="15">
      <c r="A119" s="259"/>
    </row>
    <row r="120" spans="1:11" ht="15">
      <c r="A120" s="259"/>
    </row>
  </sheetData>
  <pageMargins left="0.70866141732283472" right="0.70866141732283472" top="0.74803149606299213" bottom="0.74803149606299213" header="0.31496062992125984" footer="0.31496062992125984"/>
  <pageSetup paperSize="8" scale="98" orientation="landscape" r:id="rId1"/>
  <headerFooter>
    <oddFooter>&amp;L&amp;Z&amp;F</oddFooter>
  </headerFooter>
  <rowBreaks count="1" manualBreakCount="1">
    <brk id="101" max="11" man="1"/>
  </rowBreaks>
  <colBreaks count="1" manualBreakCount="1">
    <brk id="9" max="10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zoomScaleNormal="100" zoomScaleSheetLayoutView="100" workbookViewId="0"/>
  </sheetViews>
  <sheetFormatPr defaultRowHeight="12.75"/>
  <cols>
    <col min="1" max="1" width="36.85546875" style="16" bestFit="1" customWidth="1"/>
    <col min="2" max="8" width="8.42578125" style="16" customWidth="1"/>
    <col min="9" max="16384" width="9.140625" style="16"/>
  </cols>
  <sheetData>
    <row r="1" spans="1:8" ht="18.75">
      <c r="A1" s="74" t="s">
        <v>268</v>
      </c>
    </row>
    <row r="3" spans="1:8">
      <c r="A3" s="75" t="s">
        <v>241</v>
      </c>
      <c r="B3" s="75"/>
      <c r="C3" s="75"/>
      <c r="D3" s="75"/>
      <c r="E3" s="75"/>
      <c r="F3" s="75"/>
      <c r="G3" s="75"/>
      <c r="H3" s="75"/>
    </row>
    <row r="4" spans="1:8">
      <c r="B4" s="75">
        <f>Innovatie!C3</f>
        <v>2017</v>
      </c>
      <c r="C4" s="75">
        <f>Innovatie!D3</f>
        <v>2018</v>
      </c>
      <c r="D4" s="75">
        <f>Innovatie!E3</f>
        <v>2019</v>
      </c>
      <c r="E4" s="75">
        <f>Innovatie!F3</f>
        <v>2020</v>
      </c>
      <c r="F4" s="75">
        <f>Innovatie!G3</f>
        <v>2021</v>
      </c>
      <c r="G4" s="75">
        <f>Innovatie!H3</f>
        <v>2022</v>
      </c>
      <c r="H4" s="75">
        <f>Innovatie!I3</f>
        <v>2023</v>
      </c>
    </row>
    <row r="5" spans="1:8">
      <c r="A5" s="16" t="s">
        <v>149</v>
      </c>
      <c r="B5" s="76">
        <f>'R&amp;D'!C8</f>
        <v>0.51</v>
      </c>
      <c r="C5" s="76">
        <f>'R&amp;D'!D8</f>
        <v>0.59399999999999997</v>
      </c>
      <c r="D5" s="76">
        <f>'R&amp;D'!E8</f>
        <v>0.59399999999999997</v>
      </c>
      <c r="E5" s="76">
        <f>'R&amp;D'!F8</f>
        <v>0.59399999999999997</v>
      </c>
      <c r="F5" s="76">
        <f>'R&amp;D'!G8</f>
        <v>0.59399999999999997</v>
      </c>
      <c r="G5" s="76">
        <f>'R&amp;D'!H8</f>
        <v>0.59399999999999997</v>
      </c>
      <c r="H5" s="76">
        <f>'R&amp;D'!I8</f>
        <v>0.59399999999999997</v>
      </c>
    </row>
    <row r="6" spans="1:8" s="4" customFormat="1">
      <c r="A6" s="4" t="s">
        <v>150</v>
      </c>
      <c r="B6" s="60">
        <f>'R&amp;D'!C16</f>
        <v>38.99499999999999</v>
      </c>
      <c r="C6" s="60">
        <f>'R&amp;D'!D16</f>
        <v>39.611000000000004</v>
      </c>
      <c r="D6" s="60">
        <f>'R&amp;D'!E16</f>
        <v>33.366</v>
      </c>
      <c r="E6" s="60">
        <f>'R&amp;D'!F16</f>
        <v>32.143000000000001</v>
      </c>
      <c r="F6" s="60">
        <f>'R&amp;D'!G16</f>
        <v>32.058</v>
      </c>
      <c r="G6" s="60">
        <f>'R&amp;D'!H16</f>
        <v>32.042999999999999</v>
      </c>
      <c r="H6" s="60">
        <f>'R&amp;D'!I16</f>
        <v>32.042999999999999</v>
      </c>
    </row>
    <row r="7" spans="1:8">
      <c r="A7" s="16" t="s">
        <v>542</v>
      </c>
      <c r="B7" s="76">
        <f>'R&amp;D'!C23</f>
        <v>21.884999999999998</v>
      </c>
      <c r="C7" s="76">
        <f>'R&amp;D'!D23</f>
        <v>22.134999999999998</v>
      </c>
      <c r="D7" s="76">
        <f>'R&amp;D'!E23</f>
        <v>22.015000000000001</v>
      </c>
      <c r="E7" s="76">
        <f>'R&amp;D'!F23</f>
        <v>21.648</v>
      </c>
      <c r="F7" s="76">
        <f>'R&amp;D'!G23</f>
        <v>21.72</v>
      </c>
      <c r="G7" s="76">
        <f>'R&amp;D'!H23</f>
        <v>21.719000000000001</v>
      </c>
      <c r="H7" s="76">
        <f>'R&amp;D'!I23</f>
        <v>21.720999999999997</v>
      </c>
    </row>
    <row r="8" spans="1:8">
      <c r="A8" s="16" t="s">
        <v>151</v>
      </c>
      <c r="B8" s="76">
        <f>'R&amp;D'!C29</f>
        <v>7.3550000000000004</v>
      </c>
      <c r="C8" s="76">
        <f>'R&amp;D'!D29</f>
        <v>10.298999999999999</v>
      </c>
      <c r="D8" s="76">
        <f>'R&amp;D'!E29</f>
        <v>8.8150000000000013</v>
      </c>
      <c r="E8" s="76">
        <f>'R&amp;D'!F29</f>
        <v>9.0289999999999999</v>
      </c>
      <c r="F8" s="76">
        <f>'R&amp;D'!G29</f>
        <v>10.206</v>
      </c>
      <c r="G8" s="76">
        <f>'R&amp;D'!H29</f>
        <v>10.61</v>
      </c>
      <c r="H8" s="76">
        <f>'R&amp;D'!I29</f>
        <v>9.572000000000001</v>
      </c>
    </row>
    <row r="9" spans="1:8" s="4" customFormat="1">
      <c r="A9" s="4" t="s">
        <v>152</v>
      </c>
      <c r="B9" s="60">
        <f>'R&amp;D'!C64</f>
        <v>3701.9372203081025</v>
      </c>
      <c r="C9" s="60">
        <f>'R&amp;D'!D64</f>
        <v>3940.1422919187439</v>
      </c>
      <c r="D9" s="60">
        <f>'R&amp;D'!E64</f>
        <v>4039.1720864504873</v>
      </c>
      <c r="E9" s="60">
        <f>'R&amp;D'!F64</f>
        <v>4063.4291322269637</v>
      </c>
      <c r="F9" s="60">
        <f>'R&amp;D'!G64</f>
        <v>4045.2506568591807</v>
      </c>
      <c r="G9" s="60">
        <f>'R&amp;D'!H64</f>
        <v>4052.4454894027513</v>
      </c>
      <c r="H9" s="60">
        <f>'R&amp;D'!I64</f>
        <v>4075.6592742469393</v>
      </c>
    </row>
    <row r="10" spans="1:8">
      <c r="A10" s="16" t="s">
        <v>54</v>
      </c>
      <c r="B10" s="76">
        <f>'R&amp;D'!C72</f>
        <v>54.756000000000007</v>
      </c>
      <c r="C10" s="76">
        <f>'R&amp;D'!D72</f>
        <v>67.111999999999995</v>
      </c>
      <c r="D10" s="76">
        <f>'R&amp;D'!E72</f>
        <v>70.238</v>
      </c>
      <c r="E10" s="76">
        <f>'R&amp;D'!F72</f>
        <v>72.266999999999996</v>
      </c>
      <c r="F10" s="76">
        <f>'R&amp;D'!G72</f>
        <v>72.298000000000002</v>
      </c>
      <c r="G10" s="76">
        <f>'R&amp;D'!H72</f>
        <v>72.328000000000003</v>
      </c>
      <c r="H10" s="76">
        <f>'R&amp;D'!I72</f>
        <v>72.328000000000003</v>
      </c>
    </row>
    <row r="11" spans="1:8">
      <c r="A11" s="16" t="s">
        <v>534</v>
      </c>
      <c r="B11" s="76">
        <f>'R&amp;D'!C106</f>
        <v>76.146000000000001</v>
      </c>
      <c r="C11" s="76">
        <f>'R&amp;D'!D106</f>
        <v>82.03</v>
      </c>
      <c r="D11" s="76">
        <f>'R&amp;D'!E106</f>
        <v>69.887</v>
      </c>
      <c r="E11" s="76">
        <f>'R&amp;D'!F106</f>
        <v>66.542000000000002</v>
      </c>
      <c r="F11" s="76">
        <f>'R&amp;D'!G106</f>
        <v>61.558</v>
      </c>
      <c r="G11" s="76">
        <f>'R&amp;D'!H106</f>
        <v>57.384000000000007</v>
      </c>
      <c r="H11" s="76">
        <f>'R&amp;D'!I106</f>
        <v>58.409000000000006</v>
      </c>
    </row>
    <row r="12" spans="1:8">
      <c r="A12" s="16" t="s">
        <v>535</v>
      </c>
      <c r="B12" s="16">
        <f>'R&amp;D'!C210</f>
        <v>657.10300000000007</v>
      </c>
      <c r="C12" s="87">
        <f>'R&amp;D'!D210</f>
        <v>922.14899999999966</v>
      </c>
      <c r="D12" s="87">
        <f>'R&amp;D'!E210</f>
        <v>781.99300000000005</v>
      </c>
      <c r="E12" s="87">
        <f>'R&amp;D'!F210</f>
        <v>832.18900000000031</v>
      </c>
      <c r="F12" s="87">
        <f>'R&amp;D'!G210</f>
        <v>805.35199999999998</v>
      </c>
      <c r="G12" s="87">
        <f>'R&amp;D'!H210</f>
        <v>805.31299999999999</v>
      </c>
      <c r="H12" s="87">
        <f>'R&amp;D'!I210</f>
        <v>792.48300000000006</v>
      </c>
    </row>
    <row r="13" spans="1:8" s="87" customFormat="1">
      <c r="A13" s="87" t="s">
        <v>673</v>
      </c>
      <c r="B13" s="76">
        <f>'R&amp;D'!C235</f>
        <v>158.28800000000001</v>
      </c>
      <c r="C13" s="76">
        <f>'R&amp;D'!D235</f>
        <v>200.16499999999996</v>
      </c>
      <c r="D13" s="76">
        <f>'R&amp;D'!E235</f>
        <v>182.90899999999996</v>
      </c>
      <c r="E13" s="76">
        <f>'R&amp;D'!F235</f>
        <v>180.69200000000001</v>
      </c>
      <c r="F13" s="76">
        <f>'R&amp;D'!G235</f>
        <v>181.73699999999999</v>
      </c>
      <c r="G13" s="76">
        <f>'R&amp;D'!H235</f>
        <v>179.99799999999999</v>
      </c>
      <c r="H13" s="76">
        <f>'R&amp;D'!I235</f>
        <v>172.36700000000002</v>
      </c>
    </row>
    <row r="14" spans="1:8">
      <c r="A14" s="16" t="s">
        <v>153</v>
      </c>
      <c r="B14" s="76">
        <f>'R&amp;D'!C243</f>
        <v>10.801</v>
      </c>
      <c r="C14" s="76">
        <f>'R&amp;D'!D243</f>
        <v>11.391999999999999</v>
      </c>
      <c r="D14" s="76">
        <f>'R&amp;D'!E243</f>
        <v>13.422000000000001</v>
      </c>
      <c r="E14" s="76">
        <f>'R&amp;D'!F243</f>
        <v>12.854000000000001</v>
      </c>
      <c r="F14" s="76">
        <f>'R&amp;D'!G243</f>
        <v>12.717000000000001</v>
      </c>
      <c r="G14" s="76">
        <f>'R&amp;D'!H243</f>
        <v>12.69</v>
      </c>
      <c r="H14" s="76">
        <f>'R&amp;D'!I243</f>
        <v>12.714</v>
      </c>
    </row>
    <row r="15" spans="1:8">
      <c r="A15" s="16" t="s">
        <v>154</v>
      </c>
      <c r="B15" s="76">
        <f>'R&amp;D'!C266</f>
        <v>230.16599999999997</v>
      </c>
      <c r="C15" s="76">
        <f>'R&amp;D'!D266</f>
        <v>270.64400000000001</v>
      </c>
      <c r="D15" s="76">
        <f>'R&amp;D'!E266</f>
        <v>299.43699999999995</v>
      </c>
      <c r="E15" s="76">
        <f>'R&amp;D'!F266</f>
        <v>275.30500000000001</v>
      </c>
      <c r="F15" s="76">
        <f>'R&amp;D'!G266</f>
        <v>257.77600000000001</v>
      </c>
      <c r="G15" s="76">
        <f>'R&amp;D'!H266</f>
        <v>240.172</v>
      </c>
      <c r="H15" s="76">
        <f>'R&amp;D'!I266</f>
        <v>234.15199999999999</v>
      </c>
    </row>
    <row r="16" spans="1:8" s="75" customFormat="1">
      <c r="A16" s="75" t="s">
        <v>240</v>
      </c>
      <c r="B16" s="77">
        <f>SUM(B5:B15)</f>
        <v>4957.9422203081031</v>
      </c>
      <c r="C16" s="77">
        <f t="shared" ref="C16:H16" si="0">SUM(C5:C15)</f>
        <v>5566.2732919187438</v>
      </c>
      <c r="D16" s="77">
        <f t="shared" si="0"/>
        <v>5521.8480864504872</v>
      </c>
      <c r="E16" s="77">
        <f t="shared" si="0"/>
        <v>5566.6921322269645</v>
      </c>
      <c r="F16" s="77">
        <f t="shared" si="0"/>
        <v>5501.2666568591803</v>
      </c>
      <c r="G16" s="77">
        <f t="shared" si="0"/>
        <v>5485.2964894027509</v>
      </c>
      <c r="H16" s="77">
        <f t="shared" si="0"/>
        <v>5482.04227424694</v>
      </c>
    </row>
    <row r="18" spans="1:8">
      <c r="A18" s="75" t="s">
        <v>278</v>
      </c>
    </row>
    <row r="19" spans="1:8" s="75" customFormat="1">
      <c r="B19" s="75">
        <f>B4</f>
        <v>2017</v>
      </c>
      <c r="C19" s="75">
        <f t="shared" ref="C19:H19" si="1">C4</f>
        <v>2018</v>
      </c>
      <c r="D19" s="75">
        <f t="shared" si="1"/>
        <v>2019</v>
      </c>
      <c r="E19" s="75">
        <f t="shared" si="1"/>
        <v>2020</v>
      </c>
      <c r="F19" s="75">
        <f t="shared" si="1"/>
        <v>2021</v>
      </c>
      <c r="G19" s="75">
        <f t="shared" si="1"/>
        <v>2022</v>
      </c>
      <c r="H19" s="75">
        <f t="shared" si="1"/>
        <v>2023</v>
      </c>
    </row>
    <row r="20" spans="1:8">
      <c r="A20" s="87" t="str">
        <f t="shared" ref="A20:A27" si="2">A5</f>
        <v>Algemene Zaken</v>
      </c>
      <c r="B20" s="78">
        <f>'R&amp;D'!P8</f>
        <v>0</v>
      </c>
      <c r="C20" s="78">
        <f>'R&amp;D'!Q8</f>
        <v>0</v>
      </c>
      <c r="D20" s="78">
        <f>'R&amp;D'!R8</f>
        <v>0</v>
      </c>
      <c r="E20" s="78">
        <f>'R&amp;D'!S8</f>
        <v>0</v>
      </c>
      <c r="F20" s="78">
        <f>'R&amp;D'!T8</f>
        <v>0</v>
      </c>
      <c r="G20" s="78">
        <f>'R&amp;D'!U8</f>
        <v>0</v>
      </c>
      <c r="H20" s="78">
        <f>'R&amp;D'!V8</f>
        <v>0</v>
      </c>
    </row>
    <row r="21" spans="1:8" s="4" customFormat="1">
      <c r="A21" s="87" t="str">
        <f t="shared" si="2"/>
        <v xml:space="preserve">Buitenlandse Zaken </v>
      </c>
      <c r="B21" s="61">
        <f>'R&amp;D'!P16</f>
        <v>0</v>
      </c>
      <c r="C21" s="61">
        <f>'R&amp;D'!Q16</f>
        <v>0</v>
      </c>
      <c r="D21" s="61">
        <f>'R&amp;D'!R16</f>
        <v>0</v>
      </c>
      <c r="E21" s="61">
        <f>'R&amp;D'!S16</f>
        <v>0</v>
      </c>
      <c r="F21" s="61">
        <f>'R&amp;D'!T16</f>
        <v>0</v>
      </c>
      <c r="G21" s="61">
        <f>'R&amp;D'!U16</f>
        <v>0</v>
      </c>
      <c r="H21" s="61">
        <f>'R&amp;D'!V16</f>
        <v>0</v>
      </c>
    </row>
    <row r="22" spans="1:8">
      <c r="A22" s="87" t="str">
        <f t="shared" si="2"/>
        <v xml:space="preserve">Justitie en Veiligheid </v>
      </c>
      <c r="B22" s="78">
        <f>'R&amp;D'!P23</f>
        <v>3.2950499999999998</v>
      </c>
      <c r="C22" s="78">
        <f>'R&amp;D'!Q23</f>
        <v>3.3590700000000004</v>
      </c>
      <c r="D22" s="78">
        <f>'R&amp;D'!R23</f>
        <v>3.3683100000000006</v>
      </c>
      <c r="E22" s="78">
        <f>'R&amp;D'!S23</f>
        <v>3.2577600000000002</v>
      </c>
      <c r="F22" s="78">
        <f>'R&amp;D'!T23</f>
        <v>3.2775600000000003</v>
      </c>
      <c r="G22" s="78">
        <f>'R&amp;D'!U23</f>
        <v>3.2772299999999999</v>
      </c>
      <c r="H22" s="78">
        <f>'R&amp;D'!V23</f>
        <v>3.2772299999999999</v>
      </c>
    </row>
    <row r="23" spans="1:8">
      <c r="A23" s="87" t="str">
        <f t="shared" si="2"/>
        <v>Binnenlandse Zaken en Koninkrijksrelaties</v>
      </c>
      <c r="B23" s="78">
        <f>'R&amp;D'!P275</f>
        <v>0.73550000000000004</v>
      </c>
      <c r="C23" s="78">
        <f>'R&amp;D'!Q275</f>
        <v>1.0299</v>
      </c>
      <c r="D23" s="78">
        <f>'R&amp;D'!R275</f>
        <v>0.88150000000000017</v>
      </c>
      <c r="E23" s="78">
        <f>'R&amp;D'!S275</f>
        <v>0.90290000000000015</v>
      </c>
      <c r="F23" s="78">
        <f>'R&amp;D'!T275</f>
        <v>1.0206</v>
      </c>
      <c r="G23" s="78">
        <f>'R&amp;D'!U275</f>
        <v>1.0609999999999999</v>
      </c>
      <c r="H23" s="78">
        <f>'R&amp;D'!V275</f>
        <v>0.95720000000000005</v>
      </c>
    </row>
    <row r="24" spans="1:8" s="4" customFormat="1">
      <c r="A24" s="87" t="str">
        <f t="shared" si="2"/>
        <v>Onderwijs, Cultuur en Wetenschap</v>
      </c>
      <c r="B24" s="61">
        <f>'R&amp;D'!P64</f>
        <v>289</v>
      </c>
      <c r="C24" s="61">
        <f>'R&amp;D'!Q64</f>
        <v>289</v>
      </c>
      <c r="D24" s="61">
        <f>'R&amp;D'!R64</f>
        <v>289</v>
      </c>
      <c r="E24" s="61">
        <f>'R&amp;D'!S64</f>
        <v>289</v>
      </c>
      <c r="F24" s="61">
        <f>'R&amp;D'!T64</f>
        <v>289</v>
      </c>
      <c r="G24" s="61">
        <f>'R&amp;D'!U64</f>
        <v>289</v>
      </c>
      <c r="H24" s="61">
        <f>'R&amp;D'!V64</f>
        <v>289</v>
      </c>
    </row>
    <row r="25" spans="1:8">
      <c r="A25" s="87" t="str">
        <f t="shared" si="2"/>
        <v>Defensie</v>
      </c>
      <c r="B25" s="78">
        <f>'R&amp;D'!P72</f>
        <v>54.756000000000007</v>
      </c>
      <c r="C25" s="78">
        <f>'R&amp;D'!Q72</f>
        <v>67.111999999999995</v>
      </c>
      <c r="D25" s="78">
        <f>'R&amp;D'!R72</f>
        <v>70.238</v>
      </c>
      <c r="E25" s="78">
        <f>'R&amp;D'!S72</f>
        <v>72.266999999999996</v>
      </c>
      <c r="F25" s="78">
        <f>'R&amp;D'!T72</f>
        <v>72.298000000000002</v>
      </c>
      <c r="G25" s="78">
        <f>'R&amp;D'!U72</f>
        <v>72.328000000000003</v>
      </c>
      <c r="H25" s="78">
        <f>'R&amp;D'!V72</f>
        <v>72.328000000000003</v>
      </c>
    </row>
    <row r="26" spans="1:8">
      <c r="A26" s="87" t="str">
        <f t="shared" si="2"/>
        <v>Infrastructuur en Waterstaat</v>
      </c>
      <c r="B26" s="78">
        <f>'R&amp;D'!P106</f>
        <v>4.931</v>
      </c>
      <c r="C26" s="78">
        <f>'R&amp;D'!Q106</f>
        <v>5.4390000000000001</v>
      </c>
      <c r="D26" s="78">
        <f>'R&amp;D'!R106</f>
        <v>6.0280000000000005</v>
      </c>
      <c r="E26" s="78">
        <f>'R&amp;D'!S106</f>
        <v>6.0280000000000005</v>
      </c>
      <c r="F26" s="78">
        <f>'R&amp;D'!T106</f>
        <v>6.0980000000000008</v>
      </c>
      <c r="G26" s="78">
        <f>'R&amp;D'!U106</f>
        <v>6.0980000000000008</v>
      </c>
      <c r="H26" s="78">
        <f>'R&amp;D'!V106</f>
        <v>6.0980000000000008</v>
      </c>
    </row>
    <row r="27" spans="1:8">
      <c r="A27" s="87" t="str">
        <f t="shared" si="2"/>
        <v>Economische Zaken en Klimaat</v>
      </c>
      <c r="B27" s="78">
        <f>'R&amp;D'!P210</f>
        <v>585.01200000000006</v>
      </c>
      <c r="C27" s="78">
        <f>'R&amp;D'!Q210</f>
        <v>808.42</v>
      </c>
      <c r="D27" s="78">
        <f>'R&amp;D'!R210</f>
        <v>692.72974999999997</v>
      </c>
      <c r="E27" s="78">
        <f>'R&amp;D'!S210</f>
        <v>718.81975000000023</v>
      </c>
      <c r="F27" s="78">
        <f>'R&amp;D'!T210</f>
        <v>715.19325000000003</v>
      </c>
      <c r="G27" s="78">
        <f>'R&amp;D'!U210</f>
        <v>718.27224999999999</v>
      </c>
      <c r="H27" s="78">
        <f>'R&amp;D'!V210</f>
        <v>707.33574999999996</v>
      </c>
    </row>
    <row r="28" spans="1:8" s="87" customFormat="1">
      <c r="A28" s="87" t="s">
        <v>673</v>
      </c>
      <c r="B28" s="78">
        <f>'R&amp;D'!P235</f>
        <v>104.73509999999997</v>
      </c>
      <c r="C28" s="78">
        <f>'R&amp;D'!Q235</f>
        <v>128.84120000000001</v>
      </c>
      <c r="D28" s="78">
        <f>'R&amp;D'!R235</f>
        <v>118.59560000000002</v>
      </c>
      <c r="E28" s="78">
        <f>'R&amp;D'!S235</f>
        <v>121.47280000000002</v>
      </c>
      <c r="F28" s="78">
        <f>'R&amp;D'!T235</f>
        <v>122.07319999999999</v>
      </c>
      <c r="G28" s="78">
        <f>'R&amp;D'!U235</f>
        <v>120.47690000000001</v>
      </c>
      <c r="H28" s="78">
        <f>'R&amp;D'!V235</f>
        <v>115.2484</v>
      </c>
    </row>
    <row r="29" spans="1:8">
      <c r="A29" s="87" t="str">
        <f>A14</f>
        <v>Sociale Zaken en Werkgelegenheid</v>
      </c>
      <c r="B29" s="78">
        <f>'R&amp;D'!P243</f>
        <v>0</v>
      </c>
      <c r="C29" s="78">
        <f>'R&amp;D'!Q243</f>
        <v>0</v>
      </c>
      <c r="D29" s="78">
        <f>'R&amp;D'!R243</f>
        <v>0</v>
      </c>
      <c r="E29" s="78">
        <f>'R&amp;D'!S243</f>
        <v>0</v>
      </c>
      <c r="F29" s="78">
        <f>'R&amp;D'!T243</f>
        <v>0</v>
      </c>
      <c r="G29" s="78">
        <f>'R&amp;D'!U243</f>
        <v>0</v>
      </c>
      <c r="H29" s="78">
        <f>'R&amp;D'!V243</f>
        <v>0</v>
      </c>
    </row>
    <row r="30" spans="1:8">
      <c r="A30" s="87" t="str">
        <f>A15</f>
        <v>Volksgezondheid, Welzijn en Sport</v>
      </c>
      <c r="B30" s="78">
        <f>'R&amp;D'!P266</f>
        <v>0</v>
      </c>
      <c r="C30" s="78">
        <f>'R&amp;D'!Q266</f>
        <v>0</v>
      </c>
      <c r="D30" s="78">
        <f>'R&amp;D'!R266</f>
        <v>0</v>
      </c>
      <c r="E30" s="78">
        <f>'R&amp;D'!S266</f>
        <v>0</v>
      </c>
      <c r="F30" s="78">
        <f>'R&amp;D'!T266</f>
        <v>0</v>
      </c>
      <c r="G30" s="78">
        <f>'R&amp;D'!U266</f>
        <v>0</v>
      </c>
      <c r="H30" s="78">
        <f>'R&amp;D'!V266</f>
        <v>0</v>
      </c>
    </row>
    <row r="31" spans="1:8" s="75" customFormat="1">
      <c r="A31" s="75" t="s">
        <v>147</v>
      </c>
      <c r="B31" s="77">
        <f t="shared" ref="B31:H31" si="3">SUM(B20:B30)</f>
        <v>1042.4646499999999</v>
      </c>
      <c r="C31" s="77">
        <f t="shared" si="3"/>
        <v>1303.20117</v>
      </c>
      <c r="D31" s="77">
        <f t="shared" si="3"/>
        <v>1180.8411600000002</v>
      </c>
      <c r="E31" s="77">
        <f t="shared" si="3"/>
        <v>1211.7482100000002</v>
      </c>
      <c r="F31" s="77">
        <f t="shared" si="3"/>
        <v>1208.9606100000001</v>
      </c>
      <c r="G31" s="77">
        <f t="shared" si="3"/>
        <v>1210.5133800000001</v>
      </c>
      <c r="H31" s="77">
        <f t="shared" si="3"/>
        <v>1194.2445799999998</v>
      </c>
    </row>
    <row r="33" spans="1:8">
      <c r="A33" s="75" t="s">
        <v>242</v>
      </c>
    </row>
    <row r="34" spans="1:8">
      <c r="B34" s="75">
        <f>B4</f>
        <v>2017</v>
      </c>
      <c r="C34" s="75">
        <f t="shared" ref="C34:H34" si="4">C4</f>
        <v>2018</v>
      </c>
      <c r="D34" s="75">
        <f t="shared" si="4"/>
        <v>2019</v>
      </c>
      <c r="E34" s="75">
        <f t="shared" si="4"/>
        <v>2020</v>
      </c>
      <c r="F34" s="75">
        <f t="shared" si="4"/>
        <v>2021</v>
      </c>
      <c r="G34" s="75">
        <f t="shared" si="4"/>
        <v>2022</v>
      </c>
      <c r="H34" s="75">
        <f t="shared" si="4"/>
        <v>2023</v>
      </c>
    </row>
    <row r="35" spans="1:8">
      <c r="A35" s="16" t="str">
        <f t="shared" ref="A35:A41" si="5">A20</f>
        <v>Algemene Zaken</v>
      </c>
      <c r="B35" s="80"/>
      <c r="C35" s="80"/>
      <c r="D35" s="80"/>
      <c r="E35" s="80"/>
      <c r="F35" s="80"/>
      <c r="G35" s="80"/>
      <c r="H35" s="80"/>
    </row>
    <row r="36" spans="1:8">
      <c r="A36" s="87" t="str">
        <f t="shared" si="5"/>
        <v xml:space="preserve">Buitenlandse Zaken </v>
      </c>
      <c r="B36" s="80"/>
      <c r="C36" s="80"/>
      <c r="D36" s="80"/>
      <c r="E36" s="80"/>
      <c r="F36" s="80"/>
      <c r="G36" s="80"/>
      <c r="H36" s="80"/>
    </row>
    <row r="37" spans="1:8">
      <c r="A37" s="87" t="str">
        <f t="shared" si="5"/>
        <v xml:space="preserve">Justitie en Veiligheid </v>
      </c>
      <c r="B37" s="80"/>
      <c r="C37" s="80"/>
      <c r="D37" s="80"/>
      <c r="E37" s="80"/>
      <c r="F37" s="80"/>
      <c r="G37" s="80"/>
      <c r="H37" s="80"/>
    </row>
    <row r="38" spans="1:8">
      <c r="A38" s="87" t="str">
        <f t="shared" si="5"/>
        <v>Binnenlandse Zaken en Koninkrijksrelaties</v>
      </c>
      <c r="B38" s="80"/>
      <c r="C38" s="80"/>
      <c r="D38" s="80"/>
      <c r="E38" s="80"/>
      <c r="F38" s="80"/>
      <c r="G38" s="80"/>
      <c r="H38" s="80"/>
    </row>
    <row r="39" spans="1:8">
      <c r="A39" s="87" t="str">
        <f t="shared" si="5"/>
        <v>Onderwijs, Cultuur en Wetenschap</v>
      </c>
      <c r="B39" s="80">
        <f>Innovatie!C30</f>
        <v>80.936999999999983</v>
      </c>
      <c r="C39" s="80">
        <f>Innovatie!D30</f>
        <v>90.636999999999986</v>
      </c>
      <c r="D39" s="80">
        <f>Innovatie!E30</f>
        <v>111.44899999999998</v>
      </c>
      <c r="E39" s="80">
        <f>Innovatie!F30</f>
        <v>99.527999999999992</v>
      </c>
      <c r="F39" s="80">
        <f>Innovatie!G30</f>
        <v>99.11999999999999</v>
      </c>
      <c r="G39" s="80">
        <f>Innovatie!H30</f>
        <v>97.240000000000009</v>
      </c>
      <c r="H39" s="80">
        <f>Innovatie!I30</f>
        <v>95.399999999999991</v>
      </c>
    </row>
    <row r="40" spans="1:8">
      <c r="A40" s="87" t="str">
        <f t="shared" si="5"/>
        <v>Defensie</v>
      </c>
      <c r="B40" s="78">
        <f>Innovatie!C34</f>
        <v>2.1040000000000001</v>
      </c>
      <c r="C40" s="78">
        <f>Innovatie!D34</f>
        <v>5</v>
      </c>
      <c r="D40" s="78">
        <f>Innovatie!E34</f>
        <v>5</v>
      </c>
      <c r="E40" s="78">
        <f>Innovatie!F34</f>
        <v>5</v>
      </c>
      <c r="F40" s="78">
        <f>Innovatie!G34</f>
        <v>5</v>
      </c>
      <c r="G40" s="78">
        <f>Innovatie!H34</f>
        <v>5</v>
      </c>
      <c r="H40" s="78">
        <f>Innovatie!I34</f>
        <v>5</v>
      </c>
    </row>
    <row r="41" spans="1:8">
      <c r="A41" s="87" t="str">
        <f t="shared" si="5"/>
        <v>Infrastructuur en Waterstaat</v>
      </c>
      <c r="B41" s="78">
        <f>Innovatie!C51</f>
        <v>76.138999999999996</v>
      </c>
      <c r="C41" s="78">
        <f>Innovatie!D51</f>
        <v>65.286000000000001</v>
      </c>
      <c r="D41" s="78">
        <f>Innovatie!E51</f>
        <v>34.22699999999999</v>
      </c>
      <c r="E41" s="78">
        <f>Innovatie!F51</f>
        <v>33.429000000000002</v>
      </c>
      <c r="F41" s="78">
        <f>Innovatie!G51</f>
        <v>8.0729999999999986</v>
      </c>
      <c r="G41" s="78">
        <f>Innovatie!H51</f>
        <v>10.503</v>
      </c>
      <c r="H41" s="78">
        <f>Innovatie!I51</f>
        <v>7.6649999999999991</v>
      </c>
    </row>
    <row r="42" spans="1:8" s="87" customFormat="1">
      <c r="A42" s="87" t="s">
        <v>672</v>
      </c>
      <c r="B42" s="78">
        <f>Innovatie!C94</f>
        <v>10.826000000000001</v>
      </c>
      <c r="C42" s="78">
        <f>Innovatie!D94</f>
        <v>11.52</v>
      </c>
      <c r="D42" s="78">
        <f>Innovatie!E94</f>
        <v>9.5809999999999995</v>
      </c>
      <c r="E42" s="78">
        <f>Innovatie!F94</f>
        <v>12.715</v>
      </c>
      <c r="F42" s="78">
        <f>Innovatie!G94</f>
        <v>12.765000000000001</v>
      </c>
      <c r="G42" s="78">
        <f>Innovatie!H94</f>
        <v>12.824999999999999</v>
      </c>
      <c r="H42" s="78">
        <f>Innovatie!I94</f>
        <v>0</v>
      </c>
    </row>
    <row r="43" spans="1:8">
      <c r="A43" s="87" t="str">
        <f>A27</f>
        <v>Economische Zaken en Klimaat</v>
      </c>
      <c r="B43" s="78">
        <f>Innovatie!C86</f>
        <v>151.75899999999999</v>
      </c>
      <c r="C43" s="78">
        <f>Innovatie!D86</f>
        <v>173.07</v>
      </c>
      <c r="D43" s="78">
        <f>Innovatie!E86</f>
        <v>187.08100000000002</v>
      </c>
      <c r="E43" s="78">
        <f>Innovatie!F86</f>
        <v>162.53</v>
      </c>
      <c r="F43" s="78">
        <f>Innovatie!G86</f>
        <v>135.08800000000002</v>
      </c>
      <c r="G43" s="78">
        <f>Innovatie!H86</f>
        <v>125.58899999999998</v>
      </c>
      <c r="H43" s="78">
        <f>Innovatie!I86</f>
        <v>119.68399999999998</v>
      </c>
    </row>
    <row r="44" spans="1:8">
      <c r="A44" s="87" t="str">
        <f>A29</f>
        <v>Sociale Zaken en Werkgelegenheid</v>
      </c>
      <c r="B44" s="80">
        <f>Innovatie!C100</f>
        <v>4.2040000000000006</v>
      </c>
      <c r="C44" s="80">
        <f>Innovatie!D100</f>
        <v>5.5720000000000001</v>
      </c>
      <c r="D44" s="80">
        <f>Innovatie!E100</f>
        <v>4.6110000000000007</v>
      </c>
      <c r="E44" s="80">
        <f>Innovatie!F100</f>
        <v>4.6400000000000006</v>
      </c>
      <c r="F44" s="80">
        <f>Innovatie!G100</f>
        <v>4.2</v>
      </c>
      <c r="G44" s="80">
        <f>Innovatie!H100</f>
        <v>4.0640000000000001</v>
      </c>
      <c r="H44" s="80">
        <f>Innovatie!I100</f>
        <v>4.0640000000000001</v>
      </c>
    </row>
    <row r="45" spans="1:8">
      <c r="A45" s="87" t="str">
        <f>A30</f>
        <v>Volksgezondheid, Welzijn en Sport</v>
      </c>
      <c r="B45" s="78">
        <f>Innovatie!C107</f>
        <v>0.47699999999999998</v>
      </c>
      <c r="C45" s="78">
        <f>Innovatie!D107</f>
        <v>0.46499999999999997</v>
      </c>
      <c r="D45" s="78">
        <f>Innovatie!E107</f>
        <v>0.46499999999999997</v>
      </c>
      <c r="E45" s="78">
        <f>Innovatie!F107</f>
        <v>0.46499999999999997</v>
      </c>
      <c r="F45" s="78">
        <f>Innovatie!G107</f>
        <v>0.25</v>
      </c>
      <c r="G45" s="78">
        <f>Innovatie!H107</f>
        <v>0.25</v>
      </c>
      <c r="H45" s="78">
        <f>Innovatie!I107</f>
        <v>0.25</v>
      </c>
    </row>
    <row r="46" spans="1:8" s="75" customFormat="1">
      <c r="A46" s="75" t="s">
        <v>147</v>
      </c>
      <c r="B46" s="79">
        <f t="shared" ref="B46:H46" si="6">SUM(B35:B45)</f>
        <v>326.44599999999997</v>
      </c>
      <c r="C46" s="79">
        <f t="shared" si="6"/>
        <v>351.55</v>
      </c>
      <c r="D46" s="79">
        <f t="shared" si="6"/>
        <v>352.41399999999993</v>
      </c>
      <c r="E46" s="79">
        <f t="shared" si="6"/>
        <v>318.30699999999996</v>
      </c>
      <c r="F46" s="79">
        <f t="shared" si="6"/>
        <v>264.49599999999998</v>
      </c>
      <c r="G46" s="79">
        <f t="shared" si="6"/>
        <v>255.47099999999998</v>
      </c>
      <c r="H46" s="79">
        <f t="shared" si="6"/>
        <v>232.06299999999996</v>
      </c>
    </row>
    <row r="48" spans="1:8">
      <c r="A48" s="75" t="s">
        <v>243</v>
      </c>
    </row>
    <row r="49" spans="1:8">
      <c r="B49" s="75">
        <f>B4</f>
        <v>2017</v>
      </c>
      <c r="C49" s="75">
        <f t="shared" ref="C49:H49" si="7">C4</f>
        <v>2018</v>
      </c>
      <c r="D49" s="75">
        <f t="shared" si="7"/>
        <v>2019</v>
      </c>
      <c r="E49" s="75">
        <f t="shared" si="7"/>
        <v>2020</v>
      </c>
      <c r="F49" s="75">
        <f t="shared" si="7"/>
        <v>2021</v>
      </c>
      <c r="G49" s="75">
        <f t="shared" si="7"/>
        <v>2022</v>
      </c>
      <c r="H49" s="75">
        <f t="shared" si="7"/>
        <v>2023</v>
      </c>
    </row>
    <row r="50" spans="1:8">
      <c r="A50" s="16" t="str">
        <f t="shared" ref="A50:A56" si="8">A35</f>
        <v>Algemene Zaken</v>
      </c>
      <c r="B50" s="76">
        <f>+B5+B35</f>
        <v>0.51</v>
      </c>
      <c r="C50" s="76">
        <f t="shared" ref="C50:H50" si="9">+C5+C35</f>
        <v>0.59399999999999997</v>
      </c>
      <c r="D50" s="76">
        <f t="shared" si="9"/>
        <v>0.59399999999999997</v>
      </c>
      <c r="E50" s="76">
        <f t="shared" si="9"/>
        <v>0.59399999999999997</v>
      </c>
      <c r="F50" s="76">
        <f t="shared" si="9"/>
        <v>0.59399999999999997</v>
      </c>
      <c r="G50" s="76">
        <f t="shared" si="9"/>
        <v>0.59399999999999997</v>
      </c>
      <c r="H50" s="76">
        <f t="shared" si="9"/>
        <v>0.59399999999999997</v>
      </c>
    </row>
    <row r="51" spans="1:8" s="4" customFormat="1">
      <c r="A51" s="87" t="str">
        <f t="shared" si="8"/>
        <v xml:space="preserve">Buitenlandse Zaken </v>
      </c>
      <c r="B51" s="76">
        <f t="shared" ref="B51:H51" si="10">+B6+B36</f>
        <v>38.99499999999999</v>
      </c>
      <c r="C51" s="76">
        <f t="shared" si="10"/>
        <v>39.611000000000004</v>
      </c>
      <c r="D51" s="76">
        <f t="shared" si="10"/>
        <v>33.366</v>
      </c>
      <c r="E51" s="76">
        <f t="shared" si="10"/>
        <v>32.143000000000001</v>
      </c>
      <c r="F51" s="76">
        <f t="shared" si="10"/>
        <v>32.058</v>
      </c>
      <c r="G51" s="76">
        <f t="shared" si="10"/>
        <v>32.042999999999999</v>
      </c>
      <c r="H51" s="76">
        <f t="shared" si="10"/>
        <v>32.042999999999999</v>
      </c>
    </row>
    <row r="52" spans="1:8">
      <c r="A52" s="87" t="str">
        <f t="shared" si="8"/>
        <v xml:space="preserve">Justitie en Veiligheid </v>
      </c>
      <c r="B52" s="76">
        <f t="shared" ref="B52:H52" si="11">+B7+B37</f>
        <v>21.884999999999998</v>
      </c>
      <c r="C52" s="76">
        <f t="shared" si="11"/>
        <v>22.134999999999998</v>
      </c>
      <c r="D52" s="76">
        <f t="shared" si="11"/>
        <v>22.015000000000001</v>
      </c>
      <c r="E52" s="76">
        <f t="shared" si="11"/>
        <v>21.648</v>
      </c>
      <c r="F52" s="76">
        <f t="shared" si="11"/>
        <v>21.72</v>
      </c>
      <c r="G52" s="76">
        <f t="shared" si="11"/>
        <v>21.719000000000001</v>
      </c>
      <c r="H52" s="76">
        <f t="shared" si="11"/>
        <v>21.720999999999997</v>
      </c>
    </row>
    <row r="53" spans="1:8">
      <c r="A53" s="87" t="str">
        <f t="shared" si="8"/>
        <v>Binnenlandse Zaken en Koninkrijksrelaties</v>
      </c>
      <c r="B53" s="76">
        <f t="shared" ref="B53:H53" si="12">+B8+B38</f>
        <v>7.3550000000000004</v>
      </c>
      <c r="C53" s="76">
        <f t="shared" si="12"/>
        <v>10.298999999999999</v>
      </c>
      <c r="D53" s="76">
        <f t="shared" si="12"/>
        <v>8.8150000000000013</v>
      </c>
      <c r="E53" s="76">
        <f t="shared" si="12"/>
        <v>9.0289999999999999</v>
      </c>
      <c r="F53" s="76">
        <f t="shared" si="12"/>
        <v>10.206</v>
      </c>
      <c r="G53" s="76">
        <f t="shared" si="12"/>
        <v>10.61</v>
      </c>
      <c r="H53" s="76">
        <f t="shared" si="12"/>
        <v>9.572000000000001</v>
      </c>
    </row>
    <row r="54" spans="1:8" s="4" customFormat="1">
      <c r="A54" s="87" t="str">
        <f t="shared" si="8"/>
        <v>Onderwijs, Cultuur en Wetenschap</v>
      </c>
      <c r="B54" s="76">
        <f t="shared" ref="B54:H54" si="13">+B9+B39</f>
        <v>3782.8742203081024</v>
      </c>
      <c r="C54" s="76">
        <f t="shared" si="13"/>
        <v>4030.7792919187441</v>
      </c>
      <c r="D54" s="76">
        <f t="shared" si="13"/>
        <v>4150.6210864504874</v>
      </c>
      <c r="E54" s="76">
        <f t="shared" si="13"/>
        <v>4162.9571322269639</v>
      </c>
      <c r="F54" s="76">
        <f t="shared" si="13"/>
        <v>4144.3706568591806</v>
      </c>
      <c r="G54" s="76">
        <f t="shared" si="13"/>
        <v>4149.685489402751</v>
      </c>
      <c r="H54" s="76">
        <f t="shared" si="13"/>
        <v>4171.0592742469389</v>
      </c>
    </row>
    <row r="55" spans="1:8">
      <c r="A55" s="87" t="str">
        <f t="shared" si="8"/>
        <v>Defensie</v>
      </c>
      <c r="B55" s="76">
        <f t="shared" ref="B55:H55" si="14">+B10+B40</f>
        <v>56.860000000000007</v>
      </c>
      <c r="C55" s="76">
        <f t="shared" si="14"/>
        <v>72.111999999999995</v>
      </c>
      <c r="D55" s="76">
        <f t="shared" si="14"/>
        <v>75.238</v>
      </c>
      <c r="E55" s="76">
        <f t="shared" si="14"/>
        <v>77.266999999999996</v>
      </c>
      <c r="F55" s="76">
        <f t="shared" si="14"/>
        <v>77.298000000000002</v>
      </c>
      <c r="G55" s="76">
        <f t="shared" si="14"/>
        <v>77.328000000000003</v>
      </c>
      <c r="H55" s="76">
        <f t="shared" si="14"/>
        <v>77.328000000000003</v>
      </c>
    </row>
    <row r="56" spans="1:8">
      <c r="A56" s="87" t="str">
        <f t="shared" si="8"/>
        <v>Infrastructuur en Waterstaat</v>
      </c>
      <c r="B56" s="76">
        <f t="shared" ref="B56:H56" si="15">+B11+B41</f>
        <v>152.285</v>
      </c>
      <c r="C56" s="76">
        <f t="shared" si="15"/>
        <v>147.316</v>
      </c>
      <c r="D56" s="76">
        <f t="shared" si="15"/>
        <v>104.11399999999999</v>
      </c>
      <c r="E56" s="76">
        <f t="shared" si="15"/>
        <v>99.971000000000004</v>
      </c>
      <c r="F56" s="76">
        <f t="shared" si="15"/>
        <v>69.631</v>
      </c>
      <c r="G56" s="76">
        <f t="shared" si="15"/>
        <v>67.887</v>
      </c>
      <c r="H56" s="76">
        <f t="shared" si="15"/>
        <v>66.074000000000012</v>
      </c>
    </row>
    <row r="57" spans="1:8" s="87" customFormat="1">
      <c r="A57" s="87" t="s">
        <v>672</v>
      </c>
      <c r="B57" s="76">
        <f t="shared" ref="B57:H57" si="16">+B12+B42</f>
        <v>667.92900000000009</v>
      </c>
      <c r="C57" s="76">
        <f t="shared" si="16"/>
        <v>933.66899999999964</v>
      </c>
      <c r="D57" s="76">
        <f t="shared" si="16"/>
        <v>791.57400000000007</v>
      </c>
      <c r="E57" s="76">
        <f t="shared" si="16"/>
        <v>844.90400000000034</v>
      </c>
      <c r="F57" s="76">
        <f t="shared" si="16"/>
        <v>818.11699999999996</v>
      </c>
      <c r="G57" s="76">
        <f t="shared" si="16"/>
        <v>818.13800000000003</v>
      </c>
      <c r="H57" s="76">
        <f t="shared" si="16"/>
        <v>792.48300000000006</v>
      </c>
    </row>
    <row r="58" spans="1:8">
      <c r="A58" s="87" t="str">
        <f>A43</f>
        <v>Economische Zaken en Klimaat</v>
      </c>
      <c r="B58" s="76">
        <f t="shared" ref="B58:H58" si="17">+B13+B43</f>
        <v>310.04700000000003</v>
      </c>
      <c r="C58" s="76">
        <f t="shared" si="17"/>
        <v>373.23499999999996</v>
      </c>
      <c r="D58" s="76">
        <f t="shared" si="17"/>
        <v>369.99</v>
      </c>
      <c r="E58" s="76">
        <f t="shared" si="17"/>
        <v>343.22199999999998</v>
      </c>
      <c r="F58" s="76">
        <f t="shared" si="17"/>
        <v>316.82500000000005</v>
      </c>
      <c r="G58" s="76">
        <f t="shared" si="17"/>
        <v>305.58699999999999</v>
      </c>
      <c r="H58" s="76">
        <f t="shared" si="17"/>
        <v>292.05099999999999</v>
      </c>
    </row>
    <row r="59" spans="1:8">
      <c r="A59" s="87" t="str">
        <f>A44</f>
        <v>Sociale Zaken en Werkgelegenheid</v>
      </c>
      <c r="B59" s="76">
        <f t="shared" ref="B59:H59" si="18">+B14+B44</f>
        <v>15.005000000000001</v>
      </c>
      <c r="C59" s="76">
        <f t="shared" si="18"/>
        <v>16.963999999999999</v>
      </c>
      <c r="D59" s="76">
        <f t="shared" si="18"/>
        <v>18.033000000000001</v>
      </c>
      <c r="E59" s="76">
        <f t="shared" si="18"/>
        <v>17.494</v>
      </c>
      <c r="F59" s="76">
        <f t="shared" si="18"/>
        <v>16.917000000000002</v>
      </c>
      <c r="G59" s="76">
        <f t="shared" si="18"/>
        <v>16.753999999999998</v>
      </c>
      <c r="H59" s="76">
        <f t="shared" si="18"/>
        <v>16.777999999999999</v>
      </c>
    </row>
    <row r="60" spans="1:8">
      <c r="A60" s="87" t="str">
        <f>A45</f>
        <v>Volksgezondheid, Welzijn en Sport</v>
      </c>
      <c r="B60" s="76">
        <f t="shared" ref="B60:H60" si="19">+B15+B45</f>
        <v>230.64299999999997</v>
      </c>
      <c r="C60" s="76">
        <f t="shared" si="19"/>
        <v>271.10899999999998</v>
      </c>
      <c r="D60" s="76">
        <f t="shared" si="19"/>
        <v>299.90199999999993</v>
      </c>
      <c r="E60" s="76">
        <f t="shared" si="19"/>
        <v>275.77</v>
      </c>
      <c r="F60" s="76">
        <f t="shared" si="19"/>
        <v>258.02600000000001</v>
      </c>
      <c r="G60" s="76">
        <f t="shared" si="19"/>
        <v>240.422</v>
      </c>
      <c r="H60" s="76">
        <f t="shared" si="19"/>
        <v>234.40199999999999</v>
      </c>
    </row>
    <row r="61" spans="1:8" s="75" customFormat="1">
      <c r="A61" s="75" t="s">
        <v>147</v>
      </c>
      <c r="B61" s="77">
        <f>SUM(B50:B60)</f>
        <v>5284.3882203081021</v>
      </c>
      <c r="C61" s="77">
        <f t="shared" ref="C61:H61" si="20">SUM(C50:C60)</f>
        <v>5917.823291918744</v>
      </c>
      <c r="D61" s="77">
        <f t="shared" si="20"/>
        <v>5874.262086450487</v>
      </c>
      <c r="E61" s="77">
        <f t="shared" si="20"/>
        <v>5884.9991322269634</v>
      </c>
      <c r="F61" s="77">
        <f t="shared" si="20"/>
        <v>5765.7626568591813</v>
      </c>
      <c r="G61" s="77">
        <f t="shared" si="20"/>
        <v>5740.7674894027514</v>
      </c>
      <c r="H61" s="77">
        <f t="shared" si="20"/>
        <v>5714.1052742469401</v>
      </c>
    </row>
    <row r="63" spans="1:8">
      <c r="B63" s="78"/>
    </row>
  </sheetData>
  <pageMargins left="0.70866141732283472" right="0.70866141732283472" top="0.74803149606299213" bottom="0.74803149606299213" header="0.31496062992125984" footer="0.31496062992125984"/>
  <pageSetup paperSize="9" scale="93"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6"/>
  <sheetViews>
    <sheetView zoomScaleNormal="100" zoomScaleSheetLayoutView="100" workbookViewId="0"/>
  </sheetViews>
  <sheetFormatPr defaultRowHeight="15"/>
  <cols>
    <col min="1" max="1" width="46" style="37" customWidth="1"/>
    <col min="2" max="8" width="13.5703125" style="32" customWidth="1"/>
    <col min="9" max="9" width="12.5703125" style="32" customWidth="1"/>
    <col min="10" max="10" width="15.140625" style="32" customWidth="1"/>
    <col min="11" max="12" width="9.140625" style="32"/>
    <col min="13" max="13" width="10" style="32" bestFit="1" customWidth="1"/>
    <col min="14" max="16384" width="9.140625" style="32"/>
  </cols>
  <sheetData>
    <row r="1" spans="1:18" ht="18.75" customHeight="1">
      <c r="A1" s="71" t="s">
        <v>224</v>
      </c>
    </row>
    <row r="2" spans="1:18" ht="15" customHeight="1"/>
    <row r="3" spans="1:18" s="33" customFormat="1">
      <c r="A3" s="38" t="s">
        <v>693</v>
      </c>
      <c r="J3" s="34"/>
    </row>
    <row r="4" spans="1:18" s="33" customFormat="1" ht="30">
      <c r="A4" s="207" t="s">
        <v>543</v>
      </c>
      <c r="B4" s="176">
        <f>Innovatie!C3</f>
        <v>2017</v>
      </c>
      <c r="C4" s="176">
        <f>Innovatie!D3</f>
        <v>2018</v>
      </c>
      <c r="D4" s="176">
        <f>Innovatie!E3</f>
        <v>2019</v>
      </c>
      <c r="E4" s="176">
        <f>Innovatie!F3</f>
        <v>2020</v>
      </c>
      <c r="F4" s="176">
        <f>Innovatie!G3</f>
        <v>2021</v>
      </c>
      <c r="G4" s="176">
        <f>Innovatie!H3</f>
        <v>2022</v>
      </c>
      <c r="H4" s="176">
        <f>Innovatie!I3</f>
        <v>2023</v>
      </c>
      <c r="I4" s="208" t="s">
        <v>407</v>
      </c>
    </row>
    <row r="5" spans="1:18" s="174" customFormat="1" ht="30">
      <c r="A5" s="177" t="s">
        <v>530</v>
      </c>
      <c r="B5" s="178">
        <f>1182+6</f>
        <v>1188</v>
      </c>
      <c r="C5" s="178">
        <f>1163+6</f>
        <v>1169</v>
      </c>
      <c r="D5" s="178">
        <f>1205+6</f>
        <v>1211</v>
      </c>
      <c r="E5" s="178">
        <f>1205+6+76</f>
        <v>1287</v>
      </c>
      <c r="F5" s="178">
        <f>1205+6+76</f>
        <v>1287</v>
      </c>
      <c r="G5" s="178">
        <f>1205+6+76</f>
        <v>1287</v>
      </c>
      <c r="H5" s="178">
        <f>1205+6+76</f>
        <v>1287</v>
      </c>
      <c r="I5" s="195">
        <v>100</v>
      </c>
      <c r="J5" s="173"/>
      <c r="K5" s="173"/>
      <c r="L5" s="260"/>
      <c r="M5" s="260"/>
      <c r="N5" s="260"/>
      <c r="O5" s="260"/>
      <c r="P5" s="260"/>
      <c r="Q5" s="260"/>
      <c r="R5" s="260"/>
    </row>
    <row r="6" spans="1:18" s="174" customFormat="1">
      <c r="J6" s="173"/>
      <c r="K6" s="173"/>
      <c r="L6" s="260"/>
      <c r="M6" s="260"/>
      <c r="N6" s="260"/>
      <c r="O6" s="260"/>
      <c r="P6" s="260"/>
      <c r="Q6" s="260"/>
      <c r="R6" s="260"/>
    </row>
    <row r="7" spans="1:18">
      <c r="A7" s="284" t="s">
        <v>694</v>
      </c>
      <c r="B7" s="162"/>
      <c r="C7" s="162"/>
      <c r="D7" s="162"/>
      <c r="E7" s="162"/>
      <c r="F7" s="162"/>
      <c r="G7" s="162"/>
      <c r="H7" s="162"/>
      <c r="I7" s="2"/>
      <c r="J7" s="33"/>
      <c r="K7" s="33"/>
      <c r="L7" s="127"/>
      <c r="M7" s="127"/>
      <c r="N7" s="127"/>
      <c r="O7" s="127"/>
      <c r="P7" s="127"/>
      <c r="Q7" s="127"/>
      <c r="R7" s="127"/>
    </row>
    <row r="8" spans="1:18" s="174" customFormat="1" ht="45">
      <c r="A8" s="285" t="s">
        <v>695</v>
      </c>
      <c r="B8" s="176">
        <f t="shared" ref="B8:H8" si="0">B4</f>
        <v>2017</v>
      </c>
      <c r="C8" s="176">
        <f t="shared" si="0"/>
        <v>2018</v>
      </c>
      <c r="D8" s="176">
        <f t="shared" si="0"/>
        <v>2019</v>
      </c>
      <c r="E8" s="176">
        <f t="shared" si="0"/>
        <v>2020</v>
      </c>
      <c r="F8" s="176">
        <f t="shared" si="0"/>
        <v>2021</v>
      </c>
      <c r="G8" s="176">
        <f t="shared" si="0"/>
        <v>2022</v>
      </c>
      <c r="H8" s="176">
        <f t="shared" si="0"/>
        <v>2023</v>
      </c>
      <c r="I8" s="194" t="s">
        <v>666</v>
      </c>
      <c r="J8" s="173"/>
      <c r="K8" s="173"/>
    </row>
    <row r="9" spans="1:18" s="174" customFormat="1" ht="15" customHeight="1">
      <c r="A9" s="177" t="s">
        <v>225</v>
      </c>
      <c r="B9" s="178">
        <v>114</v>
      </c>
      <c r="C9" s="178">
        <v>99</v>
      </c>
      <c r="D9" s="178">
        <v>107</v>
      </c>
      <c r="E9" s="178">
        <v>107</v>
      </c>
      <c r="F9" s="178">
        <v>107</v>
      </c>
      <c r="G9" s="178">
        <v>107</v>
      </c>
      <c r="H9" s="178">
        <v>107</v>
      </c>
      <c r="I9" s="195">
        <v>100</v>
      </c>
      <c r="J9" s="173"/>
      <c r="K9" s="173"/>
    </row>
    <row r="10" spans="1:18" s="174" customFormat="1" ht="15" customHeight="1">
      <c r="A10" s="177" t="s">
        <v>226</v>
      </c>
      <c r="B10" s="178">
        <v>27</v>
      </c>
      <c r="C10" s="178">
        <v>40</v>
      </c>
      <c r="D10" s="178">
        <v>32</v>
      </c>
      <c r="E10" s="178">
        <v>32</v>
      </c>
      <c r="F10" s="178">
        <v>32</v>
      </c>
      <c r="G10" s="178">
        <v>32</v>
      </c>
      <c r="H10" s="178">
        <v>32</v>
      </c>
      <c r="I10" s="195">
        <v>100</v>
      </c>
      <c r="J10" s="173"/>
      <c r="K10" s="173"/>
    </row>
    <row r="11" spans="1:18" s="175" customFormat="1" ht="15" customHeight="1">
      <c r="A11" s="179" t="s">
        <v>689</v>
      </c>
      <c r="B11" s="180">
        <f t="shared" ref="B11:H11" si="1">SUM(B9:B10)</f>
        <v>141</v>
      </c>
      <c r="C11" s="180">
        <f t="shared" si="1"/>
        <v>139</v>
      </c>
      <c r="D11" s="180">
        <f t="shared" si="1"/>
        <v>139</v>
      </c>
      <c r="E11" s="180">
        <f t="shared" si="1"/>
        <v>139</v>
      </c>
      <c r="F11" s="180">
        <f t="shared" si="1"/>
        <v>139</v>
      </c>
      <c r="G11" s="180">
        <f t="shared" si="1"/>
        <v>139</v>
      </c>
      <c r="H11" s="180">
        <f t="shared" si="1"/>
        <v>139</v>
      </c>
      <c r="I11" s="196">
        <v>100</v>
      </c>
    </row>
    <row r="12" spans="1:18" ht="15" customHeight="1">
      <c r="B12" s="163"/>
      <c r="C12" s="163"/>
      <c r="D12" s="163"/>
      <c r="E12" s="163"/>
      <c r="F12" s="163"/>
      <c r="G12" s="163"/>
      <c r="H12" s="163"/>
      <c r="I12" s="134"/>
      <c r="J12" s="33"/>
      <c r="K12" s="33"/>
    </row>
    <row r="13" spans="1:18" s="33" customFormat="1" ht="30">
      <c r="A13" s="281" t="s">
        <v>677</v>
      </c>
      <c r="B13" s="282">
        <f t="shared" ref="B13:H13" si="2">SUM(B5,B11)</f>
        <v>1329</v>
      </c>
      <c r="C13" s="282">
        <f t="shared" si="2"/>
        <v>1308</v>
      </c>
      <c r="D13" s="282">
        <f t="shared" si="2"/>
        <v>1350</v>
      </c>
      <c r="E13" s="282">
        <f t="shared" si="2"/>
        <v>1426</v>
      </c>
      <c r="F13" s="282">
        <f t="shared" si="2"/>
        <v>1426</v>
      </c>
      <c r="G13" s="282">
        <f t="shared" si="2"/>
        <v>1426</v>
      </c>
      <c r="H13" s="282">
        <f t="shared" si="2"/>
        <v>1426</v>
      </c>
      <c r="I13" s="283"/>
      <c r="L13" s="277"/>
      <c r="M13" s="276"/>
    </row>
    <row r="14" spans="1:18" s="33" customFormat="1">
      <c r="A14" s="38"/>
      <c r="B14" s="166"/>
      <c r="C14" s="166"/>
      <c r="D14" s="166"/>
      <c r="E14" s="166"/>
      <c r="F14" s="166"/>
      <c r="G14" s="166"/>
      <c r="H14" s="166"/>
      <c r="M14" s="276"/>
    </row>
    <row r="15" spans="1:18" s="33" customFormat="1">
      <c r="A15" s="38" t="s">
        <v>663</v>
      </c>
      <c r="B15" s="166"/>
      <c r="C15" s="166"/>
      <c r="D15" s="166"/>
      <c r="E15" s="166"/>
      <c r="F15" s="166"/>
      <c r="G15" s="166"/>
      <c r="H15" s="166"/>
    </row>
    <row r="16" spans="1:18" s="33" customFormat="1">
      <c r="A16" s="156" t="s">
        <v>688</v>
      </c>
      <c r="B16" s="68"/>
      <c r="C16" s="68"/>
      <c r="D16" s="165" t="s">
        <v>660</v>
      </c>
      <c r="E16" s="68"/>
      <c r="F16" s="68"/>
      <c r="G16" s="156" t="s">
        <v>678</v>
      </c>
      <c r="H16" s="68"/>
    </row>
    <row r="17" spans="1:7">
      <c r="A17" s="39" t="s">
        <v>661</v>
      </c>
      <c r="D17" s="32" t="s">
        <v>662</v>
      </c>
    </row>
    <row r="18" spans="1:7">
      <c r="A18" s="39"/>
    </row>
    <row r="19" spans="1:7">
      <c r="A19" s="65" t="s">
        <v>664</v>
      </c>
    </row>
    <row r="20" spans="1:7">
      <c r="A20" s="39" t="s">
        <v>317</v>
      </c>
    </row>
    <row r="21" spans="1:7">
      <c r="A21" s="39" t="s">
        <v>696</v>
      </c>
    </row>
    <row r="22" spans="1:7">
      <c r="A22" s="39" t="s">
        <v>697</v>
      </c>
    </row>
    <row r="23" spans="1:7">
      <c r="A23" s="39" t="s">
        <v>698</v>
      </c>
    </row>
    <row r="24" spans="1:7">
      <c r="A24" s="39" t="s">
        <v>699</v>
      </c>
    </row>
    <row r="25" spans="1:7">
      <c r="A25" s="39" t="s">
        <v>700</v>
      </c>
    </row>
    <row r="26" spans="1:7">
      <c r="A26" s="118"/>
      <c r="G26" s="37"/>
    </row>
    <row r="27" spans="1:7">
      <c r="A27" s="193" t="s">
        <v>665</v>
      </c>
      <c r="G27" s="37"/>
    </row>
    <row r="28" spans="1:7">
      <c r="A28" s="37" t="s">
        <v>145</v>
      </c>
      <c r="B28" s="32" t="s">
        <v>227</v>
      </c>
    </row>
    <row r="29" spans="1:7">
      <c r="A29" s="37" t="s">
        <v>146</v>
      </c>
      <c r="B29" s="32" t="s">
        <v>228</v>
      </c>
    </row>
    <row r="30" spans="1:7">
      <c r="A30" s="37" t="s">
        <v>225</v>
      </c>
      <c r="B30" s="32" t="s">
        <v>230</v>
      </c>
    </row>
    <row r="31" spans="1:7">
      <c r="A31" s="37" t="s">
        <v>226</v>
      </c>
      <c r="B31" s="32" t="s">
        <v>229</v>
      </c>
    </row>
    <row r="33" spans="1:4">
      <c r="A33" s="139" t="s">
        <v>679</v>
      </c>
    </row>
    <row r="34" spans="1:4">
      <c r="A34" s="156" t="s">
        <v>682</v>
      </c>
    </row>
    <row r="35" spans="1:4">
      <c r="A35" s="156" t="s">
        <v>681</v>
      </c>
    </row>
    <row r="36" spans="1:4">
      <c r="A36" s="156" t="s">
        <v>531</v>
      </c>
    </row>
    <row r="37" spans="1:4">
      <c r="A37" s="156" t="s">
        <v>558</v>
      </c>
    </row>
    <row r="38" spans="1:4">
      <c r="A38" s="156" t="s">
        <v>555</v>
      </c>
    </row>
    <row r="39" spans="1:4">
      <c r="A39" s="156" t="s">
        <v>680</v>
      </c>
    </row>
    <row r="40" spans="1:4" s="110" customFormat="1">
      <c r="A40" s="2" t="s">
        <v>556</v>
      </c>
    </row>
    <row r="41" spans="1:4" s="110" customFormat="1">
      <c r="A41" s="2" t="s">
        <v>557</v>
      </c>
    </row>
    <row r="42" spans="1:4" s="110" customFormat="1">
      <c r="A42" s="2" t="s">
        <v>646</v>
      </c>
    </row>
    <row r="43" spans="1:4" s="110" customFormat="1">
      <c r="A43" s="160" t="s">
        <v>645</v>
      </c>
    </row>
    <row r="45" spans="1:4">
      <c r="A45" s="165" t="s">
        <v>644</v>
      </c>
      <c r="B45" s="110"/>
      <c r="C45" s="110"/>
      <c r="D45" s="110"/>
    </row>
    <row r="46" spans="1:4">
      <c r="A46" s="32"/>
    </row>
  </sheetData>
  <hyperlinks>
    <hyperlink ref="A45" r:id="rId1"/>
    <hyperlink ref="D16" r:id="rId2" display="MIA/VAMIL/Groen beleggen o.b.v Budgettair belang 2017-2019 in Bijlagen bij de Miljoenennota 2019:"/>
  </hyperlinks>
  <pageMargins left="0.70866141732283472" right="0.70866141732283472" top="0.74803149606299213" bottom="0.74803149606299213" header="0.31496062992125984" footer="0.31496062992125984"/>
  <pageSetup paperSize="9" scale="85" orientation="landscape" r:id="rId3"/>
  <headerFooter>
    <oddFooter>&amp;L&amp;Z&amp;F</oddFooter>
  </headerFooter>
  <rowBreaks count="1" manualBreakCount="1">
    <brk id="32" max="8" man="1"/>
  </rowBreaks>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47"/>
  <sheetViews>
    <sheetView zoomScaleNormal="100" workbookViewId="0"/>
  </sheetViews>
  <sheetFormatPr defaultRowHeight="12.75"/>
  <cols>
    <col min="1" max="1" width="12" style="4" customWidth="1"/>
    <col min="2" max="2" width="51.5703125" style="4" customWidth="1"/>
    <col min="3" max="9" width="13.5703125" style="4" customWidth="1"/>
    <col min="10" max="10" width="10.85546875" style="4" customWidth="1"/>
    <col min="11" max="11" width="9.140625" style="4"/>
    <col min="12" max="12" width="11.42578125" style="4" customWidth="1"/>
    <col min="13" max="13" width="15.28515625" style="4" customWidth="1"/>
    <col min="14" max="14" width="6.28515625" style="4" customWidth="1"/>
    <col min="15" max="16" width="9.140625" style="6"/>
    <col min="17" max="16384" width="9.140625" style="4"/>
  </cols>
  <sheetData>
    <row r="1" spans="1:16" ht="18.75">
      <c r="A1" s="25" t="s">
        <v>618</v>
      </c>
      <c r="B1" s="136"/>
      <c r="C1" s="136"/>
      <c r="D1" s="136"/>
      <c r="E1" s="136"/>
      <c r="F1" s="136"/>
      <c r="G1" s="136"/>
      <c r="H1" s="136"/>
      <c r="I1" s="136"/>
      <c r="J1" s="136"/>
      <c r="K1" s="136"/>
      <c r="L1" s="85"/>
      <c r="M1" s="136"/>
      <c r="N1" s="136"/>
    </row>
    <row r="3" spans="1:16">
      <c r="A3" s="24" t="s">
        <v>72</v>
      </c>
      <c r="B3" s="22" t="s">
        <v>73</v>
      </c>
      <c r="C3" s="1" t="s">
        <v>237</v>
      </c>
      <c r="D3" s="22" t="s">
        <v>74</v>
      </c>
      <c r="E3" s="22" t="s">
        <v>75</v>
      </c>
      <c r="F3" s="22" t="s">
        <v>76</v>
      </c>
      <c r="G3" s="22"/>
      <c r="H3" s="22"/>
      <c r="I3" s="22"/>
      <c r="J3" s="22" t="s">
        <v>409</v>
      </c>
      <c r="K3" s="23" t="s">
        <v>77</v>
      </c>
      <c r="L3" s="22" t="s">
        <v>51</v>
      </c>
      <c r="M3" s="22" t="s">
        <v>0</v>
      </c>
      <c r="N3" s="22" t="s">
        <v>1</v>
      </c>
    </row>
    <row r="4" spans="1:16" ht="15" customHeight="1">
      <c r="A4" s="24"/>
      <c r="B4" s="22"/>
      <c r="C4" s="1">
        <f>Totaal!C3</f>
        <v>2017</v>
      </c>
      <c r="D4" s="1">
        <f>Totaal!D3</f>
        <v>2018</v>
      </c>
      <c r="E4" s="1">
        <f>Totaal!E3</f>
        <v>2019</v>
      </c>
      <c r="F4" s="1">
        <f>Totaal!F3</f>
        <v>2020</v>
      </c>
      <c r="G4" s="1">
        <f>Totaal!G3</f>
        <v>2021</v>
      </c>
      <c r="H4" s="1">
        <f>Totaal!H3</f>
        <v>2022</v>
      </c>
      <c r="I4" s="1">
        <f>Totaal!I3</f>
        <v>2023</v>
      </c>
      <c r="J4" s="22"/>
      <c r="K4" s="23"/>
      <c r="L4" s="22"/>
      <c r="M4" s="22"/>
      <c r="N4" s="22"/>
    </row>
    <row r="5" spans="1:16" s="1" customFormat="1" ht="12.75" customHeight="1">
      <c r="O5" s="21"/>
      <c r="P5" s="21"/>
    </row>
    <row r="6" spans="1:16" s="3" customFormat="1" ht="15">
      <c r="A6" s="13"/>
      <c r="B6" s="13" t="s">
        <v>43</v>
      </c>
      <c r="C6" s="13"/>
      <c r="D6" s="13"/>
      <c r="E6" s="13"/>
      <c r="F6" s="13"/>
      <c r="G6" s="13"/>
      <c r="H6" s="13"/>
      <c r="I6" s="13"/>
      <c r="J6" s="13"/>
      <c r="K6" s="13"/>
      <c r="L6" s="12"/>
      <c r="M6" s="13"/>
      <c r="N6" s="13"/>
      <c r="O6" s="69"/>
      <c r="P6" s="69"/>
    </row>
    <row r="7" spans="1:16" ht="25.5" customHeight="1">
      <c r="A7" s="6" t="s">
        <v>59</v>
      </c>
      <c r="B7" s="19" t="s">
        <v>57</v>
      </c>
      <c r="C7" s="86">
        <v>0.51</v>
      </c>
      <c r="D7" s="85">
        <v>0.59399999999999997</v>
      </c>
      <c r="E7" s="85">
        <v>0.59399999999999997</v>
      </c>
      <c r="F7" s="85">
        <v>0.59399999999999997</v>
      </c>
      <c r="G7" s="85">
        <v>0.59399999999999997</v>
      </c>
      <c r="H7" s="85">
        <v>0.59399999999999997</v>
      </c>
      <c r="I7" s="85">
        <v>0.59399999999999997</v>
      </c>
      <c r="J7" s="4">
        <v>100</v>
      </c>
      <c r="K7" s="4">
        <v>11</v>
      </c>
      <c r="L7" s="85" t="s">
        <v>58</v>
      </c>
      <c r="M7" s="4" t="s">
        <v>9</v>
      </c>
      <c r="N7" s="4" t="s">
        <v>41</v>
      </c>
    </row>
    <row r="8" spans="1:16" s="3" customFormat="1" ht="15">
      <c r="A8" s="69"/>
      <c r="B8" s="20" t="s">
        <v>61</v>
      </c>
      <c r="C8" s="11">
        <v>0.51</v>
      </c>
      <c r="D8" s="11">
        <v>0.59399999999999997</v>
      </c>
      <c r="E8" s="11">
        <v>0.59399999999999997</v>
      </c>
      <c r="F8" s="11">
        <v>0.59399999999999997</v>
      </c>
      <c r="G8" s="11">
        <v>0.59399999999999997</v>
      </c>
      <c r="H8" s="11">
        <v>0.59399999999999997</v>
      </c>
      <c r="I8" s="11">
        <v>0.59399999999999997</v>
      </c>
      <c r="J8" s="1"/>
      <c r="K8" s="1"/>
      <c r="L8" s="22"/>
      <c r="M8" s="1"/>
      <c r="N8" s="1"/>
      <c r="O8" s="69"/>
      <c r="P8" s="69"/>
    </row>
    <row r="9" spans="1:16" s="1" customFormat="1" ht="15" customHeight="1">
      <c r="C9" s="49"/>
      <c r="D9" s="49"/>
      <c r="E9" s="49"/>
      <c r="F9" s="49"/>
      <c r="G9" s="49"/>
      <c r="H9" s="49"/>
      <c r="I9" s="49"/>
      <c r="O9" s="21"/>
      <c r="P9" s="21"/>
    </row>
    <row r="10" spans="1:16" s="3" customFormat="1" ht="15">
      <c r="A10" s="13"/>
      <c r="B10" s="13" t="s">
        <v>44</v>
      </c>
      <c r="C10" s="50"/>
      <c r="D10" s="50"/>
      <c r="E10" s="50"/>
      <c r="F10" s="50"/>
      <c r="G10" s="50"/>
      <c r="H10" s="50"/>
      <c r="I10" s="50"/>
      <c r="J10" s="13"/>
      <c r="K10" s="13"/>
      <c r="L10" s="12"/>
      <c r="M10" s="13"/>
      <c r="N10" s="13"/>
      <c r="O10" s="69"/>
      <c r="P10" s="69"/>
    </row>
    <row r="11" spans="1:16" s="6" customFormat="1" ht="12.75" customHeight="1">
      <c r="A11" s="6">
        <v>5</v>
      </c>
      <c r="B11" s="6" t="s">
        <v>160</v>
      </c>
      <c r="C11" s="120">
        <v>0.35599999999999998</v>
      </c>
      <c r="D11" s="120">
        <v>0.32200000000000001</v>
      </c>
      <c r="E11" s="120">
        <v>0.24199999999999999</v>
      </c>
      <c r="F11" s="120">
        <v>0.24199999999999999</v>
      </c>
      <c r="G11" s="120">
        <v>0.24199999999999999</v>
      </c>
      <c r="H11" s="120">
        <v>0.24199999999999999</v>
      </c>
      <c r="I11" s="120">
        <v>0.24199999999999999</v>
      </c>
      <c r="J11" s="6">
        <v>10</v>
      </c>
      <c r="K11" s="85">
        <v>11</v>
      </c>
      <c r="L11" s="85" t="s">
        <v>58</v>
      </c>
      <c r="M11" s="6" t="s">
        <v>7</v>
      </c>
      <c r="N11" s="6" t="s">
        <v>40</v>
      </c>
    </row>
    <row r="12" spans="1:16" s="6" customFormat="1">
      <c r="A12" s="6">
        <v>17</v>
      </c>
      <c r="B12" s="6" t="s">
        <v>161</v>
      </c>
      <c r="C12" s="120">
        <v>4.3899999999999997</v>
      </c>
      <c r="D12" s="120">
        <v>3</v>
      </c>
      <c r="E12" s="120">
        <v>3</v>
      </c>
      <c r="F12" s="120">
        <v>3</v>
      </c>
      <c r="G12" s="120">
        <v>3</v>
      </c>
      <c r="H12" s="120">
        <v>3</v>
      </c>
      <c r="I12" s="120">
        <v>3</v>
      </c>
      <c r="J12" s="6">
        <v>100</v>
      </c>
      <c r="K12" s="85">
        <v>11</v>
      </c>
      <c r="L12" s="85" t="s">
        <v>58</v>
      </c>
      <c r="M12" s="6" t="s">
        <v>10</v>
      </c>
      <c r="N12" s="6" t="s">
        <v>41</v>
      </c>
    </row>
    <row r="13" spans="1:16" s="6" customFormat="1" ht="12.75" customHeight="1">
      <c r="A13" s="6">
        <v>17</v>
      </c>
      <c r="B13" s="6" t="s">
        <v>263</v>
      </c>
      <c r="C13" s="54">
        <v>23.402999999999999</v>
      </c>
      <c r="D13" s="54">
        <v>24.699000000000002</v>
      </c>
      <c r="E13" s="54">
        <v>22.102</v>
      </c>
      <c r="F13" s="54">
        <v>20.969000000000001</v>
      </c>
      <c r="G13" s="54">
        <v>20.884</v>
      </c>
      <c r="H13" s="54">
        <v>20.869</v>
      </c>
      <c r="I13" s="54">
        <v>20.869</v>
      </c>
      <c r="J13" s="6">
        <v>5</v>
      </c>
      <c r="K13" s="85">
        <v>11</v>
      </c>
      <c r="L13" s="85" t="s">
        <v>58</v>
      </c>
      <c r="M13" s="6" t="s">
        <v>10</v>
      </c>
      <c r="N13" s="6" t="s">
        <v>41</v>
      </c>
    </row>
    <row r="14" spans="1:16" ht="12.75" customHeight="1">
      <c r="A14" s="4">
        <v>17</v>
      </c>
      <c r="B14" s="4" t="s">
        <v>264</v>
      </c>
      <c r="C14" s="52">
        <v>5.3140000000000001</v>
      </c>
      <c r="D14" s="52">
        <v>5.5750000000000002</v>
      </c>
      <c r="E14" s="52">
        <v>4.7039999999999997</v>
      </c>
      <c r="F14" s="52">
        <v>4.6440000000000001</v>
      </c>
      <c r="G14" s="52">
        <v>4.6440000000000001</v>
      </c>
      <c r="H14" s="52">
        <v>4.6440000000000001</v>
      </c>
      <c r="I14" s="52">
        <v>4.6440000000000001</v>
      </c>
      <c r="J14" s="4">
        <v>5</v>
      </c>
      <c r="K14" s="85">
        <v>11</v>
      </c>
      <c r="L14" s="85" t="s">
        <v>58</v>
      </c>
      <c r="M14" s="6" t="s">
        <v>10</v>
      </c>
      <c r="N14" s="6" t="s">
        <v>41</v>
      </c>
    </row>
    <row r="15" spans="1:16" ht="12.75" customHeight="1">
      <c r="A15" s="4">
        <v>17</v>
      </c>
      <c r="B15" s="4" t="s">
        <v>265</v>
      </c>
      <c r="C15" s="52">
        <v>5.532</v>
      </c>
      <c r="D15" s="52">
        <v>6.0149999999999997</v>
      </c>
      <c r="E15" s="52">
        <v>3.3180000000000001</v>
      </c>
      <c r="F15" s="52">
        <v>3.2879999999999998</v>
      </c>
      <c r="G15" s="52">
        <v>3.2879999999999998</v>
      </c>
      <c r="H15" s="52">
        <v>3.2879999999999998</v>
      </c>
      <c r="I15" s="52">
        <v>3.2879999999999998</v>
      </c>
      <c r="J15" s="4">
        <v>5</v>
      </c>
      <c r="K15" s="85">
        <v>11</v>
      </c>
      <c r="L15" s="85" t="s">
        <v>58</v>
      </c>
      <c r="M15" s="6" t="s">
        <v>10</v>
      </c>
      <c r="N15" s="6" t="s">
        <v>41</v>
      </c>
    </row>
    <row r="16" spans="1:16" s="3" customFormat="1" ht="15">
      <c r="B16" s="3" t="s">
        <v>62</v>
      </c>
      <c r="C16" s="11">
        <f t="shared" ref="C16:I16" si="0">SUM(C11:C15)</f>
        <v>38.99499999999999</v>
      </c>
      <c r="D16" s="11">
        <f t="shared" si="0"/>
        <v>39.611000000000004</v>
      </c>
      <c r="E16" s="11">
        <f t="shared" si="0"/>
        <v>33.366</v>
      </c>
      <c r="F16" s="11">
        <f t="shared" si="0"/>
        <v>32.143000000000001</v>
      </c>
      <c r="G16" s="11">
        <f t="shared" si="0"/>
        <v>32.058</v>
      </c>
      <c r="H16" s="11">
        <f t="shared" si="0"/>
        <v>32.042999999999999</v>
      </c>
      <c r="I16" s="11">
        <f t="shared" si="0"/>
        <v>32.042999999999999</v>
      </c>
      <c r="O16" s="69"/>
      <c r="P16" s="69"/>
    </row>
    <row r="17" spans="1:17" s="1" customFormat="1" ht="12.75" customHeight="1">
      <c r="C17" s="49"/>
      <c r="D17" s="49"/>
      <c r="E17" s="49"/>
      <c r="F17" s="49"/>
      <c r="G17" s="49"/>
      <c r="H17" s="49"/>
      <c r="I17" s="49"/>
      <c r="O17" s="21"/>
      <c r="P17" s="21"/>
    </row>
    <row r="18" spans="1:17" s="1" customFormat="1" ht="15">
      <c r="A18" s="12"/>
      <c r="B18" s="13" t="s">
        <v>539</v>
      </c>
      <c r="C18" s="51"/>
      <c r="D18" s="51"/>
      <c r="E18" s="51"/>
      <c r="F18" s="51"/>
      <c r="G18" s="51"/>
      <c r="H18" s="51"/>
      <c r="I18" s="51"/>
      <c r="J18" s="12"/>
      <c r="K18" s="12"/>
      <c r="L18" s="12"/>
      <c r="M18" s="12"/>
      <c r="N18" s="12"/>
      <c r="O18" s="21"/>
      <c r="P18" s="21"/>
    </row>
    <row r="19" spans="1:17" ht="12.75" customHeight="1">
      <c r="A19" s="101" t="s">
        <v>67</v>
      </c>
      <c r="B19" s="85" t="s">
        <v>611</v>
      </c>
      <c r="C19" s="86">
        <v>6.4470000000000001</v>
      </c>
      <c r="D19" s="86">
        <v>6.7</v>
      </c>
      <c r="E19" s="86">
        <v>6.7</v>
      </c>
      <c r="F19" s="86">
        <v>6.7</v>
      </c>
      <c r="G19" s="86">
        <v>6.7</v>
      </c>
      <c r="H19" s="86">
        <v>6.7</v>
      </c>
      <c r="I19" s="86">
        <v>6.7</v>
      </c>
      <c r="J19" s="85">
        <v>15</v>
      </c>
      <c r="K19" s="85">
        <v>11</v>
      </c>
      <c r="L19" s="85" t="s">
        <v>58</v>
      </c>
      <c r="M19" s="85" t="s">
        <v>9</v>
      </c>
      <c r="N19" s="4" t="s">
        <v>40</v>
      </c>
    </row>
    <row r="20" spans="1:17" ht="12.75" customHeight="1">
      <c r="A20" s="101" t="s">
        <v>67</v>
      </c>
      <c r="B20" s="85" t="s">
        <v>71</v>
      </c>
      <c r="C20" s="86">
        <v>9.9849999999999994</v>
      </c>
      <c r="D20" s="86">
        <v>10.179</v>
      </c>
      <c r="E20" s="86">
        <v>10.207000000000001</v>
      </c>
      <c r="F20" s="86">
        <v>9.8719999999999999</v>
      </c>
      <c r="G20" s="86">
        <v>9.9320000000000004</v>
      </c>
      <c r="H20" s="86">
        <v>9.9309999999999992</v>
      </c>
      <c r="I20" s="86">
        <v>9.9309999999999992</v>
      </c>
      <c r="J20" s="85">
        <v>15</v>
      </c>
      <c r="K20" s="85">
        <v>11</v>
      </c>
      <c r="L20" s="85" t="s">
        <v>58</v>
      </c>
      <c r="M20" s="85" t="s">
        <v>9</v>
      </c>
      <c r="N20" s="4" t="s">
        <v>40</v>
      </c>
    </row>
    <row r="21" spans="1:17" ht="12.75" customHeight="1">
      <c r="A21" s="101" t="s">
        <v>67</v>
      </c>
      <c r="B21" s="85" t="s">
        <v>612</v>
      </c>
      <c r="C21" s="86">
        <v>2.726</v>
      </c>
      <c r="D21" s="86">
        <v>2.6280000000000001</v>
      </c>
      <c r="E21" s="86">
        <v>2.5539999999999998</v>
      </c>
      <c r="F21" s="86">
        <v>2.5379999999999998</v>
      </c>
      <c r="G21" s="86">
        <v>2.544</v>
      </c>
      <c r="H21" s="86">
        <v>2.544</v>
      </c>
      <c r="I21" s="86">
        <v>2.5449999999999999</v>
      </c>
      <c r="J21" s="85">
        <v>10</v>
      </c>
      <c r="K21" s="85">
        <v>11</v>
      </c>
      <c r="L21" s="85" t="s">
        <v>58</v>
      </c>
      <c r="M21" s="85" t="s">
        <v>69</v>
      </c>
      <c r="N21" s="85" t="s">
        <v>41</v>
      </c>
    </row>
    <row r="22" spans="1:17" s="6" customFormat="1" ht="15" customHeight="1">
      <c r="A22" s="101" t="s">
        <v>411</v>
      </c>
      <c r="B22" s="101" t="s">
        <v>613</v>
      </c>
      <c r="C22" s="104">
        <v>2.7269999999999999</v>
      </c>
      <c r="D22" s="104">
        <v>2.6280000000000001</v>
      </c>
      <c r="E22" s="104">
        <v>2.5539999999999998</v>
      </c>
      <c r="F22" s="104">
        <v>2.5379999999999998</v>
      </c>
      <c r="G22" s="104">
        <v>2.544</v>
      </c>
      <c r="H22" s="104">
        <v>2.544</v>
      </c>
      <c r="I22" s="104">
        <v>2.5449999999999999</v>
      </c>
      <c r="J22" s="129">
        <v>10</v>
      </c>
      <c r="K22" s="101">
        <v>11</v>
      </c>
      <c r="L22" s="101" t="s">
        <v>58</v>
      </c>
      <c r="M22" s="101" t="s">
        <v>7</v>
      </c>
      <c r="N22" s="101" t="s">
        <v>41</v>
      </c>
    </row>
    <row r="23" spans="1:17" s="3" customFormat="1" ht="15">
      <c r="A23" s="69"/>
      <c r="B23" s="3" t="s">
        <v>544</v>
      </c>
      <c r="C23" s="11">
        <f>SUM(C19:C22)</f>
        <v>21.884999999999998</v>
      </c>
      <c r="D23" s="11">
        <f t="shared" ref="D23:I23" si="1">SUM(D19:D22)</f>
        <v>22.135000000000002</v>
      </c>
      <c r="E23" s="11">
        <f t="shared" si="1"/>
        <v>22.014999999999997</v>
      </c>
      <c r="F23" s="11">
        <f t="shared" si="1"/>
        <v>21.648</v>
      </c>
      <c r="G23" s="11">
        <f t="shared" si="1"/>
        <v>21.720000000000002</v>
      </c>
      <c r="H23" s="11">
        <f t="shared" si="1"/>
        <v>21.719000000000001</v>
      </c>
      <c r="I23" s="11">
        <f t="shared" si="1"/>
        <v>21.721000000000004</v>
      </c>
      <c r="L23" s="1"/>
      <c r="O23" s="69"/>
      <c r="P23" s="69"/>
    </row>
    <row r="24" spans="1:17" s="3" customFormat="1" ht="15">
      <c r="C24" s="11"/>
      <c r="D24" s="11"/>
      <c r="E24" s="11"/>
      <c r="F24" s="11"/>
      <c r="G24" s="11"/>
      <c r="H24" s="11"/>
      <c r="I24" s="11"/>
      <c r="L24" s="1"/>
      <c r="O24" s="69"/>
      <c r="P24" s="69"/>
    </row>
    <row r="25" spans="1:17" s="3" customFormat="1" ht="15">
      <c r="A25" s="13"/>
      <c r="B25" s="13" t="s">
        <v>65</v>
      </c>
      <c r="C25" s="50"/>
      <c r="D25" s="50"/>
      <c r="E25" s="50"/>
      <c r="F25" s="50"/>
      <c r="G25" s="50"/>
      <c r="H25" s="50"/>
      <c r="I25" s="50"/>
      <c r="J25" s="13"/>
      <c r="K25" s="13"/>
      <c r="L25" s="12"/>
      <c r="M25" s="13"/>
      <c r="N25" s="13"/>
      <c r="O25" s="69"/>
      <c r="P25" s="69"/>
    </row>
    <row r="26" spans="1:17" s="1" customFormat="1">
      <c r="A26" s="101" t="s">
        <v>412</v>
      </c>
      <c r="B26" s="85" t="s">
        <v>572</v>
      </c>
      <c r="C26" s="86">
        <v>2.0590000000000002</v>
      </c>
      <c r="D26" s="86">
        <v>2.8839999999999999</v>
      </c>
      <c r="E26" s="86">
        <v>2.468</v>
      </c>
      <c r="F26" s="86">
        <v>2.528</v>
      </c>
      <c r="G26" s="86">
        <v>2.8580000000000001</v>
      </c>
      <c r="H26" s="86">
        <v>2.9710000000000001</v>
      </c>
      <c r="I26" s="86">
        <v>2.68</v>
      </c>
      <c r="J26" s="85">
        <v>80</v>
      </c>
      <c r="K26" s="85" t="s">
        <v>570</v>
      </c>
      <c r="L26" s="85" t="s">
        <v>575</v>
      </c>
      <c r="M26" s="7" t="s">
        <v>573</v>
      </c>
      <c r="N26" s="85" t="s">
        <v>41</v>
      </c>
      <c r="O26" s="21"/>
      <c r="P26" s="21"/>
    </row>
    <row r="27" spans="1:17" s="1" customFormat="1" ht="15" customHeight="1">
      <c r="A27" s="101" t="s">
        <v>412</v>
      </c>
      <c r="B27" s="85" t="s">
        <v>572</v>
      </c>
      <c r="C27" s="86">
        <v>0.14699999999999999</v>
      </c>
      <c r="D27" s="86">
        <v>0.20599999999999999</v>
      </c>
      <c r="E27" s="86">
        <v>0.17599999999999999</v>
      </c>
      <c r="F27" s="86">
        <v>0.18099999999999999</v>
      </c>
      <c r="G27" s="86">
        <v>0.20399999999999999</v>
      </c>
      <c r="H27" s="86">
        <v>0.21199999999999999</v>
      </c>
      <c r="I27" s="86">
        <v>0.192</v>
      </c>
      <c r="J27" s="85">
        <v>80</v>
      </c>
      <c r="K27" s="85" t="s">
        <v>570</v>
      </c>
      <c r="L27" s="85" t="s">
        <v>575</v>
      </c>
      <c r="M27" s="7" t="s">
        <v>574</v>
      </c>
      <c r="N27" s="85" t="s">
        <v>41</v>
      </c>
      <c r="O27" s="21"/>
      <c r="P27" s="21"/>
    </row>
    <row r="28" spans="1:17" s="1" customFormat="1" ht="15" customHeight="1">
      <c r="A28" s="101" t="s">
        <v>412</v>
      </c>
      <c r="B28" s="85" t="s">
        <v>572</v>
      </c>
      <c r="C28" s="86">
        <v>5.149</v>
      </c>
      <c r="D28" s="86">
        <v>7.2089999999999996</v>
      </c>
      <c r="E28" s="86">
        <v>6.1710000000000003</v>
      </c>
      <c r="F28" s="86">
        <v>6.32</v>
      </c>
      <c r="G28" s="86">
        <v>7.1440000000000001</v>
      </c>
      <c r="H28" s="86">
        <v>7.4269999999999996</v>
      </c>
      <c r="I28" s="86">
        <v>6.7</v>
      </c>
      <c r="J28" s="85">
        <v>80</v>
      </c>
      <c r="K28" s="85" t="s">
        <v>570</v>
      </c>
      <c r="L28" s="85" t="s">
        <v>575</v>
      </c>
      <c r="M28" s="7" t="s">
        <v>573</v>
      </c>
      <c r="N28" s="85" t="s">
        <v>41</v>
      </c>
      <c r="O28" s="21"/>
      <c r="P28" s="21"/>
    </row>
    <row r="29" spans="1:17" s="3" customFormat="1" ht="15">
      <c r="A29" s="69"/>
      <c r="B29" s="3" t="s">
        <v>66</v>
      </c>
      <c r="C29" s="5">
        <f t="shared" ref="C29:I29" si="2">SUM(C26:C28)</f>
        <v>7.3550000000000004</v>
      </c>
      <c r="D29" s="5">
        <f t="shared" si="2"/>
        <v>10.298999999999999</v>
      </c>
      <c r="E29" s="5">
        <f t="shared" si="2"/>
        <v>8.8150000000000013</v>
      </c>
      <c r="F29" s="5">
        <f t="shared" si="2"/>
        <v>9.0289999999999999</v>
      </c>
      <c r="G29" s="5">
        <f t="shared" si="2"/>
        <v>10.206</v>
      </c>
      <c r="H29" s="5">
        <f t="shared" si="2"/>
        <v>10.61</v>
      </c>
      <c r="I29" s="5">
        <f t="shared" si="2"/>
        <v>9.572000000000001</v>
      </c>
      <c r="L29" s="1"/>
      <c r="O29" s="69"/>
      <c r="P29" s="69"/>
    </row>
    <row r="30" spans="1:17" s="1" customFormat="1">
      <c r="C30" s="154"/>
      <c r="D30" s="154"/>
      <c r="E30" s="154"/>
      <c r="F30" s="154"/>
      <c r="G30" s="154"/>
      <c r="H30" s="154"/>
      <c r="I30" s="261"/>
      <c r="J30" s="49"/>
      <c r="O30" s="21"/>
      <c r="P30" s="21"/>
    </row>
    <row r="31" spans="1:17" s="1" customFormat="1" ht="15">
      <c r="A31" s="12"/>
      <c r="B31" s="13" t="s">
        <v>45</v>
      </c>
      <c r="C31" s="51"/>
      <c r="D31" s="51"/>
      <c r="E31" s="51"/>
      <c r="F31" s="51"/>
      <c r="G31" s="51"/>
      <c r="H31" s="51"/>
      <c r="I31" s="51"/>
      <c r="J31" s="12"/>
      <c r="K31" s="12"/>
      <c r="L31" s="12"/>
      <c r="M31" s="12"/>
      <c r="N31" s="12"/>
      <c r="O31" s="21"/>
      <c r="P31" s="21"/>
      <c r="Q31" s="56"/>
    </row>
    <row r="32" spans="1:17" s="21" customFormat="1">
      <c r="A32" s="112">
        <v>7</v>
      </c>
      <c r="B32" s="113" t="s">
        <v>83</v>
      </c>
      <c r="C32" s="116">
        <v>2480.4852937960036</v>
      </c>
      <c r="D32" s="116">
        <v>2528.9882887620761</v>
      </c>
      <c r="E32" s="116">
        <v>2558.1559570849508</v>
      </c>
      <c r="F32" s="116">
        <v>2583.5016716172881</v>
      </c>
      <c r="G32" s="116">
        <v>2570.2169068544322</v>
      </c>
      <c r="H32" s="116">
        <v>2577.3556345788365</v>
      </c>
      <c r="I32" s="116">
        <v>2599.7374194230247</v>
      </c>
      <c r="J32" s="135">
        <v>60.360060591986993</v>
      </c>
      <c r="K32" s="115" t="s">
        <v>399</v>
      </c>
      <c r="L32" s="113" t="s">
        <v>553</v>
      </c>
      <c r="M32" s="115"/>
      <c r="N32" s="113" t="s">
        <v>40</v>
      </c>
      <c r="O32" s="181"/>
      <c r="P32" s="181"/>
      <c r="Q32" s="121"/>
    </row>
    <row r="33" spans="1:17" s="21" customFormat="1">
      <c r="A33" s="112">
        <v>7</v>
      </c>
      <c r="B33" s="113" t="s">
        <v>84</v>
      </c>
      <c r="C33" s="116">
        <v>213.411</v>
      </c>
      <c r="D33" s="116">
        <v>213.7938</v>
      </c>
      <c r="E33" s="116">
        <v>214.30419999999998</v>
      </c>
      <c r="F33" s="116">
        <v>214.84649999999999</v>
      </c>
      <c r="G33" s="116">
        <v>215.35690000000002</v>
      </c>
      <c r="H33" s="116">
        <v>215.5164</v>
      </c>
      <c r="I33" s="116">
        <v>216.4734</v>
      </c>
      <c r="J33" s="113">
        <v>31.9</v>
      </c>
      <c r="K33" s="115" t="s">
        <v>222</v>
      </c>
      <c r="L33" s="113" t="s">
        <v>105</v>
      </c>
      <c r="M33" s="115"/>
      <c r="N33" s="113" t="s">
        <v>40</v>
      </c>
      <c r="O33" s="181"/>
      <c r="P33" s="181"/>
      <c r="Q33" s="121"/>
    </row>
    <row r="34" spans="1:17" s="21" customFormat="1" ht="12.75" customHeight="1">
      <c r="A34" s="112">
        <v>6</v>
      </c>
      <c r="B34" s="113" t="s">
        <v>638</v>
      </c>
      <c r="C34" s="116">
        <v>73.960999999999999</v>
      </c>
      <c r="D34" s="116">
        <v>80.191000000000003</v>
      </c>
      <c r="E34" s="116">
        <v>81.751000000000005</v>
      </c>
      <c r="F34" s="116">
        <v>83.302999999999997</v>
      </c>
      <c r="G34" s="116">
        <v>83.346999999999994</v>
      </c>
      <c r="H34" s="116">
        <v>83.382999999999996</v>
      </c>
      <c r="I34" s="116">
        <v>83.382999999999996</v>
      </c>
      <c r="J34" s="113">
        <v>100</v>
      </c>
      <c r="K34" s="115" t="s">
        <v>399</v>
      </c>
      <c r="L34" s="113" t="s">
        <v>553</v>
      </c>
      <c r="M34" s="115"/>
      <c r="N34" s="113" t="s">
        <v>40</v>
      </c>
      <c r="O34" s="181"/>
      <c r="P34" s="181"/>
      <c r="Q34" s="121"/>
    </row>
    <row r="35" spans="1:17" s="21" customFormat="1" ht="12.75" customHeight="1">
      <c r="A35" s="112">
        <v>7</v>
      </c>
      <c r="B35" s="157" t="s">
        <v>85</v>
      </c>
      <c r="C35" s="116">
        <v>2.1502500000000002</v>
      </c>
      <c r="D35" s="116">
        <v>2.2255499999999997</v>
      </c>
      <c r="E35" s="116">
        <v>2.1979500000000001</v>
      </c>
      <c r="F35" s="116">
        <v>2.1937500000000001</v>
      </c>
      <c r="G35" s="116">
        <v>2.1937500000000001</v>
      </c>
      <c r="H35" s="116">
        <v>2.19075</v>
      </c>
      <c r="I35" s="116">
        <v>2.19075</v>
      </c>
      <c r="J35" s="113">
        <v>15</v>
      </c>
      <c r="K35" s="115">
        <v>11</v>
      </c>
      <c r="L35" s="113" t="s">
        <v>58</v>
      </c>
      <c r="M35" s="115" t="s">
        <v>7</v>
      </c>
      <c r="N35" s="113" t="s">
        <v>40</v>
      </c>
      <c r="O35" s="181"/>
      <c r="P35" s="181"/>
      <c r="Q35" s="121"/>
    </row>
    <row r="36" spans="1:17" s="21" customFormat="1" ht="12.75" customHeight="1">
      <c r="A36" s="112">
        <v>7</v>
      </c>
      <c r="B36" s="113" t="s">
        <v>86</v>
      </c>
      <c r="C36" s="114">
        <v>0.70125000000000004</v>
      </c>
      <c r="D36" s="114">
        <v>0.71775</v>
      </c>
      <c r="E36" s="114">
        <v>0.71775</v>
      </c>
      <c r="F36" s="114">
        <v>0.71775</v>
      </c>
      <c r="G36" s="114">
        <v>0.71775</v>
      </c>
      <c r="H36" s="114">
        <v>0.71775</v>
      </c>
      <c r="I36" s="114">
        <v>0.71775</v>
      </c>
      <c r="J36" s="113">
        <v>75</v>
      </c>
      <c r="K36" s="115" t="s">
        <v>87</v>
      </c>
      <c r="L36" s="101" t="s">
        <v>88</v>
      </c>
      <c r="M36" s="113" t="s">
        <v>7</v>
      </c>
      <c r="N36" s="113" t="s">
        <v>40</v>
      </c>
      <c r="O36" s="181"/>
      <c r="P36" s="181"/>
      <c r="Q36" s="121"/>
    </row>
    <row r="37" spans="1:17" s="21" customFormat="1" ht="12.75" customHeight="1">
      <c r="A37" s="112">
        <v>16</v>
      </c>
      <c r="B37" s="113" t="s">
        <v>89</v>
      </c>
      <c r="C37" s="114">
        <v>68.075479999999999</v>
      </c>
      <c r="D37" s="114">
        <v>68.790260000000004</v>
      </c>
      <c r="E37" s="114">
        <v>68.69632</v>
      </c>
      <c r="F37" s="114">
        <v>68.694009999999992</v>
      </c>
      <c r="G37" s="114">
        <v>68.894514000000001</v>
      </c>
      <c r="H37" s="114">
        <v>68.988168000000002</v>
      </c>
      <c r="I37" s="114">
        <v>68.988168000000002</v>
      </c>
      <c r="J37" s="113">
        <v>77</v>
      </c>
      <c r="K37" s="115">
        <v>13</v>
      </c>
      <c r="L37" s="101" t="s">
        <v>109</v>
      </c>
      <c r="M37" s="113" t="s">
        <v>89</v>
      </c>
      <c r="N37" s="113" t="s">
        <v>40</v>
      </c>
      <c r="O37" s="181"/>
      <c r="P37" s="181"/>
      <c r="Q37" s="121"/>
    </row>
    <row r="38" spans="1:17" s="21" customFormat="1">
      <c r="A38" s="112">
        <v>16</v>
      </c>
      <c r="B38" s="113" t="s">
        <v>523</v>
      </c>
      <c r="C38" s="116">
        <v>9.2624999999999993</v>
      </c>
      <c r="D38" s="116">
        <v>9.3337000000000003</v>
      </c>
      <c r="E38" s="116">
        <v>4.7172999999999998</v>
      </c>
      <c r="F38" s="116">
        <v>4.7171000000000003</v>
      </c>
      <c r="G38" s="116">
        <v>4.7171000000000003</v>
      </c>
      <c r="H38" s="116">
        <v>4.7234000000000007</v>
      </c>
      <c r="I38" s="116">
        <v>4.7234000000000007</v>
      </c>
      <c r="J38" s="113">
        <v>10</v>
      </c>
      <c r="K38" s="115">
        <v>10</v>
      </c>
      <c r="L38" s="101" t="s">
        <v>68</v>
      </c>
      <c r="M38" s="113" t="s">
        <v>9</v>
      </c>
      <c r="N38" s="113" t="s">
        <v>40</v>
      </c>
      <c r="O38" s="182"/>
      <c r="P38" s="182"/>
      <c r="Q38" s="57"/>
    </row>
    <row r="39" spans="1:17" s="21" customFormat="1">
      <c r="A39" s="112">
        <v>16</v>
      </c>
      <c r="B39" s="113" t="s">
        <v>395</v>
      </c>
      <c r="C39" s="116">
        <v>6.2649999999999997</v>
      </c>
      <c r="D39" s="116">
        <v>6.2649999999999997</v>
      </c>
      <c r="E39" s="116">
        <v>6.2649999999999997</v>
      </c>
      <c r="F39" s="116">
        <v>6.2649999999999997</v>
      </c>
      <c r="G39" s="116">
        <v>6.266</v>
      </c>
      <c r="H39" s="116">
        <v>6.266</v>
      </c>
      <c r="I39" s="116">
        <v>6.266</v>
      </c>
      <c r="J39" s="138">
        <v>100</v>
      </c>
      <c r="K39" s="115" t="s">
        <v>90</v>
      </c>
      <c r="L39" s="101" t="s">
        <v>91</v>
      </c>
      <c r="M39" s="113" t="s">
        <v>92</v>
      </c>
      <c r="N39" s="113" t="s">
        <v>40</v>
      </c>
      <c r="O39" s="182"/>
      <c r="P39" s="182"/>
      <c r="Q39" s="57"/>
    </row>
    <row r="40" spans="1:17" s="21" customFormat="1">
      <c r="A40" s="112">
        <v>16</v>
      </c>
      <c r="B40" s="113" t="s">
        <v>99</v>
      </c>
      <c r="C40" s="116">
        <v>9.6080000000000005</v>
      </c>
      <c r="D40" s="116">
        <v>9.6080000000000005</v>
      </c>
      <c r="E40" s="116">
        <v>9.6080000000000005</v>
      </c>
      <c r="F40" s="116">
        <v>9.6080000000000005</v>
      </c>
      <c r="G40" s="116">
        <v>9.609</v>
      </c>
      <c r="H40" s="116">
        <v>9.609</v>
      </c>
      <c r="I40" s="116">
        <v>9.609</v>
      </c>
      <c r="J40" s="113">
        <v>100</v>
      </c>
      <c r="K40" s="115">
        <v>7</v>
      </c>
      <c r="L40" s="101" t="s">
        <v>100</v>
      </c>
      <c r="M40" s="113" t="s">
        <v>7</v>
      </c>
      <c r="N40" s="113" t="s">
        <v>40</v>
      </c>
      <c r="O40" s="181"/>
      <c r="P40" s="181"/>
      <c r="Q40" s="57"/>
    </row>
    <row r="41" spans="1:17" s="21" customFormat="1">
      <c r="A41" s="112">
        <v>16</v>
      </c>
      <c r="B41" s="113" t="s">
        <v>101</v>
      </c>
      <c r="C41" s="117">
        <v>0.221</v>
      </c>
      <c r="D41" s="117">
        <v>0.221</v>
      </c>
      <c r="E41" s="117">
        <v>0.221</v>
      </c>
      <c r="F41" s="117">
        <v>0.221</v>
      </c>
      <c r="G41" s="117">
        <v>0.221</v>
      </c>
      <c r="H41" s="117">
        <v>0.221</v>
      </c>
      <c r="I41" s="117">
        <v>0.221</v>
      </c>
      <c r="J41" s="113">
        <v>100</v>
      </c>
      <c r="K41" s="115" t="s">
        <v>102</v>
      </c>
      <c r="L41" s="101" t="s">
        <v>103</v>
      </c>
      <c r="M41" s="113" t="s">
        <v>7</v>
      </c>
      <c r="N41" s="113" t="s">
        <v>40</v>
      </c>
      <c r="O41" s="181"/>
      <c r="P41" s="181"/>
      <c r="Q41" s="57"/>
    </row>
    <row r="42" spans="1:17" s="21" customFormat="1">
      <c r="A42" s="112">
        <v>16</v>
      </c>
      <c r="B42" s="113" t="s">
        <v>93</v>
      </c>
      <c r="C42" s="117">
        <v>0.85299999999999998</v>
      </c>
      <c r="D42" s="117">
        <v>0.85299999999999998</v>
      </c>
      <c r="E42" s="117">
        <v>0.85299999999999998</v>
      </c>
      <c r="F42" s="117">
        <v>0.85299999999999998</v>
      </c>
      <c r="G42" s="117">
        <v>0.85299999999999998</v>
      </c>
      <c r="H42" s="117">
        <v>0.85299999999999998</v>
      </c>
      <c r="I42" s="117">
        <v>0.85299999999999998</v>
      </c>
      <c r="J42" s="113">
        <v>100</v>
      </c>
      <c r="K42" s="115" t="s">
        <v>90</v>
      </c>
      <c r="L42" s="101" t="s">
        <v>91</v>
      </c>
      <c r="M42" s="113" t="s">
        <v>10</v>
      </c>
      <c r="N42" s="113" t="s">
        <v>40</v>
      </c>
      <c r="O42" s="59"/>
      <c r="P42" s="59"/>
      <c r="Q42" s="57"/>
    </row>
    <row r="43" spans="1:17" s="21" customFormat="1">
      <c r="A43" s="112">
        <v>16</v>
      </c>
      <c r="B43" s="113" t="s">
        <v>94</v>
      </c>
      <c r="C43" s="117">
        <v>5.1980000000000004</v>
      </c>
      <c r="D43" s="117">
        <v>5.1980000000000004</v>
      </c>
      <c r="E43" s="117">
        <v>5.1980000000000004</v>
      </c>
      <c r="F43" s="117">
        <v>5.1980000000000004</v>
      </c>
      <c r="G43" s="117">
        <v>5.1980000000000004</v>
      </c>
      <c r="H43" s="117">
        <v>5.1980000000000004</v>
      </c>
      <c r="I43" s="117">
        <v>5.1980000000000004</v>
      </c>
      <c r="J43" s="113">
        <v>100</v>
      </c>
      <c r="K43" s="115" t="s">
        <v>90</v>
      </c>
      <c r="L43" s="101" t="s">
        <v>91</v>
      </c>
      <c r="M43" s="113" t="s">
        <v>10</v>
      </c>
      <c r="N43" s="113" t="s">
        <v>40</v>
      </c>
      <c r="O43" s="181"/>
      <c r="P43" s="181"/>
      <c r="Q43" s="183"/>
    </row>
    <row r="44" spans="1:17" s="21" customFormat="1">
      <c r="A44" s="112">
        <v>16</v>
      </c>
      <c r="B44" s="113" t="s">
        <v>97</v>
      </c>
      <c r="C44" s="117">
        <v>49.890999999999998</v>
      </c>
      <c r="D44" s="117">
        <v>44.8</v>
      </c>
      <c r="E44" s="117">
        <v>44.8</v>
      </c>
      <c r="F44" s="117">
        <v>44.8</v>
      </c>
      <c r="G44" s="117">
        <v>44.8</v>
      </c>
      <c r="H44" s="117">
        <v>44.8</v>
      </c>
      <c r="I44" s="117">
        <v>44.8</v>
      </c>
      <c r="J44" s="113">
        <v>100</v>
      </c>
      <c r="K44" s="115" t="s">
        <v>90</v>
      </c>
      <c r="L44" s="101" t="s">
        <v>91</v>
      </c>
      <c r="M44" s="113" t="s">
        <v>10</v>
      </c>
      <c r="N44" s="113" t="s">
        <v>40</v>
      </c>
      <c r="O44" s="183"/>
      <c r="P44" s="183"/>
      <c r="Q44" s="121"/>
    </row>
    <row r="45" spans="1:17" s="21" customFormat="1">
      <c r="A45" s="112">
        <v>16</v>
      </c>
      <c r="B45" s="113" t="s">
        <v>98</v>
      </c>
      <c r="C45" s="116">
        <v>8.7729999999999997</v>
      </c>
      <c r="D45" s="116">
        <v>10.019</v>
      </c>
      <c r="E45" s="116">
        <v>10.019</v>
      </c>
      <c r="F45" s="116">
        <v>10.019</v>
      </c>
      <c r="G45" s="116">
        <v>10.019</v>
      </c>
      <c r="H45" s="116">
        <v>10.019</v>
      </c>
      <c r="I45" s="116">
        <v>10.019</v>
      </c>
      <c r="J45" s="113">
        <v>100</v>
      </c>
      <c r="K45" s="115" t="s">
        <v>90</v>
      </c>
      <c r="L45" s="101" t="s">
        <v>91</v>
      </c>
      <c r="M45" s="113" t="s">
        <v>10</v>
      </c>
      <c r="N45" s="113" t="s">
        <v>40</v>
      </c>
      <c r="O45" s="181"/>
      <c r="P45" s="181"/>
      <c r="Q45" s="121"/>
    </row>
    <row r="46" spans="1:17" s="21" customFormat="1">
      <c r="A46" s="112">
        <v>14</v>
      </c>
      <c r="B46" s="113" t="s">
        <v>524</v>
      </c>
      <c r="C46" s="116"/>
      <c r="D46" s="116">
        <v>9.0999999999999998E-2</v>
      </c>
      <c r="E46" s="116">
        <v>4.8</v>
      </c>
      <c r="F46" s="116">
        <v>4.9749999999999996</v>
      </c>
      <c r="G46" s="116">
        <v>5</v>
      </c>
      <c r="H46" s="116">
        <v>4.9000000000000004</v>
      </c>
      <c r="I46" s="116">
        <v>4.9000000000000004</v>
      </c>
      <c r="J46" s="113">
        <v>10</v>
      </c>
      <c r="K46" s="115">
        <v>10</v>
      </c>
      <c r="L46" s="101" t="s">
        <v>68</v>
      </c>
      <c r="M46" s="113" t="s">
        <v>9</v>
      </c>
      <c r="N46" s="113" t="s">
        <v>40</v>
      </c>
      <c r="O46" s="181"/>
      <c r="P46" s="181"/>
      <c r="Q46" s="121"/>
    </row>
    <row r="47" spans="1:17" s="21" customFormat="1">
      <c r="A47" s="112" t="s">
        <v>113</v>
      </c>
      <c r="B47" s="113" t="s">
        <v>251</v>
      </c>
      <c r="C47" s="116">
        <v>8.8268400000000007</v>
      </c>
      <c r="D47" s="116">
        <v>9.6365700000000007</v>
      </c>
      <c r="E47" s="116">
        <v>8.7974099999999993</v>
      </c>
      <c r="F47" s="116">
        <v>8.7955199999999998</v>
      </c>
      <c r="G47" s="116">
        <v>8.80335</v>
      </c>
      <c r="H47" s="116">
        <v>8.6135400000000004</v>
      </c>
      <c r="I47" s="116">
        <v>8.6135400000000004</v>
      </c>
      <c r="J47" s="113">
        <v>27</v>
      </c>
      <c r="K47" s="115">
        <v>10</v>
      </c>
      <c r="L47" s="101" t="s">
        <v>68</v>
      </c>
      <c r="M47" s="113" t="s">
        <v>9</v>
      </c>
      <c r="N47" s="113" t="s">
        <v>40</v>
      </c>
      <c r="O47" s="181"/>
      <c r="P47" s="181"/>
      <c r="Q47" s="121"/>
    </row>
    <row r="48" spans="1:17" s="21" customFormat="1">
      <c r="A48" s="112" t="s">
        <v>113</v>
      </c>
      <c r="B48" s="113" t="s">
        <v>114</v>
      </c>
      <c r="C48" s="116">
        <v>0.30893999999999999</v>
      </c>
      <c r="D48" s="116">
        <v>0.31583999999999995</v>
      </c>
      <c r="E48" s="116">
        <v>0.31583999999999995</v>
      </c>
      <c r="F48" s="116">
        <v>0.31583999999999995</v>
      </c>
      <c r="G48" s="116">
        <v>0.31583999999999995</v>
      </c>
      <c r="H48" s="116">
        <v>0.31583999999999995</v>
      </c>
      <c r="I48" s="116">
        <v>0.31583999999999995</v>
      </c>
      <c r="J48" s="113">
        <v>6</v>
      </c>
      <c r="K48" s="115">
        <v>10</v>
      </c>
      <c r="L48" s="101" t="s">
        <v>68</v>
      </c>
      <c r="M48" s="113" t="s">
        <v>9</v>
      </c>
      <c r="N48" s="113" t="s">
        <v>40</v>
      </c>
      <c r="O48" s="181"/>
      <c r="P48" s="181"/>
      <c r="Q48" s="121"/>
    </row>
    <row r="49" spans="1:17" s="21" customFormat="1">
      <c r="A49" s="112" t="s">
        <v>113</v>
      </c>
      <c r="B49" s="113" t="s">
        <v>116</v>
      </c>
      <c r="C49" s="116">
        <v>0.74399999999999999</v>
      </c>
      <c r="D49" s="116">
        <v>0.76200000000000001</v>
      </c>
      <c r="E49" s="116">
        <v>0.76200000000000001</v>
      </c>
      <c r="F49" s="116">
        <v>0.76200000000000001</v>
      </c>
      <c r="G49" s="116">
        <v>0.76200000000000001</v>
      </c>
      <c r="H49" s="116">
        <v>0.76200000000000001</v>
      </c>
      <c r="I49" s="116">
        <v>0.76200000000000001</v>
      </c>
      <c r="J49" s="113">
        <v>100</v>
      </c>
      <c r="K49" s="115">
        <v>10</v>
      </c>
      <c r="L49" s="101" t="s">
        <v>68</v>
      </c>
      <c r="M49" s="113" t="s">
        <v>7</v>
      </c>
      <c r="N49" s="113" t="s">
        <v>40</v>
      </c>
      <c r="O49" s="181"/>
      <c r="P49" s="181"/>
      <c r="Q49" s="121"/>
    </row>
    <row r="50" spans="1:17" s="21" customFormat="1">
      <c r="A50" s="112">
        <v>16</v>
      </c>
      <c r="B50" s="113" t="s">
        <v>20</v>
      </c>
      <c r="C50" s="116">
        <f>SUM(C51:C53)</f>
        <v>441.13966651209813</v>
      </c>
      <c r="D50" s="116">
        <f t="shared" ref="D50:I50" si="3">SUM(D51:D53)</f>
        <v>579.41203315666723</v>
      </c>
      <c r="E50" s="116">
        <f t="shared" si="3"/>
        <v>638.31385936553625</v>
      </c>
      <c r="F50" s="116">
        <f t="shared" si="3"/>
        <v>667.1294906096756</v>
      </c>
      <c r="G50" s="116">
        <f t="shared" si="3"/>
        <v>665.31254600474699</v>
      </c>
      <c r="H50" s="116">
        <f t="shared" si="3"/>
        <v>666.53900682391441</v>
      </c>
      <c r="I50" s="116">
        <f t="shared" si="3"/>
        <v>666.53900682391441</v>
      </c>
      <c r="J50" s="113">
        <v>93</v>
      </c>
      <c r="K50" s="115">
        <v>13</v>
      </c>
      <c r="L50" s="101" t="s">
        <v>109</v>
      </c>
      <c r="M50" s="113" t="s">
        <v>20</v>
      </c>
      <c r="N50" s="113" t="s">
        <v>247</v>
      </c>
      <c r="O50" s="181"/>
      <c r="P50" s="262"/>
      <c r="Q50" s="121"/>
    </row>
    <row r="51" spans="1:17" s="131" customFormat="1">
      <c r="A51" s="263">
        <v>16</v>
      </c>
      <c r="B51" s="264" t="s">
        <v>653</v>
      </c>
      <c r="C51" s="265">
        <v>87.733263866800868</v>
      </c>
      <c r="D51" s="265">
        <v>97.094660111816012</v>
      </c>
      <c r="E51" s="265">
        <v>122.20507594467134</v>
      </c>
      <c r="F51" s="265">
        <v>122.20507594467134</v>
      </c>
      <c r="G51" s="265">
        <v>122.20507594467134</v>
      </c>
      <c r="H51" s="265">
        <v>122.20507594467134</v>
      </c>
      <c r="I51" s="265">
        <v>122.20507594467134</v>
      </c>
      <c r="J51" s="266"/>
      <c r="K51" s="267"/>
      <c r="L51" s="268"/>
      <c r="M51" s="266"/>
      <c r="N51" s="266" t="s">
        <v>652</v>
      </c>
      <c r="O51" s="269"/>
      <c r="P51" s="269"/>
      <c r="Q51" s="270"/>
    </row>
    <row r="52" spans="1:17" s="131" customFormat="1">
      <c r="A52" s="263">
        <v>16</v>
      </c>
      <c r="B52" s="264" t="s">
        <v>654</v>
      </c>
      <c r="C52" s="265">
        <v>353.40640264529725</v>
      </c>
      <c r="D52" s="265">
        <v>412.31737304485125</v>
      </c>
      <c r="E52" s="265">
        <v>408.10878342086494</v>
      </c>
      <c r="F52" s="265">
        <v>414.92441466500429</v>
      </c>
      <c r="G52" s="265">
        <v>413.10747006007568</v>
      </c>
      <c r="H52" s="265">
        <v>414.3339308792431</v>
      </c>
      <c r="I52" s="265">
        <v>414.3339308792431</v>
      </c>
      <c r="J52" s="266"/>
      <c r="K52" s="267"/>
      <c r="L52" s="268">
        <f>E51/E50</f>
        <v>0.19144982386273002</v>
      </c>
      <c r="M52" s="266"/>
      <c r="N52" s="266" t="s">
        <v>41</v>
      </c>
      <c r="O52" s="269"/>
      <c r="P52" s="269"/>
      <c r="Q52" s="270"/>
    </row>
    <row r="53" spans="1:17" s="131" customFormat="1">
      <c r="A53" s="263"/>
      <c r="B53" s="264" t="s">
        <v>675</v>
      </c>
      <c r="C53" s="265"/>
      <c r="D53" s="265">
        <f>'R&amp;D'!D40</f>
        <v>70</v>
      </c>
      <c r="E53" s="265">
        <f>'R&amp;D'!E40</f>
        <v>108</v>
      </c>
      <c r="F53" s="265">
        <f>'R&amp;D'!F40</f>
        <v>130</v>
      </c>
      <c r="G53" s="265">
        <f>'R&amp;D'!G40</f>
        <v>130</v>
      </c>
      <c r="H53" s="265">
        <f>'R&amp;D'!H40</f>
        <v>130</v>
      </c>
      <c r="I53" s="265">
        <f>'R&amp;D'!I40</f>
        <v>130</v>
      </c>
      <c r="J53" s="266"/>
      <c r="K53" s="267"/>
      <c r="L53" s="271">
        <f>E50-E51</f>
        <v>516.10878342086494</v>
      </c>
      <c r="M53" s="266"/>
      <c r="N53" s="266" t="s">
        <v>41</v>
      </c>
      <c r="O53" s="269"/>
      <c r="P53" s="269"/>
      <c r="Q53" s="270"/>
    </row>
    <row r="54" spans="1:17" s="21" customFormat="1">
      <c r="A54" s="112">
        <v>6</v>
      </c>
      <c r="B54" s="113" t="s">
        <v>392</v>
      </c>
      <c r="C54" s="116">
        <v>29.329000000000001</v>
      </c>
      <c r="D54" s="116">
        <v>45.963000000000001</v>
      </c>
      <c r="E54" s="116">
        <v>48.512999999999998</v>
      </c>
      <c r="F54" s="116">
        <v>52.015000000000001</v>
      </c>
      <c r="G54" s="116">
        <v>52.012999999999998</v>
      </c>
      <c r="H54" s="116">
        <v>52.064999999999998</v>
      </c>
      <c r="I54" s="116">
        <v>52.064999999999998</v>
      </c>
      <c r="J54" s="113">
        <v>100</v>
      </c>
      <c r="K54" s="115" t="s">
        <v>399</v>
      </c>
      <c r="L54" s="101" t="s">
        <v>553</v>
      </c>
      <c r="M54" s="113"/>
      <c r="N54" s="113" t="s">
        <v>41</v>
      </c>
      <c r="O54" s="59"/>
      <c r="P54" s="59"/>
      <c r="Q54" s="57"/>
    </row>
    <row r="55" spans="1:17" s="21" customFormat="1">
      <c r="A55" s="112">
        <v>16</v>
      </c>
      <c r="B55" s="113" t="s">
        <v>400</v>
      </c>
      <c r="C55" s="116">
        <v>161.24600000000001</v>
      </c>
      <c r="D55" s="116">
        <v>160.88499999999999</v>
      </c>
      <c r="E55" s="116">
        <v>170.88499999999999</v>
      </c>
      <c r="F55" s="116">
        <v>165.88499999999999</v>
      </c>
      <c r="G55" s="116">
        <v>165.88499999999999</v>
      </c>
      <c r="H55" s="116">
        <v>165.88499999999999</v>
      </c>
      <c r="I55" s="116">
        <v>165.88499999999999</v>
      </c>
      <c r="J55" s="113">
        <v>100</v>
      </c>
      <c r="K55" s="115">
        <v>13</v>
      </c>
      <c r="L55" s="101" t="s">
        <v>109</v>
      </c>
      <c r="M55" s="113" t="s">
        <v>20</v>
      </c>
      <c r="N55" s="113" t="s">
        <v>41</v>
      </c>
      <c r="O55" s="59"/>
      <c r="P55" s="59"/>
      <c r="Q55" s="57"/>
    </row>
    <row r="56" spans="1:17" s="21" customFormat="1">
      <c r="A56" s="112">
        <v>16</v>
      </c>
      <c r="B56" s="113" t="s">
        <v>248</v>
      </c>
      <c r="C56" s="116">
        <v>8</v>
      </c>
      <c r="D56" s="116">
        <v>8</v>
      </c>
      <c r="E56" s="116">
        <v>8</v>
      </c>
      <c r="F56" s="116">
        <v>8</v>
      </c>
      <c r="G56" s="116">
        <v>8</v>
      </c>
      <c r="H56" s="116">
        <v>8</v>
      </c>
      <c r="I56" s="116">
        <v>8</v>
      </c>
      <c r="J56" s="113">
        <v>100</v>
      </c>
      <c r="K56" s="115" t="s">
        <v>102</v>
      </c>
      <c r="L56" s="101" t="s">
        <v>103</v>
      </c>
      <c r="M56" s="113" t="s">
        <v>108</v>
      </c>
      <c r="N56" s="113" t="s">
        <v>41</v>
      </c>
      <c r="O56" s="181"/>
      <c r="P56" s="181"/>
      <c r="Q56" s="121"/>
    </row>
    <row r="57" spans="1:17" s="21" customFormat="1">
      <c r="A57" s="112">
        <v>16</v>
      </c>
      <c r="B57" s="113" t="s">
        <v>249</v>
      </c>
      <c r="C57" s="116">
        <v>55.381999999999998</v>
      </c>
      <c r="D57" s="116">
        <v>85.38</v>
      </c>
      <c r="E57" s="116">
        <v>85.38</v>
      </c>
      <c r="F57" s="116">
        <v>55.38</v>
      </c>
      <c r="G57" s="116">
        <v>55.38</v>
      </c>
      <c r="H57" s="116">
        <v>55.38</v>
      </c>
      <c r="I57" s="116">
        <v>55.38</v>
      </c>
      <c r="J57" s="113">
        <v>100</v>
      </c>
      <c r="K57" s="115">
        <v>13</v>
      </c>
      <c r="L57" s="101" t="s">
        <v>109</v>
      </c>
      <c r="M57" s="113" t="s">
        <v>20</v>
      </c>
      <c r="N57" s="113" t="s">
        <v>41</v>
      </c>
      <c r="O57" s="181"/>
      <c r="P57" s="181"/>
      <c r="Q57" s="121"/>
    </row>
    <row r="58" spans="1:17" s="21" customFormat="1">
      <c r="A58" s="112">
        <v>16</v>
      </c>
      <c r="B58" s="113" t="s">
        <v>250</v>
      </c>
      <c r="C58" s="116">
        <v>25.933</v>
      </c>
      <c r="D58" s="116">
        <v>24.347999999999999</v>
      </c>
      <c r="E58" s="116">
        <v>20.89</v>
      </c>
      <c r="F58" s="116">
        <v>19.943999999999999</v>
      </c>
      <c r="G58" s="116">
        <v>17.452000000000002</v>
      </c>
      <c r="H58" s="116">
        <v>16.251999999999999</v>
      </c>
      <c r="I58" s="116">
        <v>16.251999999999999</v>
      </c>
      <c r="J58" s="113">
        <v>100</v>
      </c>
      <c r="K58" s="115">
        <v>9</v>
      </c>
      <c r="L58" s="101" t="s">
        <v>107</v>
      </c>
      <c r="M58" s="113" t="s">
        <v>20</v>
      </c>
      <c r="N58" s="113" t="s">
        <v>41</v>
      </c>
      <c r="O58" s="181"/>
      <c r="P58" s="181"/>
      <c r="Q58" s="121"/>
    </row>
    <row r="59" spans="1:17" s="21" customFormat="1">
      <c r="A59" s="112">
        <v>16</v>
      </c>
      <c r="B59" s="113" t="s">
        <v>398</v>
      </c>
      <c r="C59" s="116">
        <v>2.5</v>
      </c>
      <c r="D59" s="116">
        <v>2.5</v>
      </c>
      <c r="E59" s="116">
        <v>2.5</v>
      </c>
      <c r="F59" s="116">
        <v>2.5</v>
      </c>
      <c r="G59" s="116">
        <v>2.5</v>
      </c>
      <c r="H59" s="116">
        <v>2.5</v>
      </c>
      <c r="I59" s="116">
        <v>2.5</v>
      </c>
      <c r="J59" s="113">
        <v>100</v>
      </c>
      <c r="K59" s="115">
        <v>1</v>
      </c>
      <c r="L59" s="101" t="s">
        <v>110</v>
      </c>
      <c r="M59" s="113" t="s">
        <v>20</v>
      </c>
      <c r="N59" s="113" t="s">
        <v>41</v>
      </c>
      <c r="O59" s="181"/>
      <c r="P59" s="181"/>
      <c r="Q59" s="121"/>
    </row>
    <row r="60" spans="1:17" s="21" customFormat="1">
      <c r="A60" s="112">
        <v>16</v>
      </c>
      <c r="B60" s="113" t="s">
        <v>104</v>
      </c>
      <c r="C60" s="116">
        <v>3.1469999999999998</v>
      </c>
      <c r="D60" s="116">
        <v>3.1469999999999998</v>
      </c>
      <c r="E60" s="116">
        <v>3.1469999999999998</v>
      </c>
      <c r="F60" s="116">
        <v>3.1469999999999998</v>
      </c>
      <c r="G60" s="116">
        <v>1.5</v>
      </c>
      <c r="H60" s="116">
        <v>1.5</v>
      </c>
      <c r="I60" s="116">
        <v>1.5</v>
      </c>
      <c r="J60" s="113">
        <v>100</v>
      </c>
      <c r="K60" s="115" t="s">
        <v>90</v>
      </c>
      <c r="L60" s="101" t="s">
        <v>91</v>
      </c>
      <c r="M60" s="113" t="s">
        <v>20</v>
      </c>
      <c r="N60" s="113" t="s">
        <v>41</v>
      </c>
      <c r="O60" s="181"/>
      <c r="P60" s="181"/>
      <c r="Q60" s="121"/>
    </row>
    <row r="61" spans="1:17" s="6" customFormat="1">
      <c r="A61" s="112">
        <v>16</v>
      </c>
      <c r="B61" s="113" t="s">
        <v>111</v>
      </c>
      <c r="C61" s="116">
        <v>0.627</v>
      </c>
      <c r="D61" s="116">
        <v>2.0945</v>
      </c>
      <c r="E61" s="116">
        <v>2.5975000000000001</v>
      </c>
      <c r="F61" s="116">
        <v>2.9015</v>
      </c>
      <c r="G61" s="116">
        <v>3.1259999999999999</v>
      </c>
      <c r="H61" s="116">
        <v>3.1259999999999999</v>
      </c>
      <c r="I61" s="116">
        <v>3.1259999999999999</v>
      </c>
      <c r="J61" s="113">
        <v>50</v>
      </c>
      <c r="K61" s="115">
        <v>13</v>
      </c>
      <c r="L61" s="101" t="s">
        <v>109</v>
      </c>
      <c r="M61" s="113" t="s">
        <v>41</v>
      </c>
      <c r="N61" s="113" t="s">
        <v>41</v>
      </c>
      <c r="O61" s="59"/>
      <c r="P61" s="59"/>
      <c r="Q61" s="57"/>
    </row>
    <row r="62" spans="1:17" s="21" customFormat="1">
      <c r="A62" s="112">
        <v>16</v>
      </c>
      <c r="B62" s="113" t="s">
        <v>112</v>
      </c>
      <c r="C62" s="116">
        <v>0</v>
      </c>
      <c r="D62" s="116">
        <v>0</v>
      </c>
      <c r="E62" s="116">
        <v>0</v>
      </c>
      <c r="F62" s="116">
        <v>0</v>
      </c>
      <c r="G62" s="116">
        <v>0</v>
      </c>
      <c r="H62" s="116">
        <v>0</v>
      </c>
      <c r="I62" s="116">
        <v>0</v>
      </c>
      <c r="J62" s="113">
        <v>100</v>
      </c>
      <c r="K62" s="115">
        <v>13</v>
      </c>
      <c r="L62" s="101" t="s">
        <v>109</v>
      </c>
      <c r="M62" s="113" t="s">
        <v>41</v>
      </c>
      <c r="N62" s="113" t="s">
        <v>41</v>
      </c>
      <c r="O62" s="181"/>
      <c r="P62" s="181"/>
      <c r="Q62" s="121"/>
    </row>
    <row r="63" spans="1:17" s="21" customFormat="1">
      <c r="A63" s="112">
        <v>16</v>
      </c>
      <c r="B63" s="113" t="s">
        <v>95</v>
      </c>
      <c r="C63" s="116">
        <v>31.065000000000001</v>
      </c>
      <c r="D63" s="116">
        <v>31.065000000000001</v>
      </c>
      <c r="E63" s="116">
        <v>31.065000000000001</v>
      </c>
      <c r="F63" s="116">
        <v>31.065000000000001</v>
      </c>
      <c r="G63" s="116">
        <v>31.065000000000001</v>
      </c>
      <c r="H63" s="116">
        <v>31.065000000000001</v>
      </c>
      <c r="I63" s="184">
        <v>31.065000000000001</v>
      </c>
      <c r="J63" s="113">
        <v>100</v>
      </c>
      <c r="K63" s="115">
        <v>3</v>
      </c>
      <c r="L63" s="101" t="s">
        <v>96</v>
      </c>
      <c r="M63" s="113" t="s">
        <v>10</v>
      </c>
      <c r="N63" s="113" t="s">
        <v>41</v>
      </c>
      <c r="O63" s="181"/>
      <c r="P63" s="181"/>
      <c r="Q63" s="121"/>
    </row>
    <row r="64" spans="1:17" s="21" customFormat="1" ht="15" customHeight="1">
      <c r="A64" s="112" t="s">
        <v>406</v>
      </c>
      <c r="B64" s="113" t="s">
        <v>403</v>
      </c>
      <c r="C64" s="116">
        <v>2.6</v>
      </c>
      <c r="D64" s="116">
        <v>3.6</v>
      </c>
      <c r="E64" s="116">
        <v>3.6</v>
      </c>
      <c r="F64" s="116">
        <v>3.6</v>
      </c>
      <c r="G64" s="116">
        <v>3.6</v>
      </c>
      <c r="H64" s="116">
        <v>3.6</v>
      </c>
      <c r="I64" s="184">
        <v>3.6</v>
      </c>
      <c r="J64" s="113">
        <v>100</v>
      </c>
      <c r="K64" s="115">
        <v>9</v>
      </c>
      <c r="L64" s="101" t="s">
        <v>107</v>
      </c>
      <c r="M64" s="113" t="s">
        <v>41</v>
      </c>
      <c r="N64" s="113" t="s">
        <v>41</v>
      </c>
      <c r="O64" s="181"/>
      <c r="P64" s="181"/>
      <c r="Q64" s="121"/>
    </row>
    <row r="65" spans="1:17" s="21" customFormat="1" ht="15" customHeight="1">
      <c r="A65" s="112" t="s">
        <v>113</v>
      </c>
      <c r="B65" s="113" t="s">
        <v>115</v>
      </c>
      <c r="C65" s="116">
        <v>2.2330000000000001</v>
      </c>
      <c r="D65" s="116">
        <v>1.9379999999999999</v>
      </c>
      <c r="E65" s="116">
        <v>2.101</v>
      </c>
      <c r="F65" s="116">
        <v>2.0760000000000001</v>
      </c>
      <c r="G65" s="116">
        <v>2.1259999999999999</v>
      </c>
      <c r="H65" s="116">
        <v>2.101</v>
      </c>
      <c r="I65" s="116">
        <v>1.976</v>
      </c>
      <c r="J65" s="113">
        <v>100</v>
      </c>
      <c r="K65" s="115">
        <v>10</v>
      </c>
      <c r="L65" s="101" t="s">
        <v>68</v>
      </c>
      <c r="M65" s="113" t="s">
        <v>41</v>
      </c>
      <c r="N65" s="113" t="s">
        <v>41</v>
      </c>
      <c r="O65" s="181"/>
      <c r="P65" s="181"/>
      <c r="Q65" s="121"/>
    </row>
    <row r="66" spans="1:17" s="3" customFormat="1" ht="15">
      <c r="A66" s="69"/>
      <c r="B66" s="3" t="s">
        <v>64</v>
      </c>
      <c r="C66" s="11">
        <f>SUM(C32:C65)-C50</f>
        <v>3701.937220308103</v>
      </c>
      <c r="D66" s="11">
        <f t="shared" ref="D66:I66" si="4">SUM(D32:D65)-D50</f>
        <v>3940.1422919187435</v>
      </c>
      <c r="E66" s="11">
        <f t="shared" si="4"/>
        <v>4039.1720864504882</v>
      </c>
      <c r="F66" s="11">
        <f t="shared" si="4"/>
        <v>4063.4291322269646</v>
      </c>
      <c r="G66" s="11">
        <f t="shared" si="4"/>
        <v>4045.2506568591816</v>
      </c>
      <c r="H66" s="11">
        <f t="shared" si="4"/>
        <v>4052.4454894027508</v>
      </c>
      <c r="I66" s="11">
        <f t="shared" si="4"/>
        <v>4075.6592742469388</v>
      </c>
      <c r="L66" s="1"/>
      <c r="O66" s="69"/>
      <c r="P66" s="69"/>
    </row>
    <row r="67" spans="1:17">
      <c r="C67" s="52"/>
      <c r="D67" s="52"/>
      <c r="E67" s="52"/>
      <c r="F67" s="52"/>
      <c r="G67" s="52"/>
      <c r="H67" s="52"/>
      <c r="I67" s="52"/>
    </row>
    <row r="68" spans="1:17" s="1" customFormat="1" ht="15">
      <c r="A68" s="12"/>
      <c r="B68" s="13" t="s">
        <v>54</v>
      </c>
      <c r="C68" s="51"/>
      <c r="D68" s="51"/>
      <c r="E68" s="51"/>
      <c r="F68" s="51"/>
      <c r="G68" s="51"/>
      <c r="H68" s="51"/>
      <c r="I68" s="51"/>
      <c r="J68" s="12"/>
      <c r="K68" s="12"/>
      <c r="L68" s="12"/>
      <c r="M68" s="12"/>
      <c r="N68" s="12"/>
      <c r="O68" s="21"/>
      <c r="P68" s="21"/>
    </row>
    <row r="69" spans="1:17">
      <c r="A69" s="101" t="s">
        <v>53</v>
      </c>
      <c r="B69" s="85" t="s">
        <v>252</v>
      </c>
      <c r="C69" s="85">
        <v>36.646999999999998</v>
      </c>
      <c r="D69" s="85">
        <v>40.308</v>
      </c>
      <c r="E69" s="85">
        <v>42.808</v>
      </c>
      <c r="F69" s="85">
        <v>42.808</v>
      </c>
      <c r="G69" s="85">
        <v>42.808</v>
      </c>
      <c r="H69" s="85">
        <v>42.808</v>
      </c>
      <c r="I69" s="85">
        <v>42.808</v>
      </c>
      <c r="J69" s="85">
        <v>100</v>
      </c>
      <c r="K69" s="85">
        <v>14</v>
      </c>
      <c r="L69" s="85" t="s">
        <v>54</v>
      </c>
      <c r="M69" s="85" t="s">
        <v>396</v>
      </c>
      <c r="N69" s="4" t="s">
        <v>40</v>
      </c>
      <c r="O69" s="57"/>
      <c r="P69" s="57"/>
    </row>
    <row r="70" spans="1:17">
      <c r="A70" s="101" t="s">
        <v>53</v>
      </c>
      <c r="B70" s="85" t="s">
        <v>55</v>
      </c>
      <c r="C70" s="85">
        <v>0.51700000000000002</v>
      </c>
      <c r="D70" s="85">
        <v>0.51700000000000002</v>
      </c>
      <c r="E70" s="85">
        <v>0.51700000000000002</v>
      </c>
      <c r="F70" s="85">
        <v>0.51700000000000002</v>
      </c>
      <c r="G70" s="85">
        <v>0.51700000000000002</v>
      </c>
      <c r="H70" s="85">
        <v>0.51700000000000002</v>
      </c>
      <c r="I70" s="85">
        <v>0.51700000000000002</v>
      </c>
      <c r="J70" s="85">
        <v>100</v>
      </c>
      <c r="K70" s="85">
        <v>14</v>
      </c>
      <c r="L70" s="85" t="s">
        <v>54</v>
      </c>
      <c r="M70" s="85" t="s">
        <v>7</v>
      </c>
      <c r="N70" s="4" t="s">
        <v>40</v>
      </c>
      <c r="O70" s="57"/>
      <c r="P70" s="57"/>
    </row>
    <row r="71" spans="1:17" ht="12.75" customHeight="1">
      <c r="A71" s="101" t="s">
        <v>53</v>
      </c>
      <c r="B71" s="85" t="s">
        <v>566</v>
      </c>
      <c r="C71" s="85">
        <v>3.331</v>
      </c>
      <c r="D71" s="85">
        <v>6.766</v>
      </c>
      <c r="E71" s="85">
        <v>6.86</v>
      </c>
      <c r="F71" s="85">
        <v>8.89</v>
      </c>
      <c r="G71" s="85">
        <v>8.9209999999999994</v>
      </c>
      <c r="H71" s="85">
        <v>8.9510000000000005</v>
      </c>
      <c r="I71" s="85">
        <v>8.9510000000000005</v>
      </c>
      <c r="J71" s="85">
        <v>100</v>
      </c>
      <c r="K71" s="85">
        <v>14</v>
      </c>
      <c r="L71" s="85" t="s">
        <v>54</v>
      </c>
      <c r="M71" s="85" t="s">
        <v>11</v>
      </c>
      <c r="N71" s="4" t="s">
        <v>41</v>
      </c>
      <c r="O71" s="57"/>
      <c r="P71" s="57"/>
    </row>
    <row r="72" spans="1:17" ht="12.75" customHeight="1">
      <c r="A72" s="101" t="s">
        <v>53</v>
      </c>
      <c r="B72" s="85" t="s">
        <v>567</v>
      </c>
      <c r="C72" s="85">
        <v>13.981999999999999</v>
      </c>
      <c r="D72" s="85">
        <v>19.521000000000001</v>
      </c>
      <c r="E72" s="85">
        <v>20.053000000000001</v>
      </c>
      <c r="F72" s="85">
        <v>20.052</v>
      </c>
      <c r="G72" s="85">
        <v>20.052</v>
      </c>
      <c r="H72" s="85">
        <v>20.052</v>
      </c>
      <c r="I72" s="85">
        <v>20.052</v>
      </c>
      <c r="J72" s="85">
        <v>100</v>
      </c>
      <c r="K72" s="85">
        <v>14</v>
      </c>
      <c r="L72" s="85" t="s">
        <v>54</v>
      </c>
      <c r="M72" s="85" t="s">
        <v>397</v>
      </c>
      <c r="N72" s="4" t="s">
        <v>41</v>
      </c>
      <c r="O72" s="57"/>
      <c r="P72" s="57"/>
    </row>
    <row r="73" spans="1:17" ht="15" customHeight="1">
      <c r="A73" s="101" t="s">
        <v>53</v>
      </c>
      <c r="B73" s="85" t="s">
        <v>567</v>
      </c>
      <c r="C73" s="85">
        <v>0.27900000000000003</v>
      </c>
      <c r="D73" s="85">
        <v>0</v>
      </c>
      <c r="E73" s="85">
        <v>0</v>
      </c>
      <c r="F73" s="85">
        <v>0</v>
      </c>
      <c r="G73" s="85">
        <v>0</v>
      </c>
      <c r="H73" s="85">
        <v>0</v>
      </c>
      <c r="I73" s="85">
        <v>0</v>
      </c>
      <c r="J73" s="85">
        <v>100</v>
      </c>
      <c r="K73" s="85">
        <v>14</v>
      </c>
      <c r="L73" s="85" t="s">
        <v>54</v>
      </c>
      <c r="M73" s="85" t="s">
        <v>69</v>
      </c>
      <c r="N73" s="4" t="s">
        <v>41</v>
      </c>
      <c r="O73" s="57"/>
      <c r="P73" s="57"/>
    </row>
    <row r="74" spans="1:17" s="3" customFormat="1" ht="15">
      <c r="A74" s="69"/>
      <c r="B74" s="3" t="s">
        <v>56</v>
      </c>
      <c r="C74" s="11">
        <f>SUM(C69:C73)</f>
        <v>54.756000000000007</v>
      </c>
      <c r="D74" s="11">
        <f t="shared" ref="D74:I74" si="5">SUM(D69:D73)</f>
        <v>67.111999999999995</v>
      </c>
      <c r="E74" s="11">
        <f t="shared" si="5"/>
        <v>70.238</v>
      </c>
      <c r="F74" s="11">
        <f t="shared" si="5"/>
        <v>72.266999999999996</v>
      </c>
      <c r="G74" s="11">
        <f t="shared" si="5"/>
        <v>72.298000000000002</v>
      </c>
      <c r="H74" s="11">
        <f t="shared" si="5"/>
        <v>72.328000000000003</v>
      </c>
      <c r="I74" s="11">
        <f t="shared" si="5"/>
        <v>72.328000000000003</v>
      </c>
      <c r="L74" s="1"/>
      <c r="O74" s="69"/>
      <c r="P74" s="69"/>
    </row>
    <row r="75" spans="1:17" s="3" customFormat="1" ht="15">
      <c r="A75" s="69"/>
      <c r="C75" s="11"/>
      <c r="D75" s="11"/>
      <c r="E75" s="11"/>
      <c r="F75" s="11"/>
      <c r="G75" s="11"/>
      <c r="H75" s="11"/>
      <c r="I75" s="11"/>
      <c r="L75" s="1"/>
      <c r="O75" s="69"/>
      <c r="P75" s="69"/>
    </row>
    <row r="76" spans="1:17" s="3" customFormat="1" ht="15">
      <c r="A76" s="13"/>
      <c r="B76" s="26" t="s">
        <v>415</v>
      </c>
      <c r="C76" s="50"/>
      <c r="D76" s="53"/>
      <c r="E76" s="53"/>
      <c r="F76" s="53"/>
      <c r="G76" s="53"/>
      <c r="H76" s="53"/>
      <c r="I76" s="53"/>
      <c r="J76" s="27"/>
      <c r="K76" s="26"/>
      <c r="L76" s="82"/>
      <c r="M76" s="82"/>
      <c r="N76" s="26"/>
      <c r="O76" s="31"/>
      <c r="P76" s="31"/>
      <c r="Q76" s="5"/>
    </row>
    <row r="77" spans="1:17" s="69" customFormat="1" ht="15">
      <c r="A77" s="101" t="s">
        <v>138</v>
      </c>
      <c r="B77" s="101" t="s">
        <v>130</v>
      </c>
      <c r="C77" s="104">
        <v>3.3000000000000002E-2</v>
      </c>
      <c r="D77" s="104">
        <v>3.3000000000000002E-2</v>
      </c>
      <c r="E77" s="104">
        <v>3.3000000000000002E-2</v>
      </c>
      <c r="F77" s="104">
        <v>3.3000000000000002E-2</v>
      </c>
      <c r="G77" s="104">
        <v>0</v>
      </c>
      <c r="H77" s="104">
        <v>3.3000000000000002E-2</v>
      </c>
      <c r="I77" s="104">
        <v>3.3000000000000002E-2</v>
      </c>
      <c r="J77" s="105">
        <v>0</v>
      </c>
      <c r="K77" s="101">
        <v>4</v>
      </c>
      <c r="L77" s="101" t="s">
        <v>322</v>
      </c>
      <c r="M77" s="101" t="s">
        <v>131</v>
      </c>
      <c r="N77" s="101" t="s">
        <v>40</v>
      </c>
      <c r="O77" s="185"/>
      <c r="P77" s="185"/>
      <c r="Q77" s="106"/>
    </row>
    <row r="78" spans="1:17" s="69" customFormat="1" ht="15">
      <c r="A78" s="101" t="s">
        <v>138</v>
      </c>
      <c r="B78" s="101" t="s">
        <v>282</v>
      </c>
      <c r="C78" s="104">
        <v>0.2</v>
      </c>
      <c r="D78" s="104">
        <v>0.2</v>
      </c>
      <c r="E78" s="104">
        <v>0.15</v>
      </c>
      <c r="F78" s="104">
        <v>0.15</v>
      </c>
      <c r="G78" s="104">
        <v>0.15</v>
      </c>
      <c r="H78" s="104">
        <v>0.15</v>
      </c>
      <c r="I78" s="104">
        <v>0.15</v>
      </c>
      <c r="J78" s="105">
        <v>0</v>
      </c>
      <c r="K78" s="101">
        <v>4</v>
      </c>
      <c r="L78" s="101" t="s">
        <v>322</v>
      </c>
      <c r="M78" s="101" t="s">
        <v>128</v>
      </c>
      <c r="N78" s="101" t="s">
        <v>40</v>
      </c>
      <c r="O78" s="185"/>
      <c r="P78" s="185"/>
      <c r="Q78" s="106"/>
    </row>
    <row r="79" spans="1:17" s="69" customFormat="1" ht="15">
      <c r="A79" s="101" t="s">
        <v>138</v>
      </c>
      <c r="B79" s="101" t="s">
        <v>136</v>
      </c>
      <c r="C79" s="104">
        <v>0.6</v>
      </c>
      <c r="D79" s="104">
        <v>0.6</v>
      </c>
      <c r="E79" s="104">
        <v>0.6</v>
      </c>
      <c r="F79" s="104">
        <v>0.6</v>
      </c>
      <c r="G79" s="104">
        <v>0.6</v>
      </c>
      <c r="H79" s="104">
        <v>0.6</v>
      </c>
      <c r="I79" s="104">
        <v>0.6</v>
      </c>
      <c r="J79" s="105">
        <v>0.1</v>
      </c>
      <c r="K79" s="101">
        <v>4</v>
      </c>
      <c r="L79" s="101" t="s">
        <v>322</v>
      </c>
      <c r="M79" s="101" t="s">
        <v>137</v>
      </c>
      <c r="N79" s="101" t="s">
        <v>40</v>
      </c>
      <c r="O79" s="185"/>
      <c r="P79" s="185"/>
      <c r="Q79" s="106"/>
    </row>
    <row r="80" spans="1:17" s="69" customFormat="1" ht="15">
      <c r="A80" s="101" t="s">
        <v>138</v>
      </c>
      <c r="B80" s="101" t="s">
        <v>576</v>
      </c>
      <c r="C80" s="104">
        <v>0.42399999999999999</v>
      </c>
      <c r="D80" s="104">
        <v>0.36299999999999999</v>
      </c>
      <c r="E80" s="186" t="s">
        <v>368</v>
      </c>
      <c r="F80" s="186" t="s">
        <v>368</v>
      </c>
      <c r="G80" s="186" t="s">
        <v>368</v>
      </c>
      <c r="H80" s="186" t="s">
        <v>368</v>
      </c>
      <c r="I80" s="186" t="s">
        <v>368</v>
      </c>
      <c r="J80" s="105">
        <v>0</v>
      </c>
      <c r="K80" s="101">
        <v>4</v>
      </c>
      <c r="L80" s="101" t="s">
        <v>322</v>
      </c>
      <c r="M80" s="101" t="s">
        <v>121</v>
      </c>
      <c r="N80" s="101" t="s">
        <v>40</v>
      </c>
      <c r="O80" s="185"/>
      <c r="P80" s="185"/>
      <c r="Q80" s="106"/>
    </row>
    <row r="81" spans="1:17" s="69" customFormat="1" ht="15">
      <c r="A81" s="101" t="s">
        <v>138</v>
      </c>
      <c r="B81" s="101" t="s">
        <v>120</v>
      </c>
      <c r="C81" s="104">
        <v>0.13</v>
      </c>
      <c r="D81" s="104">
        <v>0.13</v>
      </c>
      <c r="E81" s="104">
        <v>0.13</v>
      </c>
      <c r="F81" s="104">
        <v>0.13</v>
      </c>
      <c r="G81" s="104">
        <v>0.13</v>
      </c>
      <c r="H81" s="104">
        <v>0.13</v>
      </c>
      <c r="I81" s="104">
        <v>0.13</v>
      </c>
      <c r="J81" s="105">
        <v>0</v>
      </c>
      <c r="K81" s="101">
        <v>4</v>
      </c>
      <c r="L81" s="101" t="s">
        <v>322</v>
      </c>
      <c r="M81" s="101" t="s">
        <v>120</v>
      </c>
      <c r="N81" s="101" t="s">
        <v>40</v>
      </c>
      <c r="O81" s="185"/>
      <c r="P81" s="185"/>
      <c r="Q81" s="106"/>
    </row>
    <row r="82" spans="1:17" s="69" customFormat="1" ht="15">
      <c r="A82" s="101" t="s">
        <v>138</v>
      </c>
      <c r="B82" s="101" t="s">
        <v>118</v>
      </c>
      <c r="C82" s="104">
        <v>0.55000000000000004</v>
      </c>
      <c r="D82" s="104">
        <v>0.55000000000000004</v>
      </c>
      <c r="E82" s="104">
        <v>0.55000000000000004</v>
      </c>
      <c r="F82" s="104">
        <v>0.55000000000000004</v>
      </c>
      <c r="G82" s="104">
        <v>0.55000000000000004</v>
      </c>
      <c r="H82" s="104">
        <v>0.55000000000000004</v>
      </c>
      <c r="I82" s="104">
        <v>0.55000000000000004</v>
      </c>
      <c r="J82" s="105">
        <v>0.105687390789696</v>
      </c>
      <c r="K82" s="101">
        <v>4</v>
      </c>
      <c r="L82" s="101" t="s">
        <v>322</v>
      </c>
      <c r="M82" s="101" t="s">
        <v>119</v>
      </c>
      <c r="N82" s="101" t="s">
        <v>40</v>
      </c>
      <c r="O82" s="185"/>
      <c r="P82" s="185"/>
      <c r="Q82" s="106"/>
    </row>
    <row r="83" spans="1:17" s="69" customFormat="1" ht="15">
      <c r="A83" s="101" t="s">
        <v>138</v>
      </c>
      <c r="B83" s="101" t="s">
        <v>283</v>
      </c>
      <c r="C83" s="104">
        <v>0.47499999999999998</v>
      </c>
      <c r="D83" s="104">
        <v>0.47499999999999998</v>
      </c>
      <c r="E83" s="104">
        <v>0.47499999999999998</v>
      </c>
      <c r="F83" s="104">
        <v>0.47499999999999998</v>
      </c>
      <c r="G83" s="104">
        <v>0.47499999999999998</v>
      </c>
      <c r="H83" s="104">
        <v>0.47499999999999998</v>
      </c>
      <c r="I83" s="104">
        <v>0.47499999999999998</v>
      </c>
      <c r="J83" s="105">
        <v>0.1</v>
      </c>
      <c r="K83" s="101">
        <v>4</v>
      </c>
      <c r="L83" s="101" t="s">
        <v>322</v>
      </c>
      <c r="M83" s="101" t="s">
        <v>134</v>
      </c>
      <c r="N83" s="101" t="s">
        <v>40</v>
      </c>
      <c r="O83" s="185"/>
      <c r="P83" s="185"/>
      <c r="Q83" s="106"/>
    </row>
    <row r="84" spans="1:17" s="69" customFormat="1" ht="15">
      <c r="A84" s="101" t="s">
        <v>138</v>
      </c>
      <c r="B84" s="101" t="s">
        <v>284</v>
      </c>
      <c r="C84" s="104">
        <v>1.306</v>
      </c>
      <c r="D84" s="104">
        <v>1.1890000000000001</v>
      </c>
      <c r="E84" s="104">
        <v>1.1659999999999999</v>
      </c>
      <c r="F84" s="104">
        <v>1.1659999999999999</v>
      </c>
      <c r="G84" s="104">
        <v>1.1659999999999999</v>
      </c>
      <c r="H84" s="104">
        <v>1.1659999999999999</v>
      </c>
      <c r="I84" s="104">
        <v>1.1659999999999999</v>
      </c>
      <c r="J84" s="105">
        <v>0.2</v>
      </c>
      <c r="K84" s="101">
        <v>4</v>
      </c>
      <c r="L84" s="101" t="s">
        <v>322</v>
      </c>
      <c r="M84" s="101" t="s">
        <v>316</v>
      </c>
      <c r="N84" s="101" t="s">
        <v>40</v>
      </c>
      <c r="O84" s="185"/>
      <c r="P84" s="185"/>
      <c r="Q84" s="185"/>
    </row>
    <row r="85" spans="1:17" s="69" customFormat="1" ht="15">
      <c r="A85" s="101" t="s">
        <v>138</v>
      </c>
      <c r="B85" s="101" t="s">
        <v>424</v>
      </c>
      <c r="C85" s="104">
        <v>0</v>
      </c>
      <c r="D85" s="104">
        <v>0</v>
      </c>
      <c r="E85" s="104">
        <v>0</v>
      </c>
      <c r="F85" s="104">
        <v>0</v>
      </c>
      <c r="G85" s="104" t="s">
        <v>577</v>
      </c>
      <c r="H85" s="104" t="s">
        <v>577</v>
      </c>
      <c r="I85" s="104" t="s">
        <v>577</v>
      </c>
      <c r="J85" s="105">
        <v>0</v>
      </c>
      <c r="K85" s="101">
        <v>4</v>
      </c>
      <c r="L85" s="101" t="s">
        <v>322</v>
      </c>
      <c r="M85" s="101" t="s">
        <v>425</v>
      </c>
      <c r="N85" s="101" t="s">
        <v>40</v>
      </c>
      <c r="O85" s="185"/>
      <c r="P85" s="185"/>
      <c r="Q85" s="185"/>
    </row>
    <row r="86" spans="1:17" s="69" customFormat="1" ht="15">
      <c r="A86" s="101" t="s">
        <v>426</v>
      </c>
      <c r="B86" s="101" t="s">
        <v>427</v>
      </c>
      <c r="C86" s="104">
        <v>0.35</v>
      </c>
      <c r="D86" s="104">
        <v>0.35</v>
      </c>
      <c r="E86" s="104">
        <v>0.35</v>
      </c>
      <c r="F86" s="104">
        <v>0.35</v>
      </c>
      <c r="G86" s="104">
        <v>0.35</v>
      </c>
      <c r="H86" s="104">
        <v>0.35</v>
      </c>
      <c r="I86" s="104">
        <v>0.35</v>
      </c>
      <c r="J86" s="105">
        <v>0.1</v>
      </c>
      <c r="K86" s="101">
        <v>4</v>
      </c>
      <c r="L86" s="101" t="s">
        <v>322</v>
      </c>
      <c r="M86" s="101" t="s">
        <v>316</v>
      </c>
      <c r="N86" s="101" t="s">
        <v>40</v>
      </c>
      <c r="O86" s="185"/>
      <c r="P86" s="185"/>
      <c r="Q86" s="185"/>
    </row>
    <row r="87" spans="1:17" s="69" customFormat="1" ht="15">
      <c r="A87" s="101" t="s">
        <v>285</v>
      </c>
      <c r="B87" s="101" t="s">
        <v>122</v>
      </c>
      <c r="C87" s="104">
        <v>27.54</v>
      </c>
      <c r="D87" s="104">
        <v>27.905000000000001</v>
      </c>
      <c r="E87" s="104">
        <v>25.469000000000001</v>
      </c>
      <c r="F87" s="104">
        <v>25.466999999999999</v>
      </c>
      <c r="G87" s="104">
        <v>24.062000000000001</v>
      </c>
      <c r="H87" s="104">
        <v>24.062000000000001</v>
      </c>
      <c r="I87" s="104">
        <v>24.062000000000001</v>
      </c>
      <c r="J87" s="105">
        <v>11.4</v>
      </c>
      <c r="K87" s="101">
        <v>2</v>
      </c>
      <c r="L87" s="101" t="s">
        <v>123</v>
      </c>
      <c r="M87" s="101" t="s">
        <v>124</v>
      </c>
      <c r="N87" s="101" t="s">
        <v>40</v>
      </c>
      <c r="O87" s="185"/>
      <c r="P87" s="185"/>
      <c r="Q87" s="106"/>
    </row>
    <row r="88" spans="1:17" s="69" customFormat="1" ht="15">
      <c r="A88" s="101" t="s">
        <v>287</v>
      </c>
      <c r="B88" s="101" t="s">
        <v>286</v>
      </c>
      <c r="C88" s="104">
        <v>7.8959999999999999</v>
      </c>
      <c r="D88" s="104">
        <v>5.93</v>
      </c>
      <c r="E88" s="104">
        <v>5.4459999999999997</v>
      </c>
      <c r="F88" s="104">
        <v>5.4459999999999997</v>
      </c>
      <c r="G88" s="104">
        <v>5.4459999999999997</v>
      </c>
      <c r="H88" s="104">
        <v>5.4459999999999997</v>
      </c>
      <c r="I88" s="104">
        <v>5.4459999999999997</v>
      </c>
      <c r="J88" s="105">
        <v>17.5</v>
      </c>
      <c r="K88" s="101">
        <v>1</v>
      </c>
      <c r="L88" s="101" t="s">
        <v>110</v>
      </c>
      <c r="M88" s="101" t="s">
        <v>125</v>
      </c>
      <c r="N88" s="101" t="s">
        <v>40</v>
      </c>
      <c r="O88" s="185"/>
      <c r="P88" s="185"/>
      <c r="Q88" s="106"/>
    </row>
    <row r="89" spans="1:17" s="69" customFormat="1" ht="15">
      <c r="A89" s="101" t="s">
        <v>578</v>
      </c>
      <c r="B89" s="101" t="s">
        <v>122</v>
      </c>
      <c r="C89" s="104">
        <v>3.4489999999999998</v>
      </c>
      <c r="D89" s="104">
        <v>3.0249999999999999</v>
      </c>
      <c r="E89" s="104">
        <v>2.3450000000000002</v>
      </c>
      <c r="F89" s="104">
        <v>2.3580000000000001</v>
      </c>
      <c r="G89" s="104">
        <v>2.3719999999999999</v>
      </c>
      <c r="H89" s="104">
        <v>2.3740000000000001</v>
      </c>
      <c r="I89" s="104">
        <v>2.3740000000000001</v>
      </c>
      <c r="J89" s="105">
        <v>4.0999999999999996</v>
      </c>
      <c r="K89" s="101">
        <v>2</v>
      </c>
      <c r="L89" s="101" t="s">
        <v>123</v>
      </c>
      <c r="M89" s="101" t="s">
        <v>124</v>
      </c>
      <c r="N89" s="101" t="s">
        <v>40</v>
      </c>
      <c r="O89" s="185"/>
      <c r="P89" s="185"/>
      <c r="Q89" s="106"/>
    </row>
    <row r="90" spans="1:17" s="69" customFormat="1" ht="15">
      <c r="A90" s="101" t="s">
        <v>291</v>
      </c>
      <c r="B90" s="101" t="s">
        <v>290</v>
      </c>
      <c r="C90" s="104">
        <v>0.45</v>
      </c>
      <c r="D90" s="104">
        <v>0.45</v>
      </c>
      <c r="E90" s="104">
        <v>0.45</v>
      </c>
      <c r="F90" s="104">
        <v>0.45</v>
      </c>
      <c r="G90" s="104">
        <v>0.45</v>
      </c>
      <c r="H90" s="104">
        <v>0.45</v>
      </c>
      <c r="I90" s="104">
        <v>0.45</v>
      </c>
      <c r="J90" s="105">
        <v>0.8</v>
      </c>
      <c r="K90" s="101">
        <v>4</v>
      </c>
      <c r="L90" s="101" t="s">
        <v>322</v>
      </c>
      <c r="M90" s="101" t="s">
        <v>367</v>
      </c>
      <c r="N90" s="101" t="s">
        <v>40</v>
      </c>
      <c r="O90" s="185"/>
      <c r="P90" s="185"/>
      <c r="Q90" s="106"/>
    </row>
    <row r="91" spans="1:17" s="69" customFormat="1" ht="15">
      <c r="A91" s="101" t="s">
        <v>292</v>
      </c>
      <c r="B91" s="101" t="s">
        <v>366</v>
      </c>
      <c r="C91" s="104">
        <v>1.4019999999999999</v>
      </c>
      <c r="D91" s="104">
        <v>1.9079999999999999</v>
      </c>
      <c r="E91" s="104">
        <v>1.379</v>
      </c>
      <c r="F91" s="104">
        <v>1.63</v>
      </c>
      <c r="G91" s="104">
        <v>1.629</v>
      </c>
      <c r="H91" s="104">
        <v>1.659</v>
      </c>
      <c r="I91" s="104">
        <v>1.659</v>
      </c>
      <c r="J91" s="105">
        <v>2.4</v>
      </c>
      <c r="K91" s="101">
        <v>4</v>
      </c>
      <c r="L91" s="101" t="s">
        <v>322</v>
      </c>
      <c r="M91" s="101" t="s">
        <v>129</v>
      </c>
      <c r="N91" s="101" t="s">
        <v>40</v>
      </c>
      <c r="O91" s="185"/>
      <c r="P91" s="185"/>
      <c r="Q91" s="106"/>
    </row>
    <row r="92" spans="1:17" s="69" customFormat="1" ht="15">
      <c r="A92" s="101" t="s">
        <v>293</v>
      </c>
      <c r="B92" s="101" t="s">
        <v>132</v>
      </c>
      <c r="C92" s="104">
        <v>3.8780000000000001</v>
      </c>
      <c r="D92" s="104">
        <v>3.87</v>
      </c>
      <c r="E92" s="104">
        <v>3.8690000000000002</v>
      </c>
      <c r="F92" s="104">
        <v>3.8690000000000002</v>
      </c>
      <c r="G92" s="104">
        <v>3.8690000000000002</v>
      </c>
      <c r="H92" s="104">
        <v>3.8690000000000002</v>
      </c>
      <c r="I92" s="104">
        <v>3.8690000000000002</v>
      </c>
      <c r="J92" s="105">
        <v>23.4</v>
      </c>
      <c r="K92" s="101">
        <v>4</v>
      </c>
      <c r="L92" s="101" t="s">
        <v>322</v>
      </c>
      <c r="M92" s="101" t="s">
        <v>133</v>
      </c>
      <c r="N92" s="101" t="s">
        <v>40</v>
      </c>
      <c r="O92" s="185"/>
      <c r="P92" s="185"/>
      <c r="Q92" s="106"/>
    </row>
    <row r="93" spans="1:17" s="69" customFormat="1" ht="15">
      <c r="A93" s="101" t="s">
        <v>294</v>
      </c>
      <c r="B93" s="101" t="s">
        <v>135</v>
      </c>
      <c r="C93" s="104">
        <v>1.121</v>
      </c>
      <c r="D93" s="104">
        <v>0.39</v>
      </c>
      <c r="E93" s="104">
        <v>0.41399999999999998</v>
      </c>
      <c r="F93" s="104">
        <v>0.29099999999999998</v>
      </c>
      <c r="G93" s="104">
        <v>0.45600000000000002</v>
      </c>
      <c r="H93" s="104">
        <v>0.45600000000000002</v>
      </c>
      <c r="I93" s="104">
        <v>0.45600000000000002</v>
      </c>
      <c r="J93" s="105">
        <v>1.5</v>
      </c>
      <c r="K93" s="101">
        <v>2</v>
      </c>
      <c r="L93" s="101" t="s">
        <v>123</v>
      </c>
      <c r="M93" s="101" t="s">
        <v>30</v>
      </c>
      <c r="N93" s="101" t="s">
        <v>40</v>
      </c>
      <c r="O93" s="185"/>
      <c r="P93" s="185"/>
      <c r="Q93" s="106"/>
    </row>
    <row r="94" spans="1:17" s="69" customFormat="1" ht="15">
      <c r="A94" s="101" t="s">
        <v>289</v>
      </c>
      <c r="B94" s="101" t="s">
        <v>288</v>
      </c>
      <c r="C94" s="104">
        <v>1.28</v>
      </c>
      <c r="D94" s="104">
        <v>1.3280000000000001</v>
      </c>
      <c r="E94" s="104">
        <v>1.04</v>
      </c>
      <c r="F94" s="104">
        <v>1</v>
      </c>
      <c r="G94" s="104">
        <v>1</v>
      </c>
      <c r="H94" s="104">
        <v>0.502</v>
      </c>
      <c r="I94" s="104">
        <v>0.502</v>
      </c>
      <c r="J94" s="105">
        <v>1.8</v>
      </c>
      <c r="K94" s="101">
        <v>4</v>
      </c>
      <c r="L94" s="101" t="s">
        <v>322</v>
      </c>
      <c r="M94" s="101" t="s">
        <v>20</v>
      </c>
      <c r="N94" s="101" t="s">
        <v>40</v>
      </c>
      <c r="O94" s="185"/>
      <c r="P94" s="185"/>
      <c r="Q94" s="106"/>
    </row>
    <row r="95" spans="1:17" s="69" customFormat="1" ht="15">
      <c r="A95" s="128" t="s">
        <v>364</v>
      </c>
      <c r="B95" s="101" t="s">
        <v>365</v>
      </c>
      <c r="C95" s="104">
        <v>0.5</v>
      </c>
      <c r="D95" s="104">
        <v>0.5</v>
      </c>
      <c r="E95" s="104">
        <v>0.6</v>
      </c>
      <c r="F95" s="104">
        <v>0.6</v>
      </c>
      <c r="G95" s="104">
        <v>0.6</v>
      </c>
      <c r="H95" s="104">
        <v>0.6</v>
      </c>
      <c r="I95" s="104">
        <v>0.6</v>
      </c>
      <c r="J95" s="105">
        <v>1.3</v>
      </c>
      <c r="K95" s="101">
        <v>2</v>
      </c>
      <c r="L95" s="101" t="s">
        <v>123</v>
      </c>
      <c r="M95" s="101" t="s">
        <v>27</v>
      </c>
      <c r="N95" s="101" t="s">
        <v>40</v>
      </c>
      <c r="O95" s="185"/>
      <c r="P95" s="185"/>
      <c r="Q95" s="106"/>
    </row>
    <row r="96" spans="1:17" s="69" customFormat="1" ht="15">
      <c r="A96" s="101" t="s">
        <v>579</v>
      </c>
      <c r="B96" s="101" t="s">
        <v>126</v>
      </c>
      <c r="C96" s="104">
        <v>3.4000000000000002E-2</v>
      </c>
      <c r="D96" s="104">
        <v>0.05</v>
      </c>
      <c r="E96" s="104">
        <v>3.7999999999999999E-2</v>
      </c>
      <c r="F96" s="104">
        <v>3.7999999999999999E-2</v>
      </c>
      <c r="G96" s="104">
        <v>3.7999999999999999E-2</v>
      </c>
      <c r="H96" s="104">
        <v>3.7999999999999999E-2</v>
      </c>
      <c r="I96" s="104">
        <v>3.7999999999999999E-2</v>
      </c>
      <c r="J96" s="105">
        <v>0.1</v>
      </c>
      <c r="K96" s="101">
        <v>4</v>
      </c>
      <c r="L96" s="101" t="s">
        <v>322</v>
      </c>
      <c r="M96" s="101" t="s">
        <v>127</v>
      </c>
      <c r="N96" s="101" t="s">
        <v>41</v>
      </c>
      <c r="O96" s="185"/>
      <c r="P96" s="185"/>
      <c r="Q96" s="106"/>
    </row>
    <row r="97" spans="1:17" s="69" customFormat="1" ht="15">
      <c r="A97" s="119" t="s">
        <v>292</v>
      </c>
      <c r="B97" s="101" t="s">
        <v>361</v>
      </c>
      <c r="C97" s="104">
        <v>0.3</v>
      </c>
      <c r="D97" s="104">
        <v>0.3</v>
      </c>
      <c r="E97" s="104">
        <v>0.3</v>
      </c>
      <c r="F97" s="104">
        <v>0.3</v>
      </c>
      <c r="G97" s="104">
        <v>0.3</v>
      </c>
      <c r="H97" s="104">
        <v>0.3</v>
      </c>
      <c r="I97" s="104">
        <v>0.3</v>
      </c>
      <c r="J97" s="105">
        <v>0.5</v>
      </c>
      <c r="K97" s="101">
        <v>4</v>
      </c>
      <c r="L97" s="101" t="s">
        <v>322</v>
      </c>
      <c r="M97" s="101" t="s">
        <v>580</v>
      </c>
      <c r="N97" s="101" t="s">
        <v>41</v>
      </c>
      <c r="O97" s="185"/>
      <c r="P97" s="185"/>
      <c r="Q97" s="106"/>
    </row>
    <row r="98" spans="1:17" s="69" customFormat="1" ht="15">
      <c r="A98" s="128" t="s">
        <v>363</v>
      </c>
      <c r="B98" s="101" t="s">
        <v>362</v>
      </c>
      <c r="C98" s="104">
        <v>0</v>
      </c>
      <c r="D98" s="104">
        <v>0</v>
      </c>
      <c r="E98" s="104">
        <v>0</v>
      </c>
      <c r="F98" s="104">
        <v>0</v>
      </c>
      <c r="G98" s="104">
        <v>0</v>
      </c>
      <c r="H98" s="104">
        <v>0</v>
      </c>
      <c r="I98" s="104">
        <v>0</v>
      </c>
      <c r="J98" s="105">
        <v>0</v>
      </c>
      <c r="K98" s="101">
        <v>4</v>
      </c>
      <c r="L98" s="101" t="s">
        <v>322</v>
      </c>
      <c r="M98" s="101" t="s">
        <v>69</v>
      </c>
      <c r="N98" s="101" t="s">
        <v>41</v>
      </c>
      <c r="O98" s="185"/>
      <c r="P98" s="185"/>
      <c r="Q98" s="106"/>
    </row>
    <row r="99" spans="1:17" s="69" customFormat="1" ht="15">
      <c r="A99" s="101" t="s">
        <v>138</v>
      </c>
      <c r="B99" s="101" t="s">
        <v>139</v>
      </c>
      <c r="C99" s="104">
        <v>0.40799999999999997</v>
      </c>
      <c r="D99" s="104">
        <v>0.22500000000000001</v>
      </c>
      <c r="E99" s="104">
        <v>0.22500000000000001</v>
      </c>
      <c r="F99" s="104">
        <v>0.22500000000000001</v>
      </c>
      <c r="G99" s="104">
        <v>0.22500000000000001</v>
      </c>
      <c r="H99" s="104">
        <v>0.22500000000000001</v>
      </c>
      <c r="I99" s="104">
        <v>0.22500000000000001</v>
      </c>
      <c r="J99" s="105">
        <v>0</v>
      </c>
      <c r="K99" s="101">
        <v>4</v>
      </c>
      <c r="L99" s="101" t="s">
        <v>322</v>
      </c>
      <c r="M99" s="101" t="s">
        <v>7</v>
      </c>
      <c r="N99" s="101" t="s">
        <v>41</v>
      </c>
      <c r="O99" s="185"/>
      <c r="P99" s="185"/>
      <c r="Q99" s="106"/>
    </row>
    <row r="100" spans="1:17" s="69" customFormat="1" ht="15">
      <c r="A100" s="101" t="s">
        <v>138</v>
      </c>
      <c r="B100" s="101" t="s">
        <v>295</v>
      </c>
      <c r="C100" s="104">
        <v>0.1</v>
      </c>
      <c r="D100" s="104">
        <v>0.23</v>
      </c>
      <c r="E100" s="104">
        <v>0.35</v>
      </c>
      <c r="F100" s="104">
        <v>0.35</v>
      </c>
      <c r="G100" s="104">
        <v>0.35</v>
      </c>
      <c r="H100" s="104">
        <v>0.35</v>
      </c>
      <c r="I100" s="104">
        <v>0.35</v>
      </c>
      <c r="J100" s="105">
        <v>7.0458260526464089E-2</v>
      </c>
      <c r="K100" s="101">
        <v>4</v>
      </c>
      <c r="L100" s="101" t="s">
        <v>322</v>
      </c>
      <c r="M100" s="101" t="s">
        <v>131</v>
      </c>
      <c r="N100" s="101" t="s">
        <v>41</v>
      </c>
      <c r="O100" s="185"/>
      <c r="P100" s="185"/>
      <c r="Q100" s="106"/>
    </row>
    <row r="101" spans="1:17" s="69" customFormat="1" ht="15">
      <c r="A101" s="101" t="s">
        <v>138</v>
      </c>
      <c r="B101" s="101" t="s">
        <v>581</v>
      </c>
      <c r="C101" s="104">
        <v>1.9990000000000001</v>
      </c>
      <c r="D101" s="104">
        <v>2.5880000000000001</v>
      </c>
      <c r="E101" s="104">
        <v>3.1179999999999999</v>
      </c>
      <c r="F101" s="104">
        <v>3.1179999999999999</v>
      </c>
      <c r="G101" s="104">
        <v>3.1880000000000002</v>
      </c>
      <c r="H101" s="104">
        <v>3.1880000000000002</v>
      </c>
      <c r="I101" s="104">
        <v>3.1880000000000002</v>
      </c>
      <c r="J101" s="105">
        <v>0.5</v>
      </c>
      <c r="K101" s="101">
        <v>4</v>
      </c>
      <c r="L101" s="101" t="s">
        <v>322</v>
      </c>
      <c r="M101" s="101" t="s">
        <v>7</v>
      </c>
      <c r="N101" s="101" t="s">
        <v>41</v>
      </c>
      <c r="O101" s="185"/>
      <c r="P101" s="185"/>
      <c r="Q101" s="57"/>
    </row>
    <row r="102" spans="1:17" s="69" customFormat="1" ht="15">
      <c r="A102" s="101" t="s">
        <v>296</v>
      </c>
      <c r="B102" s="101" t="s">
        <v>582</v>
      </c>
      <c r="C102" s="104">
        <v>2.9319999999999999</v>
      </c>
      <c r="D102" s="104">
        <v>2.851</v>
      </c>
      <c r="E102" s="104">
        <v>2.91</v>
      </c>
      <c r="F102" s="104">
        <v>2.91</v>
      </c>
      <c r="G102" s="104">
        <v>2.91</v>
      </c>
      <c r="H102" s="104">
        <v>2.91</v>
      </c>
      <c r="I102" s="104">
        <v>2.91</v>
      </c>
      <c r="J102" s="105">
        <v>1.2</v>
      </c>
      <c r="K102" s="101">
        <v>4</v>
      </c>
      <c r="L102" s="101" t="s">
        <v>322</v>
      </c>
      <c r="M102" s="101" t="s">
        <v>7</v>
      </c>
      <c r="N102" s="101" t="s">
        <v>41</v>
      </c>
      <c r="O102" s="185"/>
      <c r="P102" s="185"/>
      <c r="Q102" s="57"/>
    </row>
    <row r="103" spans="1:17" s="69" customFormat="1" ht="15">
      <c r="A103" s="101" t="s">
        <v>583</v>
      </c>
      <c r="B103" s="101" t="s">
        <v>140</v>
      </c>
      <c r="C103" s="104">
        <v>2.4</v>
      </c>
      <c r="D103" s="104">
        <v>3.5579999999999998</v>
      </c>
      <c r="E103" s="104">
        <v>3.5579999999999998</v>
      </c>
      <c r="F103" s="104">
        <v>3.5579999999999998</v>
      </c>
      <c r="G103" s="104">
        <v>3.5579999999999998</v>
      </c>
      <c r="H103" s="104">
        <v>3.5579999999999998</v>
      </c>
      <c r="I103" s="104">
        <v>3.5579999999999998</v>
      </c>
      <c r="J103" s="105">
        <v>7.8</v>
      </c>
      <c r="K103" s="101">
        <v>4</v>
      </c>
      <c r="L103" s="101" t="s">
        <v>322</v>
      </c>
      <c r="M103" s="101" t="s">
        <v>141</v>
      </c>
      <c r="N103" s="101" t="s">
        <v>41</v>
      </c>
      <c r="O103" s="185"/>
      <c r="P103" s="185"/>
      <c r="Q103" s="106"/>
    </row>
    <row r="104" spans="1:17" s="69" customFormat="1" ht="15">
      <c r="A104" s="101" t="s">
        <v>584</v>
      </c>
      <c r="B104" s="101" t="s">
        <v>586</v>
      </c>
      <c r="C104" s="104">
        <v>1.31</v>
      </c>
      <c r="D104" s="104">
        <v>2.7210000000000001</v>
      </c>
      <c r="E104" s="104">
        <v>1.839</v>
      </c>
      <c r="F104" s="104">
        <v>1.839</v>
      </c>
      <c r="G104" s="104">
        <v>1.5549999999999999</v>
      </c>
      <c r="H104" s="104">
        <v>1.155</v>
      </c>
      <c r="I104" s="104">
        <v>1.155</v>
      </c>
      <c r="J104" s="105">
        <v>0.5</v>
      </c>
      <c r="K104" s="101">
        <v>4</v>
      </c>
      <c r="L104" s="101" t="s">
        <v>322</v>
      </c>
      <c r="M104" s="101" t="s">
        <v>141</v>
      </c>
      <c r="N104" s="101" t="s">
        <v>41</v>
      </c>
      <c r="O104" s="185"/>
      <c r="P104" s="185"/>
      <c r="Q104" s="106"/>
    </row>
    <row r="105" spans="1:17" s="69" customFormat="1" ht="15">
      <c r="A105" s="101" t="s">
        <v>297</v>
      </c>
      <c r="B105" s="101" t="s">
        <v>585</v>
      </c>
      <c r="C105" s="104">
        <v>12.151999999999999</v>
      </c>
      <c r="D105" s="104">
        <v>13.856999999999999</v>
      </c>
      <c r="E105" s="104">
        <v>6.4390000000000001</v>
      </c>
      <c r="F105" s="104">
        <v>4.2489999999999997</v>
      </c>
      <c r="G105" s="104">
        <v>3.306</v>
      </c>
      <c r="H105" s="104">
        <v>2.29</v>
      </c>
      <c r="I105" s="104">
        <v>1.6020000000000001</v>
      </c>
      <c r="J105" s="105">
        <v>1.6</v>
      </c>
      <c r="K105" s="101">
        <v>4</v>
      </c>
      <c r="L105" s="101" t="s">
        <v>322</v>
      </c>
      <c r="M105" s="101" t="s">
        <v>352</v>
      </c>
      <c r="N105" s="101" t="s">
        <v>41</v>
      </c>
      <c r="O105" s="185"/>
      <c r="P105" s="185"/>
      <c r="Q105" s="106"/>
    </row>
    <row r="106" spans="1:17" s="6" customFormat="1" ht="15" customHeight="1">
      <c r="A106" s="6" t="s">
        <v>369</v>
      </c>
      <c r="B106" s="6" t="s">
        <v>587</v>
      </c>
      <c r="C106" s="57">
        <v>2.0699999999999998</v>
      </c>
      <c r="D106" s="6">
        <v>2.512</v>
      </c>
      <c r="E106" s="6">
        <v>2.2949999999999999</v>
      </c>
      <c r="F106" s="57">
        <v>2.9049999999999998</v>
      </c>
      <c r="G106" s="57">
        <v>2.5329999999999999</v>
      </c>
      <c r="H106" s="57">
        <v>0.498</v>
      </c>
      <c r="I106" s="6">
        <v>2.2109999999999999</v>
      </c>
      <c r="J106" s="105">
        <v>0.6</v>
      </c>
      <c r="K106" s="6">
        <v>4</v>
      </c>
      <c r="L106" s="101" t="s">
        <v>322</v>
      </c>
      <c r="M106" s="101" t="s">
        <v>352</v>
      </c>
      <c r="N106" s="101" t="s">
        <v>41</v>
      </c>
      <c r="O106" s="59"/>
      <c r="P106" s="59"/>
      <c r="Q106" s="57"/>
    </row>
    <row r="107" spans="1:17" s="6" customFormat="1" ht="15" customHeight="1">
      <c r="A107" s="6" t="s">
        <v>370</v>
      </c>
      <c r="B107" s="6" t="s">
        <v>588</v>
      </c>
      <c r="C107" s="57">
        <v>0.85699999999999998</v>
      </c>
      <c r="D107" s="6">
        <v>3.9420000000000002</v>
      </c>
      <c r="E107" s="6">
        <v>4.3490000000000002</v>
      </c>
      <c r="F107" s="6">
        <v>2.4849999999999999</v>
      </c>
      <c r="G107" s="57">
        <v>0.28999999999999998</v>
      </c>
      <c r="H107" s="57">
        <v>0</v>
      </c>
      <c r="I107" s="57">
        <v>0</v>
      </c>
      <c r="J107" s="105">
        <v>1.1000000000000001</v>
      </c>
      <c r="K107" s="6">
        <v>4</v>
      </c>
      <c r="L107" s="101" t="s">
        <v>322</v>
      </c>
      <c r="M107" s="101" t="s">
        <v>352</v>
      </c>
      <c r="N107" s="101" t="s">
        <v>41</v>
      </c>
      <c r="O107" s="59"/>
      <c r="P107" s="59"/>
      <c r="Q107" s="57"/>
    </row>
    <row r="108" spans="1:17" s="69" customFormat="1" ht="15">
      <c r="B108" s="69" t="s">
        <v>416</v>
      </c>
      <c r="C108" s="107">
        <f>SUM(C77:C107)</f>
        <v>76.146000000000001</v>
      </c>
      <c r="D108" s="107">
        <f t="shared" ref="D108:I108" si="6">SUM(D77:D107)</f>
        <v>82.03</v>
      </c>
      <c r="E108" s="107">
        <f t="shared" si="6"/>
        <v>69.887</v>
      </c>
      <c r="F108" s="107">
        <f t="shared" si="6"/>
        <v>66.542000000000002</v>
      </c>
      <c r="G108" s="107">
        <f t="shared" si="6"/>
        <v>61.558</v>
      </c>
      <c r="H108" s="107">
        <f t="shared" si="6"/>
        <v>57.384000000000007</v>
      </c>
      <c r="I108" s="107">
        <f t="shared" si="6"/>
        <v>58.409000000000006</v>
      </c>
      <c r="L108" s="21"/>
      <c r="O108" s="108"/>
      <c r="P108" s="108"/>
      <c r="Q108" s="106"/>
    </row>
    <row r="109" spans="1:17" s="69" customFormat="1" ht="15">
      <c r="C109" s="107"/>
      <c r="D109" s="107"/>
      <c r="E109" s="107"/>
      <c r="F109" s="107"/>
      <c r="G109" s="107"/>
      <c r="H109" s="107"/>
      <c r="I109" s="107"/>
      <c r="L109" s="21"/>
      <c r="O109" s="108"/>
      <c r="P109" s="108"/>
      <c r="Q109" s="106"/>
    </row>
    <row r="110" spans="1:17" s="2" customFormat="1" ht="15">
      <c r="A110" s="14"/>
      <c r="B110" s="13" t="s">
        <v>540</v>
      </c>
      <c r="C110" s="14"/>
      <c r="D110" s="14"/>
      <c r="E110" s="14"/>
      <c r="F110" s="14"/>
      <c r="G110" s="14"/>
      <c r="H110" s="14"/>
      <c r="I110" s="14"/>
      <c r="J110" s="14"/>
      <c r="K110" s="14"/>
      <c r="L110" s="15"/>
      <c r="M110" s="14"/>
      <c r="N110" s="14"/>
      <c r="O110" s="216"/>
      <c r="P110" s="216"/>
    </row>
    <row r="111" spans="1:17" s="69" customFormat="1" ht="15">
      <c r="A111" s="69" t="s">
        <v>335</v>
      </c>
      <c r="B111" s="69" t="s">
        <v>2</v>
      </c>
      <c r="C111" s="187"/>
      <c r="D111" s="187"/>
      <c r="E111" s="187"/>
      <c r="F111" s="187"/>
      <c r="G111" s="187"/>
      <c r="H111" s="187"/>
      <c r="I111" s="187"/>
      <c r="L111" s="21"/>
      <c r="O111" s="108"/>
      <c r="P111" s="108"/>
      <c r="Q111" s="121"/>
    </row>
    <row r="112" spans="1:17" s="6" customFormat="1" ht="15" customHeight="1">
      <c r="A112" s="102" t="s">
        <v>358</v>
      </c>
      <c r="B112" s="6" t="s">
        <v>428</v>
      </c>
      <c r="C112" s="57">
        <v>0.83099999999999996</v>
      </c>
      <c r="D112" s="57">
        <v>0.95599999999999996</v>
      </c>
      <c r="E112" s="57">
        <v>1.105</v>
      </c>
      <c r="F112" s="57">
        <v>0.94699999999999995</v>
      </c>
      <c r="G112" s="57">
        <v>1.198</v>
      </c>
      <c r="H112" s="57">
        <v>1.125</v>
      </c>
      <c r="I112" s="57">
        <v>1.137</v>
      </c>
      <c r="J112" s="9">
        <v>20</v>
      </c>
      <c r="K112" s="9">
        <v>4</v>
      </c>
      <c r="L112" s="101" t="s">
        <v>322</v>
      </c>
      <c r="M112" s="9" t="s">
        <v>5</v>
      </c>
      <c r="N112" s="9" t="s">
        <v>40</v>
      </c>
      <c r="O112" s="59"/>
      <c r="P112" s="59"/>
      <c r="Q112" s="57"/>
    </row>
    <row r="113" spans="1:17" s="6" customFormat="1" ht="15" customHeight="1">
      <c r="A113" s="102" t="s">
        <v>358</v>
      </c>
      <c r="B113" s="6" t="s">
        <v>429</v>
      </c>
      <c r="C113" s="57">
        <v>0.16200000000000001</v>
      </c>
      <c r="D113" s="57">
        <v>0.16400000000000001</v>
      </c>
      <c r="E113" s="57">
        <v>0.16400000000000001</v>
      </c>
      <c r="F113" s="57">
        <v>0.16400000000000001</v>
      </c>
      <c r="G113" s="57">
        <v>0.16400000000000001</v>
      </c>
      <c r="H113" s="57">
        <v>0.16400000000000001</v>
      </c>
      <c r="I113" s="57">
        <v>0.16400000000000001</v>
      </c>
      <c r="J113" s="9">
        <v>20</v>
      </c>
      <c r="K113" s="9">
        <v>4</v>
      </c>
      <c r="L113" s="101" t="s">
        <v>322</v>
      </c>
      <c r="M113" s="9" t="s">
        <v>7</v>
      </c>
      <c r="N113" s="9" t="s">
        <v>40</v>
      </c>
      <c r="O113" s="59"/>
      <c r="P113" s="59"/>
      <c r="Q113" s="57"/>
    </row>
    <row r="114" spans="1:17" s="6" customFormat="1" ht="15" customHeight="1">
      <c r="A114" s="102" t="s">
        <v>359</v>
      </c>
      <c r="B114" s="6" t="s">
        <v>6</v>
      </c>
      <c r="C114" s="57">
        <v>2.4039999999999999</v>
      </c>
      <c r="D114" s="57">
        <v>2.335</v>
      </c>
      <c r="E114" s="57">
        <v>2.335</v>
      </c>
      <c r="F114" s="57">
        <v>2.335</v>
      </c>
      <c r="G114" s="57">
        <v>2.335</v>
      </c>
      <c r="H114" s="57">
        <v>2.335</v>
      </c>
      <c r="I114" s="57">
        <v>2.335</v>
      </c>
      <c r="J114" s="9">
        <v>25</v>
      </c>
      <c r="K114" s="9">
        <v>6</v>
      </c>
      <c r="L114" s="9" t="s">
        <v>174</v>
      </c>
      <c r="M114" s="9" t="s">
        <v>7</v>
      </c>
      <c r="N114" s="9" t="s">
        <v>40</v>
      </c>
      <c r="O114" s="59"/>
      <c r="P114" s="59"/>
      <c r="Q114" s="57"/>
    </row>
    <row r="115" spans="1:17" s="6" customFormat="1" ht="15" customHeight="1">
      <c r="A115" s="102" t="s">
        <v>359</v>
      </c>
      <c r="B115" s="6" t="s">
        <v>8</v>
      </c>
      <c r="C115" s="57">
        <v>5.5350000000000001</v>
      </c>
      <c r="D115" s="57">
        <v>4.9859999999999998</v>
      </c>
      <c r="E115" s="57">
        <v>5.024</v>
      </c>
      <c r="F115" s="57">
        <v>4.9859999999999998</v>
      </c>
      <c r="G115" s="57">
        <v>4.9160000000000004</v>
      </c>
      <c r="H115" s="57">
        <v>4.9160000000000004</v>
      </c>
      <c r="I115" s="57">
        <v>4.9160000000000004</v>
      </c>
      <c r="J115" s="9">
        <v>3.5</v>
      </c>
      <c r="K115" s="9">
        <v>11</v>
      </c>
      <c r="L115" s="101" t="s">
        <v>58</v>
      </c>
      <c r="M115" s="9" t="s">
        <v>9</v>
      </c>
      <c r="N115" s="9" t="s">
        <v>40</v>
      </c>
      <c r="O115" s="59"/>
      <c r="P115" s="59"/>
      <c r="Q115" s="57"/>
    </row>
    <row r="116" spans="1:17" s="6" customFormat="1" ht="12.75" customHeight="1">
      <c r="A116" s="102" t="s">
        <v>358</v>
      </c>
      <c r="B116" s="6" t="s">
        <v>3</v>
      </c>
      <c r="C116" s="57">
        <v>1.2430000000000001</v>
      </c>
      <c r="D116" s="57">
        <v>1.605</v>
      </c>
      <c r="E116" s="57">
        <v>2.2029999999999998</v>
      </c>
      <c r="F116" s="57">
        <v>1.5029999999999999</v>
      </c>
      <c r="G116" s="57">
        <v>1.49</v>
      </c>
      <c r="H116" s="57">
        <v>1.49</v>
      </c>
      <c r="I116" s="57">
        <v>1.49</v>
      </c>
      <c r="J116" s="9">
        <v>100</v>
      </c>
      <c r="K116" s="9">
        <v>6</v>
      </c>
      <c r="L116" s="9" t="s">
        <v>174</v>
      </c>
      <c r="M116" s="9" t="s">
        <v>4</v>
      </c>
      <c r="N116" s="9" t="s">
        <v>41</v>
      </c>
      <c r="O116" s="59"/>
      <c r="P116" s="59"/>
      <c r="Q116" s="57"/>
    </row>
    <row r="117" spans="1:17" s="6" customFormat="1" ht="15" customHeight="1">
      <c r="A117" s="102" t="s">
        <v>358</v>
      </c>
      <c r="B117" s="6" t="s">
        <v>614</v>
      </c>
      <c r="C117" s="57">
        <v>0</v>
      </c>
      <c r="D117" s="57">
        <v>0</v>
      </c>
      <c r="E117" s="57">
        <v>1.456</v>
      </c>
      <c r="F117" s="57">
        <v>1.6990000000000001</v>
      </c>
      <c r="G117" s="57">
        <v>3.5190000000000001</v>
      </c>
      <c r="H117" s="57">
        <v>3.3969999999999998</v>
      </c>
      <c r="I117" s="57">
        <v>3.3969999999999998</v>
      </c>
      <c r="J117" s="188">
        <v>95</v>
      </c>
      <c r="K117" s="9" t="s">
        <v>649</v>
      </c>
      <c r="L117" s="101"/>
      <c r="M117" s="9" t="s">
        <v>615</v>
      </c>
      <c r="N117" s="9" t="s">
        <v>41</v>
      </c>
      <c r="O117" s="59"/>
      <c r="P117" s="59"/>
      <c r="Q117" s="57"/>
    </row>
    <row r="118" spans="1:17" s="69" customFormat="1" ht="15">
      <c r="A118" s="125" t="s">
        <v>336</v>
      </c>
      <c r="B118" s="106" t="s">
        <v>338</v>
      </c>
      <c r="C118" s="107"/>
      <c r="D118" s="107"/>
      <c r="E118" s="107"/>
      <c r="F118" s="107"/>
      <c r="G118" s="107"/>
      <c r="H118" s="107"/>
      <c r="I118" s="107"/>
      <c r="J118" s="107"/>
      <c r="L118" s="21"/>
      <c r="O118" s="108"/>
      <c r="P118" s="108"/>
      <c r="Q118" s="121"/>
    </row>
    <row r="119" spans="1:17" s="6" customFormat="1" ht="12.75" customHeight="1">
      <c r="A119" s="6" t="s">
        <v>15</v>
      </c>
      <c r="B119" s="6" t="s">
        <v>619</v>
      </c>
      <c r="C119" s="88">
        <v>0.25</v>
      </c>
      <c r="D119" s="88">
        <v>0.255</v>
      </c>
      <c r="E119" s="88">
        <v>0.255</v>
      </c>
      <c r="F119" s="88">
        <v>0.255</v>
      </c>
      <c r="G119" s="88">
        <v>0.255</v>
      </c>
      <c r="H119" s="88">
        <v>0.255</v>
      </c>
      <c r="I119" s="88">
        <v>0.255</v>
      </c>
      <c r="J119" s="6">
        <v>100</v>
      </c>
      <c r="K119" s="6">
        <v>4</v>
      </c>
      <c r="L119" s="101" t="s">
        <v>322</v>
      </c>
      <c r="M119" s="6" t="s">
        <v>7</v>
      </c>
      <c r="N119" s="9" t="s">
        <v>40</v>
      </c>
      <c r="O119" s="59"/>
      <c r="P119" s="59"/>
      <c r="Q119" s="57"/>
    </row>
    <row r="120" spans="1:17" s="6" customFormat="1">
      <c r="A120" s="6" t="s">
        <v>15</v>
      </c>
      <c r="B120" s="6" t="s">
        <v>621</v>
      </c>
      <c r="C120" s="88">
        <v>0.16800000000000001</v>
      </c>
      <c r="D120" s="88">
        <v>0.16800000000000001</v>
      </c>
      <c r="E120" s="88">
        <v>0.159</v>
      </c>
      <c r="F120" s="88">
        <v>0.159</v>
      </c>
      <c r="G120" s="88">
        <v>0.159</v>
      </c>
      <c r="H120" s="88">
        <v>0.159</v>
      </c>
      <c r="I120" s="88">
        <v>0.159</v>
      </c>
      <c r="J120" s="6">
        <v>100</v>
      </c>
      <c r="K120" s="6">
        <v>11</v>
      </c>
      <c r="L120" s="101" t="s">
        <v>58</v>
      </c>
      <c r="M120" s="6" t="s">
        <v>7</v>
      </c>
      <c r="N120" s="9" t="s">
        <v>40</v>
      </c>
      <c r="O120" s="59"/>
      <c r="P120" s="59"/>
      <c r="Q120" s="57"/>
    </row>
    <row r="121" spans="1:17" s="6" customFormat="1">
      <c r="A121" s="6" t="s">
        <v>15</v>
      </c>
      <c r="B121" s="6" t="s">
        <v>46</v>
      </c>
      <c r="C121" s="88">
        <v>138.92599999999999</v>
      </c>
      <c r="D121" s="88">
        <v>153.93</v>
      </c>
      <c r="E121" s="88">
        <v>152.55099999999999</v>
      </c>
      <c r="F121" s="88">
        <v>161.761</v>
      </c>
      <c r="G121" s="88">
        <v>161.511</v>
      </c>
      <c r="H121" s="88">
        <v>161.511</v>
      </c>
      <c r="I121" s="88">
        <v>161.511</v>
      </c>
      <c r="J121" s="6">
        <v>100</v>
      </c>
      <c r="K121" s="6">
        <v>6</v>
      </c>
      <c r="L121" s="9" t="s">
        <v>174</v>
      </c>
      <c r="M121" s="6" t="s">
        <v>16</v>
      </c>
      <c r="N121" s="6" t="s">
        <v>40</v>
      </c>
      <c r="Q121" s="57"/>
    </row>
    <row r="122" spans="1:17" s="6" customFormat="1">
      <c r="A122" s="6" t="s">
        <v>18</v>
      </c>
      <c r="B122" s="6" t="s">
        <v>48</v>
      </c>
      <c r="C122" s="88">
        <v>3.3319999999999999</v>
      </c>
      <c r="D122" s="88">
        <v>6.1509999999999998</v>
      </c>
      <c r="E122" s="88">
        <v>6.5179999999999998</v>
      </c>
      <c r="F122" s="88">
        <v>6.6879999999999997</v>
      </c>
      <c r="G122" s="88">
        <v>6.6879999999999997</v>
      </c>
      <c r="H122" s="88">
        <v>6.6879999999999997</v>
      </c>
      <c r="I122" s="88">
        <v>6.6879999999999997</v>
      </c>
      <c r="J122" s="6">
        <v>100</v>
      </c>
      <c r="K122" s="6">
        <v>4</v>
      </c>
      <c r="L122" s="101" t="s">
        <v>322</v>
      </c>
      <c r="M122" s="6" t="s">
        <v>7</v>
      </c>
      <c r="N122" s="6" t="s">
        <v>40</v>
      </c>
      <c r="Q122" s="57"/>
    </row>
    <row r="123" spans="1:17" s="6" customFormat="1">
      <c r="A123" s="6" t="s">
        <v>18</v>
      </c>
      <c r="B123" s="6" t="s">
        <v>49</v>
      </c>
      <c r="C123" s="88">
        <v>9.57</v>
      </c>
      <c r="D123" s="88">
        <v>14.035</v>
      </c>
      <c r="E123" s="88">
        <v>16.305</v>
      </c>
      <c r="F123" s="88">
        <v>16.696000000000002</v>
      </c>
      <c r="G123" s="88">
        <v>16.696000000000002</v>
      </c>
      <c r="H123" s="88">
        <v>16.696000000000002</v>
      </c>
      <c r="I123" s="88">
        <v>16.696000000000002</v>
      </c>
      <c r="J123" s="6">
        <v>100</v>
      </c>
      <c r="K123" s="6">
        <v>4</v>
      </c>
      <c r="L123" s="101" t="s">
        <v>322</v>
      </c>
      <c r="M123" s="6" t="s">
        <v>7</v>
      </c>
      <c r="N123" s="6" t="s">
        <v>40</v>
      </c>
      <c r="Q123" s="57"/>
    </row>
    <row r="124" spans="1:17" s="6" customFormat="1">
      <c r="A124" s="6" t="s">
        <v>18</v>
      </c>
      <c r="B124" s="6" t="s">
        <v>50</v>
      </c>
      <c r="C124" s="88">
        <v>19.446000000000002</v>
      </c>
      <c r="D124" s="88">
        <v>21.995000000000001</v>
      </c>
      <c r="E124" s="88">
        <v>22.532</v>
      </c>
      <c r="F124" s="88">
        <v>23.6</v>
      </c>
      <c r="G124" s="88">
        <v>23.6</v>
      </c>
      <c r="H124" s="88">
        <v>23.6</v>
      </c>
      <c r="I124" s="88">
        <v>23.6</v>
      </c>
      <c r="J124" s="6">
        <v>100</v>
      </c>
      <c r="K124" s="6">
        <v>3</v>
      </c>
      <c r="L124" s="6" t="s">
        <v>96</v>
      </c>
      <c r="M124" s="6" t="s">
        <v>7</v>
      </c>
      <c r="N124" s="9" t="s">
        <v>40</v>
      </c>
      <c r="Q124" s="57"/>
    </row>
    <row r="125" spans="1:17" s="6" customFormat="1">
      <c r="A125" s="6" t="s">
        <v>19</v>
      </c>
      <c r="B125" s="6" t="s">
        <v>440</v>
      </c>
      <c r="C125" s="88">
        <v>19.936</v>
      </c>
      <c r="D125" s="88">
        <v>25.565999999999999</v>
      </c>
      <c r="E125" s="88">
        <v>23.437000000000001</v>
      </c>
      <c r="F125" s="88">
        <v>23.355</v>
      </c>
      <c r="G125" s="88">
        <v>24.084</v>
      </c>
      <c r="H125" s="88">
        <v>23.584</v>
      </c>
      <c r="I125" s="88">
        <v>23.584</v>
      </c>
      <c r="J125" s="6">
        <v>100</v>
      </c>
      <c r="K125" s="6">
        <v>6</v>
      </c>
      <c r="L125" s="9" t="s">
        <v>174</v>
      </c>
      <c r="M125" s="6" t="s">
        <v>20</v>
      </c>
      <c r="N125" s="9" t="s">
        <v>40</v>
      </c>
      <c r="Q125" s="57"/>
    </row>
    <row r="126" spans="1:17" s="6" customFormat="1">
      <c r="A126" s="6" t="s">
        <v>19</v>
      </c>
      <c r="B126" s="6" t="s">
        <v>448</v>
      </c>
      <c r="C126" s="88">
        <v>0.5</v>
      </c>
      <c r="D126" s="88">
        <v>5.0999999999999997E-2</v>
      </c>
      <c r="E126" s="88">
        <v>2.2440000000000002</v>
      </c>
      <c r="F126" s="88">
        <v>2.8479999999999999</v>
      </c>
      <c r="G126" s="88">
        <v>2.9329999999999998</v>
      </c>
      <c r="H126" s="88">
        <v>3.13</v>
      </c>
      <c r="I126" s="88">
        <v>3.13</v>
      </c>
      <c r="J126" s="6">
        <v>100</v>
      </c>
      <c r="K126" s="6">
        <v>6.13</v>
      </c>
      <c r="L126" s="101" t="s">
        <v>322</v>
      </c>
      <c r="M126" s="6" t="s">
        <v>21</v>
      </c>
      <c r="N126" s="6" t="s">
        <v>40</v>
      </c>
      <c r="Q126" s="57"/>
    </row>
    <row r="127" spans="1:17" s="6" customFormat="1">
      <c r="A127" s="6" t="s">
        <v>19</v>
      </c>
      <c r="B127" s="6" t="s">
        <v>442</v>
      </c>
      <c r="C127" s="88">
        <v>0</v>
      </c>
      <c r="D127" s="88">
        <v>0</v>
      </c>
      <c r="E127" s="88">
        <v>0</v>
      </c>
      <c r="F127" s="88">
        <v>0</v>
      </c>
      <c r="G127" s="88">
        <v>0</v>
      </c>
      <c r="H127" s="88">
        <v>0</v>
      </c>
      <c r="I127" s="88">
        <v>0</v>
      </c>
      <c r="J127" s="6">
        <v>100</v>
      </c>
      <c r="K127" s="6">
        <v>6</v>
      </c>
      <c r="L127" s="9" t="s">
        <v>174</v>
      </c>
      <c r="M127" s="6" t="s">
        <v>7</v>
      </c>
      <c r="N127" s="9" t="s">
        <v>40</v>
      </c>
      <c r="Q127" s="57"/>
    </row>
    <row r="128" spans="1:17" s="6" customFormat="1">
      <c r="A128" s="6" t="s">
        <v>616</v>
      </c>
      <c r="B128" s="6" t="s">
        <v>617</v>
      </c>
      <c r="C128" s="88">
        <v>0</v>
      </c>
      <c r="D128" s="88">
        <v>0</v>
      </c>
      <c r="E128" s="88">
        <v>0</v>
      </c>
      <c r="F128" s="88">
        <v>0</v>
      </c>
      <c r="G128" s="88">
        <v>0</v>
      </c>
      <c r="H128" s="88">
        <v>0</v>
      </c>
      <c r="I128" s="88">
        <v>0</v>
      </c>
      <c r="J128" s="6">
        <v>100</v>
      </c>
      <c r="K128" s="6">
        <v>3</v>
      </c>
      <c r="L128" s="6" t="s">
        <v>96</v>
      </c>
      <c r="M128" s="6" t="s">
        <v>10</v>
      </c>
      <c r="N128" s="9" t="s">
        <v>41</v>
      </c>
      <c r="O128" s="59"/>
      <c r="P128" s="59"/>
      <c r="Q128" s="57"/>
    </row>
    <row r="129" spans="1:17" s="6" customFormat="1">
      <c r="A129" s="6" t="s">
        <v>616</v>
      </c>
      <c r="B129" s="6" t="s">
        <v>430</v>
      </c>
      <c r="C129" s="88">
        <v>1.587</v>
      </c>
      <c r="D129" s="88">
        <v>0</v>
      </c>
      <c r="E129" s="88">
        <v>0</v>
      </c>
      <c r="F129" s="88">
        <v>0</v>
      </c>
      <c r="G129" s="88">
        <v>0</v>
      </c>
      <c r="H129" s="88">
        <v>0</v>
      </c>
      <c r="I129" s="88">
        <v>0</v>
      </c>
      <c r="J129" s="6">
        <v>100</v>
      </c>
      <c r="K129" s="6">
        <v>6</v>
      </c>
      <c r="L129" s="9" t="s">
        <v>174</v>
      </c>
      <c r="M129" s="6" t="s">
        <v>11</v>
      </c>
      <c r="N129" s="9" t="s">
        <v>41</v>
      </c>
      <c r="O129" s="59"/>
      <c r="P129" s="59"/>
      <c r="Q129" s="57"/>
    </row>
    <row r="130" spans="1:17" s="6" customFormat="1">
      <c r="A130" s="6" t="s">
        <v>37</v>
      </c>
      <c r="B130" s="6" t="s">
        <v>261</v>
      </c>
      <c r="C130" s="88">
        <v>14.236000000000001</v>
      </c>
      <c r="D130" s="88">
        <v>25.271999999999998</v>
      </c>
      <c r="E130" s="88">
        <v>31.271999999999998</v>
      </c>
      <c r="F130" s="88">
        <v>34.664999999999999</v>
      </c>
      <c r="G130" s="88">
        <v>36.284999999999997</v>
      </c>
      <c r="H130" s="88">
        <v>36.284999999999997</v>
      </c>
      <c r="I130" s="88">
        <v>36.284999999999997</v>
      </c>
      <c r="J130" s="6">
        <v>90</v>
      </c>
      <c r="K130" s="6" t="s">
        <v>527</v>
      </c>
      <c r="L130" s="9"/>
      <c r="M130" s="6" t="s">
        <v>14</v>
      </c>
      <c r="N130" s="9" t="s">
        <v>41</v>
      </c>
      <c r="O130" s="59"/>
      <c r="P130" s="59"/>
      <c r="Q130" s="57"/>
    </row>
    <row r="131" spans="1:17" s="6" customFormat="1" ht="13.5" customHeight="1">
      <c r="A131" s="6" t="s">
        <v>13</v>
      </c>
      <c r="B131" s="6" t="s">
        <v>431</v>
      </c>
      <c r="C131" s="88">
        <v>13.324999999999999</v>
      </c>
      <c r="D131" s="88">
        <v>17.808</v>
      </c>
      <c r="E131" s="88">
        <v>17.957999999999998</v>
      </c>
      <c r="F131" s="88">
        <v>17.957999999999998</v>
      </c>
      <c r="G131" s="88">
        <v>17.957999999999998</v>
      </c>
      <c r="H131" s="88">
        <v>17.957999999999998</v>
      </c>
      <c r="I131" s="88">
        <v>17.957999999999998</v>
      </c>
      <c r="J131" s="6">
        <v>100</v>
      </c>
      <c r="K131" s="6">
        <v>6</v>
      </c>
      <c r="L131" s="9" t="s">
        <v>174</v>
      </c>
      <c r="M131" s="6" t="s">
        <v>14</v>
      </c>
      <c r="N131" s="9" t="s">
        <v>41</v>
      </c>
      <c r="O131" s="59"/>
      <c r="P131" s="59"/>
      <c r="Q131" s="57"/>
    </row>
    <row r="132" spans="1:17" s="6" customFormat="1" ht="12.75" customHeight="1">
      <c r="A132" s="6" t="s">
        <v>15</v>
      </c>
      <c r="B132" s="6" t="s">
        <v>620</v>
      </c>
      <c r="C132" s="88">
        <v>0.92300000000000004</v>
      </c>
      <c r="D132" s="88">
        <v>0.51200000000000001</v>
      </c>
      <c r="E132" s="88">
        <v>0.51200000000000001</v>
      </c>
      <c r="F132" s="88">
        <v>0.51200000000000001</v>
      </c>
      <c r="G132" s="88">
        <v>1.2E-2</v>
      </c>
      <c r="H132" s="88">
        <v>1.2E-2</v>
      </c>
      <c r="I132" s="88">
        <v>1.2E-2</v>
      </c>
      <c r="J132" s="6">
        <v>100</v>
      </c>
      <c r="K132" s="6">
        <v>6</v>
      </c>
      <c r="L132" s="9" t="s">
        <v>174</v>
      </c>
      <c r="M132" s="6" t="s">
        <v>23</v>
      </c>
      <c r="N132" s="9" t="s">
        <v>41</v>
      </c>
      <c r="O132" s="59"/>
      <c r="P132" s="59"/>
      <c r="Q132" s="57"/>
    </row>
    <row r="133" spans="1:17" s="6" customFormat="1">
      <c r="A133" s="6" t="s">
        <v>15</v>
      </c>
      <c r="B133" s="6" t="s">
        <v>622</v>
      </c>
      <c r="C133" s="88">
        <v>4.2999999999999997E-2</v>
      </c>
      <c r="D133" s="88">
        <v>0</v>
      </c>
      <c r="E133" s="88">
        <v>0</v>
      </c>
      <c r="F133" s="88">
        <v>0</v>
      </c>
      <c r="G133" s="88">
        <v>0</v>
      </c>
      <c r="H133" s="88">
        <v>0</v>
      </c>
      <c r="I133" s="88">
        <v>0</v>
      </c>
      <c r="J133" s="6">
        <v>100</v>
      </c>
      <c r="K133" s="6">
        <v>6</v>
      </c>
      <c r="L133" s="9" t="s">
        <v>174</v>
      </c>
      <c r="M133" s="6" t="s">
        <v>11</v>
      </c>
      <c r="N133" s="9" t="s">
        <v>300</v>
      </c>
      <c r="O133" s="59"/>
      <c r="P133" s="59"/>
      <c r="Q133" s="57"/>
    </row>
    <row r="134" spans="1:17" s="6" customFormat="1">
      <c r="A134" s="6" t="s">
        <v>15</v>
      </c>
      <c r="B134" s="6" t="s">
        <v>433</v>
      </c>
      <c r="C134" s="88">
        <v>0.27500000000000002</v>
      </c>
      <c r="D134" s="88">
        <v>0</v>
      </c>
      <c r="E134" s="88">
        <v>0</v>
      </c>
      <c r="F134" s="88">
        <v>0</v>
      </c>
      <c r="G134" s="88">
        <v>0</v>
      </c>
      <c r="H134" s="88">
        <v>0</v>
      </c>
      <c r="I134" s="88">
        <v>0</v>
      </c>
      <c r="J134" s="6">
        <v>100</v>
      </c>
      <c r="K134" s="6">
        <v>6</v>
      </c>
      <c r="L134" s="9" t="s">
        <v>174</v>
      </c>
      <c r="M134" s="6" t="s">
        <v>23</v>
      </c>
      <c r="N134" s="9" t="s">
        <v>41</v>
      </c>
      <c r="Q134" s="57"/>
    </row>
    <row r="135" spans="1:17" s="6" customFormat="1">
      <c r="A135" s="6" t="s">
        <v>15</v>
      </c>
      <c r="B135" s="6" t="s">
        <v>434</v>
      </c>
      <c r="C135" s="88">
        <v>7.4999999999999997E-2</v>
      </c>
      <c r="D135" s="88">
        <v>0</v>
      </c>
      <c r="E135" s="88">
        <v>0</v>
      </c>
      <c r="F135" s="88">
        <v>0</v>
      </c>
      <c r="G135" s="88">
        <v>0</v>
      </c>
      <c r="H135" s="88">
        <v>0</v>
      </c>
      <c r="I135" s="88">
        <v>0</v>
      </c>
      <c r="J135" s="6">
        <v>100</v>
      </c>
      <c r="K135" s="6">
        <v>6</v>
      </c>
      <c r="L135" s="9" t="s">
        <v>174</v>
      </c>
      <c r="M135" s="6" t="s">
        <v>14</v>
      </c>
      <c r="N135" s="9" t="s">
        <v>41</v>
      </c>
      <c r="Q135" s="57"/>
    </row>
    <row r="136" spans="1:17" s="6" customFormat="1">
      <c r="A136" s="6" t="s">
        <v>15</v>
      </c>
      <c r="B136" s="6" t="s">
        <v>432</v>
      </c>
      <c r="C136" s="88">
        <v>3.0779999999999998</v>
      </c>
      <c r="D136" s="88">
        <v>0</v>
      </c>
      <c r="E136" s="88">
        <v>0</v>
      </c>
      <c r="F136" s="88">
        <v>0</v>
      </c>
      <c r="G136" s="88">
        <v>0</v>
      </c>
      <c r="H136" s="88">
        <v>0</v>
      </c>
      <c r="I136" s="88">
        <v>0</v>
      </c>
      <c r="J136" s="6">
        <v>80</v>
      </c>
      <c r="K136" s="6">
        <v>6</v>
      </c>
      <c r="L136" s="9" t="s">
        <v>174</v>
      </c>
      <c r="M136" s="6" t="s">
        <v>11</v>
      </c>
      <c r="N136" s="9" t="s">
        <v>41</v>
      </c>
      <c r="Q136" s="57"/>
    </row>
    <row r="137" spans="1:17" s="6" customFormat="1">
      <c r="A137" s="6" t="s">
        <v>15</v>
      </c>
      <c r="B137" s="6" t="s">
        <v>435</v>
      </c>
      <c r="C137" s="88">
        <v>0</v>
      </c>
      <c r="D137" s="88">
        <v>0</v>
      </c>
      <c r="E137" s="88">
        <v>0</v>
      </c>
      <c r="F137" s="88">
        <v>0</v>
      </c>
      <c r="G137" s="88">
        <v>0</v>
      </c>
      <c r="H137" s="88">
        <v>0</v>
      </c>
      <c r="I137" s="88">
        <v>0</v>
      </c>
      <c r="J137" s="6">
        <v>100</v>
      </c>
      <c r="K137" s="6">
        <v>6</v>
      </c>
      <c r="L137" s="9" t="s">
        <v>174</v>
      </c>
      <c r="M137" s="6" t="s">
        <v>14</v>
      </c>
      <c r="N137" s="9" t="s">
        <v>41</v>
      </c>
      <c r="Q137" s="57"/>
    </row>
    <row r="138" spans="1:17" s="6" customFormat="1">
      <c r="A138" s="6" t="s">
        <v>17</v>
      </c>
      <c r="B138" s="6" t="s">
        <v>47</v>
      </c>
      <c r="C138" s="88">
        <v>36.499000000000002</v>
      </c>
      <c r="D138" s="88">
        <v>40.451000000000001</v>
      </c>
      <c r="E138" s="88">
        <v>41.335999999999999</v>
      </c>
      <c r="F138" s="88">
        <v>40.835999999999999</v>
      </c>
      <c r="G138" s="88">
        <v>40.536000000000001</v>
      </c>
      <c r="H138" s="88">
        <v>39.936</v>
      </c>
      <c r="I138" s="88">
        <v>38.856999999999999</v>
      </c>
      <c r="J138" s="6">
        <v>100</v>
      </c>
      <c r="K138" s="6">
        <v>6</v>
      </c>
      <c r="L138" s="9" t="s">
        <v>174</v>
      </c>
      <c r="M138" s="6" t="s">
        <v>14</v>
      </c>
      <c r="N138" s="9" t="s">
        <v>41</v>
      </c>
      <c r="Q138" s="57"/>
    </row>
    <row r="139" spans="1:17" s="6" customFormat="1">
      <c r="A139" s="6" t="s">
        <v>17</v>
      </c>
      <c r="B139" s="6" t="s">
        <v>437</v>
      </c>
      <c r="C139" s="88">
        <v>7.375</v>
      </c>
      <c r="D139" s="88">
        <v>8.3919999999999995</v>
      </c>
      <c r="E139" s="88">
        <v>4.5860000000000003</v>
      </c>
      <c r="F139" s="88">
        <v>4.1319999999999997</v>
      </c>
      <c r="G139" s="88">
        <v>4.1319999999999997</v>
      </c>
      <c r="H139" s="88">
        <v>4.1319999999999997</v>
      </c>
      <c r="I139" s="88">
        <v>4.1319999999999997</v>
      </c>
      <c r="J139" s="6">
        <v>100</v>
      </c>
      <c r="K139" s="59" t="s">
        <v>527</v>
      </c>
      <c r="M139" s="6" t="s">
        <v>14</v>
      </c>
      <c r="N139" s="9" t="s">
        <v>41</v>
      </c>
      <c r="Q139" s="57"/>
    </row>
    <row r="140" spans="1:17" s="6" customFormat="1">
      <c r="A140" s="6" t="s">
        <v>17</v>
      </c>
      <c r="B140" s="6" t="s">
        <v>438</v>
      </c>
      <c r="C140" s="88">
        <v>90.497</v>
      </c>
      <c r="D140" s="88">
        <v>116.715</v>
      </c>
      <c r="E140" s="88">
        <v>138.364</v>
      </c>
      <c r="F140" s="88">
        <v>157.90799999999999</v>
      </c>
      <c r="G140" s="88">
        <v>164.90799999999999</v>
      </c>
      <c r="H140" s="88">
        <v>167.90799999999999</v>
      </c>
      <c r="I140" s="88">
        <v>167.90799999999999</v>
      </c>
      <c r="J140" s="6">
        <v>100</v>
      </c>
      <c r="K140" s="59" t="s">
        <v>527</v>
      </c>
      <c r="M140" s="6" t="s">
        <v>14</v>
      </c>
      <c r="N140" s="9" t="s">
        <v>41</v>
      </c>
      <c r="Q140" s="57"/>
    </row>
    <row r="141" spans="1:17" s="6" customFormat="1">
      <c r="A141" s="6" t="s">
        <v>17</v>
      </c>
      <c r="B141" s="6" t="s">
        <v>439</v>
      </c>
      <c r="C141" s="88">
        <v>2.9319999999999999</v>
      </c>
      <c r="D141" s="88">
        <v>0.309</v>
      </c>
      <c r="E141" s="88">
        <v>0</v>
      </c>
      <c r="F141" s="88">
        <v>0</v>
      </c>
      <c r="G141" s="88">
        <v>0</v>
      </c>
      <c r="H141" s="88">
        <v>0</v>
      </c>
      <c r="I141" s="88">
        <v>0</v>
      </c>
      <c r="J141" s="6">
        <v>100</v>
      </c>
      <c r="K141" s="59" t="s">
        <v>623</v>
      </c>
      <c r="M141" s="6" t="s">
        <v>14</v>
      </c>
      <c r="N141" s="9" t="s">
        <v>41</v>
      </c>
      <c r="Q141" s="57"/>
    </row>
    <row r="142" spans="1:17" s="6" customFormat="1">
      <c r="A142" s="6" t="s">
        <v>19</v>
      </c>
      <c r="B142" s="6" t="s">
        <v>441</v>
      </c>
      <c r="C142" s="88">
        <v>0</v>
      </c>
      <c r="D142" s="88">
        <v>0</v>
      </c>
      <c r="E142" s="88">
        <v>0</v>
      </c>
      <c r="F142" s="88">
        <v>0</v>
      </c>
      <c r="G142" s="88">
        <v>0</v>
      </c>
      <c r="H142" s="88">
        <v>0</v>
      </c>
      <c r="I142" s="88">
        <v>0</v>
      </c>
      <c r="J142" s="6">
        <v>100</v>
      </c>
      <c r="K142" s="6">
        <v>6</v>
      </c>
      <c r="L142" s="9" t="s">
        <v>174</v>
      </c>
      <c r="M142" s="6" t="s">
        <v>23</v>
      </c>
      <c r="N142" s="9" t="s">
        <v>41</v>
      </c>
      <c r="Q142" s="57"/>
    </row>
    <row r="143" spans="1:17" s="6" customFormat="1">
      <c r="A143" s="6" t="s">
        <v>19</v>
      </c>
      <c r="B143" s="6" t="s">
        <v>443</v>
      </c>
      <c r="C143" s="88">
        <v>0.112</v>
      </c>
      <c r="D143" s="88">
        <v>0</v>
      </c>
      <c r="E143" s="88">
        <v>0</v>
      </c>
      <c r="F143" s="88">
        <v>0</v>
      </c>
      <c r="G143" s="88">
        <v>0</v>
      </c>
      <c r="H143" s="88">
        <v>0</v>
      </c>
      <c r="I143" s="88">
        <v>0</v>
      </c>
      <c r="J143" s="6">
        <v>100</v>
      </c>
      <c r="K143" s="6">
        <v>6</v>
      </c>
      <c r="L143" s="9" t="s">
        <v>174</v>
      </c>
      <c r="M143" s="6" t="s">
        <v>11</v>
      </c>
      <c r="N143" s="9" t="s">
        <v>41</v>
      </c>
      <c r="Q143" s="57"/>
    </row>
    <row r="144" spans="1:17" s="6" customFormat="1">
      <c r="A144" s="6" t="s">
        <v>19</v>
      </c>
      <c r="B144" s="6" t="s">
        <v>444</v>
      </c>
      <c r="C144" s="88">
        <v>3.9E-2</v>
      </c>
      <c r="D144" s="88">
        <v>0</v>
      </c>
      <c r="E144" s="88">
        <v>0</v>
      </c>
      <c r="F144" s="88">
        <v>0</v>
      </c>
      <c r="G144" s="88">
        <v>0</v>
      </c>
      <c r="H144" s="88">
        <v>0</v>
      </c>
      <c r="I144" s="88">
        <v>0</v>
      </c>
      <c r="J144" s="6">
        <v>100</v>
      </c>
      <c r="K144" s="6">
        <v>6</v>
      </c>
      <c r="L144" s="9" t="s">
        <v>174</v>
      </c>
      <c r="M144" s="6" t="s">
        <v>7</v>
      </c>
      <c r="N144" s="9" t="s">
        <v>41</v>
      </c>
      <c r="Q144" s="57"/>
    </row>
    <row r="145" spans="1:17" s="6" customFormat="1">
      <c r="A145" s="6" t="s">
        <v>19</v>
      </c>
      <c r="B145" s="6" t="s">
        <v>445</v>
      </c>
      <c r="C145" s="88">
        <v>12.49</v>
      </c>
      <c r="D145" s="88">
        <v>1E-3</v>
      </c>
      <c r="E145" s="88">
        <v>4.0000000000000001E-3</v>
      </c>
      <c r="F145" s="88">
        <v>4.0000000000000001E-3</v>
      </c>
      <c r="G145" s="88">
        <v>1E-3</v>
      </c>
      <c r="H145" s="88">
        <v>1E-3</v>
      </c>
      <c r="I145" s="88">
        <v>1E-3</v>
      </c>
      <c r="J145" s="6">
        <v>100</v>
      </c>
      <c r="K145" s="6">
        <v>6</v>
      </c>
      <c r="L145" s="9" t="s">
        <v>174</v>
      </c>
      <c r="M145" s="6" t="s">
        <v>449</v>
      </c>
      <c r="N145" s="9" t="s">
        <v>41</v>
      </c>
      <c r="Q145" s="57"/>
    </row>
    <row r="146" spans="1:17" s="6" customFormat="1">
      <c r="A146" s="6" t="s">
        <v>19</v>
      </c>
      <c r="B146" s="6" t="s">
        <v>446</v>
      </c>
      <c r="C146" s="88">
        <v>4.9880000000000004</v>
      </c>
      <c r="D146" s="88">
        <v>0</v>
      </c>
      <c r="E146" s="88">
        <v>0</v>
      </c>
      <c r="F146" s="88">
        <v>0</v>
      </c>
      <c r="G146" s="88">
        <v>0</v>
      </c>
      <c r="H146" s="88">
        <v>0</v>
      </c>
      <c r="I146" s="88">
        <v>0</v>
      </c>
      <c r="J146" s="6">
        <v>100</v>
      </c>
      <c r="K146" s="6">
        <v>6</v>
      </c>
      <c r="L146" s="9" t="s">
        <v>174</v>
      </c>
      <c r="M146" s="6" t="s">
        <v>449</v>
      </c>
      <c r="N146" s="9" t="s">
        <v>41</v>
      </c>
      <c r="Q146" s="57"/>
    </row>
    <row r="147" spans="1:17" s="6" customFormat="1">
      <c r="A147" s="6" t="s">
        <v>19</v>
      </c>
      <c r="B147" s="6" t="s">
        <v>447</v>
      </c>
      <c r="C147" s="88">
        <v>1.35</v>
      </c>
      <c r="D147" s="88">
        <v>0</v>
      </c>
      <c r="E147" s="88">
        <v>1.792</v>
      </c>
      <c r="F147" s="88">
        <v>0</v>
      </c>
      <c r="G147" s="88">
        <v>0</v>
      </c>
      <c r="H147" s="88">
        <v>0</v>
      </c>
      <c r="I147" s="88">
        <v>0</v>
      </c>
      <c r="J147" s="6">
        <v>100</v>
      </c>
      <c r="K147" s="6">
        <v>6</v>
      </c>
      <c r="L147" s="9" t="s">
        <v>174</v>
      </c>
      <c r="M147" s="6" t="s">
        <v>7</v>
      </c>
      <c r="N147" s="9" t="s">
        <v>41</v>
      </c>
      <c r="Q147" s="57"/>
    </row>
    <row r="148" spans="1:17" s="6" customFormat="1">
      <c r="A148" s="6" t="s">
        <v>19</v>
      </c>
      <c r="B148" s="6" t="s">
        <v>450</v>
      </c>
      <c r="C148" s="88">
        <v>5.8440000000000003</v>
      </c>
      <c r="D148" s="88">
        <v>0</v>
      </c>
      <c r="E148" s="88">
        <v>0</v>
      </c>
      <c r="F148" s="88">
        <v>0</v>
      </c>
      <c r="G148" s="88">
        <v>0</v>
      </c>
      <c r="H148" s="88">
        <v>0</v>
      </c>
      <c r="I148" s="88">
        <v>0</v>
      </c>
      <c r="J148" s="6">
        <v>100</v>
      </c>
      <c r="K148" s="6">
        <v>6</v>
      </c>
      <c r="L148" s="9" t="s">
        <v>174</v>
      </c>
      <c r="M148" s="6" t="s">
        <v>455</v>
      </c>
      <c r="N148" s="9" t="s">
        <v>41</v>
      </c>
      <c r="Q148" s="57"/>
    </row>
    <row r="149" spans="1:17" s="6" customFormat="1">
      <c r="A149" s="6" t="s">
        <v>19</v>
      </c>
      <c r="B149" s="6" t="s">
        <v>451</v>
      </c>
      <c r="C149" s="88">
        <v>0.41499999999999998</v>
      </c>
      <c r="D149" s="88">
        <v>0</v>
      </c>
      <c r="E149" s="88">
        <v>0</v>
      </c>
      <c r="F149" s="88">
        <v>0</v>
      </c>
      <c r="G149" s="88">
        <v>0</v>
      </c>
      <c r="H149" s="88">
        <v>0</v>
      </c>
      <c r="I149" s="88">
        <v>0</v>
      </c>
      <c r="J149" s="6">
        <v>100</v>
      </c>
      <c r="K149" s="6">
        <v>6</v>
      </c>
      <c r="L149" s="9" t="s">
        <v>174</v>
      </c>
      <c r="M149" s="6" t="s">
        <v>455</v>
      </c>
      <c r="N149" s="9" t="s">
        <v>41</v>
      </c>
      <c r="Q149" s="57"/>
    </row>
    <row r="150" spans="1:17" s="6" customFormat="1">
      <c r="A150" s="6" t="s">
        <v>19</v>
      </c>
      <c r="B150" s="6" t="s">
        <v>452</v>
      </c>
      <c r="C150" s="88">
        <v>0</v>
      </c>
      <c r="D150" s="88">
        <v>8.9999999999999993E-3</v>
      </c>
      <c r="E150" s="88">
        <v>0.01</v>
      </c>
      <c r="F150" s="88">
        <v>0.01</v>
      </c>
      <c r="G150" s="88">
        <v>0.01</v>
      </c>
      <c r="H150" s="88">
        <v>0.01</v>
      </c>
      <c r="I150" s="88">
        <v>0.01</v>
      </c>
      <c r="J150" s="6">
        <v>100</v>
      </c>
      <c r="K150" s="6">
        <v>6</v>
      </c>
      <c r="L150" s="9" t="s">
        <v>174</v>
      </c>
      <c r="M150" s="6" t="s">
        <v>456</v>
      </c>
      <c r="N150" s="9" t="s">
        <v>41</v>
      </c>
      <c r="Q150" s="57"/>
    </row>
    <row r="151" spans="1:17" s="6" customFormat="1">
      <c r="A151" s="6" t="s">
        <v>19</v>
      </c>
      <c r="B151" s="6" t="s">
        <v>453</v>
      </c>
      <c r="C151" s="88">
        <v>0.76200000000000001</v>
      </c>
      <c r="D151" s="88">
        <v>0</v>
      </c>
      <c r="E151" s="88">
        <v>0</v>
      </c>
      <c r="F151" s="88">
        <v>0</v>
      </c>
      <c r="G151" s="88">
        <v>0</v>
      </c>
      <c r="H151" s="88">
        <v>0</v>
      </c>
      <c r="I151" s="88">
        <v>0</v>
      </c>
      <c r="J151" s="6">
        <v>100</v>
      </c>
      <c r="K151" s="6">
        <v>4</v>
      </c>
      <c r="L151" s="101" t="s">
        <v>322</v>
      </c>
      <c r="M151" s="6" t="s">
        <v>7</v>
      </c>
      <c r="N151" s="9" t="s">
        <v>41</v>
      </c>
      <c r="Q151" s="57"/>
    </row>
    <row r="152" spans="1:17" s="6" customFormat="1">
      <c r="A152" s="6" t="s">
        <v>19</v>
      </c>
      <c r="B152" s="6" t="s">
        <v>457</v>
      </c>
      <c r="C152" s="88">
        <v>0.09</v>
      </c>
      <c r="D152" s="88">
        <v>0</v>
      </c>
      <c r="E152" s="88">
        <v>0</v>
      </c>
      <c r="F152" s="88">
        <v>0</v>
      </c>
      <c r="G152" s="88">
        <v>0</v>
      </c>
      <c r="H152" s="88">
        <v>0</v>
      </c>
      <c r="I152" s="88">
        <v>0</v>
      </c>
      <c r="J152" s="6">
        <v>100</v>
      </c>
      <c r="K152" s="6">
        <v>6</v>
      </c>
      <c r="L152" s="9" t="s">
        <v>174</v>
      </c>
      <c r="M152" s="6" t="s">
        <v>7</v>
      </c>
      <c r="N152" s="9" t="s">
        <v>41</v>
      </c>
      <c r="Q152" s="57"/>
    </row>
    <row r="153" spans="1:17" s="6" customFormat="1">
      <c r="A153" s="6" t="s">
        <v>19</v>
      </c>
      <c r="B153" s="6" t="s">
        <v>298</v>
      </c>
      <c r="C153" s="88">
        <v>3.282</v>
      </c>
      <c r="D153" s="88">
        <v>1.907</v>
      </c>
      <c r="E153" s="88">
        <v>1.427</v>
      </c>
      <c r="F153" s="88">
        <v>0.78900000000000003</v>
      </c>
      <c r="G153" s="88">
        <v>0.502</v>
      </c>
      <c r="H153" s="88">
        <v>0.502</v>
      </c>
      <c r="I153" s="88">
        <v>0.502</v>
      </c>
      <c r="J153" s="6">
        <v>100</v>
      </c>
      <c r="K153" s="59" t="s">
        <v>299</v>
      </c>
      <c r="L153" s="101"/>
      <c r="M153" s="6" t="s">
        <v>20</v>
      </c>
      <c r="N153" s="9" t="s">
        <v>41</v>
      </c>
      <c r="O153" s="59"/>
      <c r="P153" s="59"/>
      <c r="Q153" s="57"/>
    </row>
    <row r="154" spans="1:17" s="6" customFormat="1">
      <c r="A154" s="6" t="s">
        <v>19</v>
      </c>
      <c r="B154" s="6" t="s">
        <v>454</v>
      </c>
      <c r="C154" s="88">
        <v>4.0000000000000001E-3</v>
      </c>
      <c r="D154" s="88">
        <v>0</v>
      </c>
      <c r="E154" s="88">
        <v>0</v>
      </c>
      <c r="F154" s="88">
        <v>0</v>
      </c>
      <c r="G154" s="88">
        <v>0</v>
      </c>
      <c r="H154" s="88">
        <v>0</v>
      </c>
      <c r="I154" s="88">
        <v>0</v>
      </c>
      <c r="J154" s="6">
        <v>20</v>
      </c>
      <c r="K154" s="59">
        <v>10</v>
      </c>
      <c r="L154" s="101" t="s">
        <v>68</v>
      </c>
      <c r="M154" s="6" t="s">
        <v>455</v>
      </c>
      <c r="N154" s="9" t="s">
        <v>41</v>
      </c>
      <c r="O154" s="59"/>
      <c r="P154" s="59"/>
      <c r="Q154" s="57"/>
    </row>
    <row r="155" spans="1:17" s="6" customFormat="1">
      <c r="A155" s="6" t="s">
        <v>458</v>
      </c>
      <c r="B155" s="6" t="s">
        <v>515</v>
      </c>
      <c r="C155" s="88">
        <v>3.0000000000000001E-3</v>
      </c>
      <c r="D155" s="88">
        <v>0.498</v>
      </c>
      <c r="E155" s="88">
        <v>13.31</v>
      </c>
      <c r="F155" s="88">
        <v>68.664000000000001</v>
      </c>
      <c r="G155" s="88">
        <v>43.093000000000004</v>
      </c>
      <c r="H155" s="88">
        <v>43.093000000000004</v>
      </c>
      <c r="I155" s="88">
        <v>43.451999999999998</v>
      </c>
      <c r="J155" s="6">
        <v>100</v>
      </c>
      <c r="K155" s="6">
        <v>3</v>
      </c>
      <c r="L155" s="6" t="s">
        <v>96</v>
      </c>
      <c r="M155" s="6" t="s">
        <v>10</v>
      </c>
      <c r="N155" s="9" t="s">
        <v>41</v>
      </c>
      <c r="O155" s="59"/>
      <c r="P155" s="59"/>
      <c r="Q155" s="57"/>
    </row>
    <row r="156" spans="1:17" s="6" customFormat="1">
      <c r="A156" s="6" t="s">
        <v>458</v>
      </c>
      <c r="B156" s="6" t="s">
        <v>516</v>
      </c>
      <c r="C156" s="88">
        <v>4.617</v>
      </c>
      <c r="D156" s="88">
        <v>6.3710000000000004</v>
      </c>
      <c r="E156" s="88">
        <v>0.35299999999999998</v>
      </c>
      <c r="F156" s="88">
        <v>0.35199999999999998</v>
      </c>
      <c r="G156" s="88">
        <v>5.0000000000000001E-3</v>
      </c>
      <c r="H156" s="88">
        <v>5.0000000000000001E-3</v>
      </c>
      <c r="I156" s="88">
        <v>5.0000000000000001E-3</v>
      </c>
      <c r="J156" s="6">
        <v>100</v>
      </c>
      <c r="K156" s="6">
        <v>3</v>
      </c>
      <c r="L156" s="6" t="s">
        <v>96</v>
      </c>
      <c r="M156" s="6" t="s">
        <v>10</v>
      </c>
      <c r="N156" s="9" t="s">
        <v>41</v>
      </c>
      <c r="O156" s="59"/>
      <c r="P156" s="59"/>
      <c r="Q156" s="57"/>
    </row>
    <row r="157" spans="1:17" s="6" customFormat="1">
      <c r="A157" s="6" t="s">
        <v>458</v>
      </c>
      <c r="B157" s="6" t="s">
        <v>517</v>
      </c>
      <c r="C157" s="88">
        <v>61.978999999999999</v>
      </c>
      <c r="D157" s="88">
        <v>63.194000000000003</v>
      </c>
      <c r="E157" s="88">
        <v>54.947000000000003</v>
      </c>
      <c r="F157" s="88">
        <v>25.167999999999999</v>
      </c>
      <c r="G157" s="88">
        <v>25.167999999999999</v>
      </c>
      <c r="H157" s="88">
        <v>25.167999999999999</v>
      </c>
      <c r="I157" s="88">
        <v>25.167999999999999</v>
      </c>
      <c r="J157" s="6">
        <v>100</v>
      </c>
      <c r="K157" s="6">
        <v>3</v>
      </c>
      <c r="L157" s="6" t="s">
        <v>96</v>
      </c>
      <c r="M157" s="6" t="s">
        <v>10</v>
      </c>
      <c r="N157" s="9" t="s">
        <v>41</v>
      </c>
      <c r="O157" s="59"/>
      <c r="P157" s="59"/>
      <c r="Q157" s="57"/>
    </row>
    <row r="158" spans="1:17" s="6" customFormat="1">
      <c r="A158" s="6" t="s">
        <v>333</v>
      </c>
      <c r="B158" s="6" t="s">
        <v>519</v>
      </c>
      <c r="C158" s="88">
        <v>2.2890000000000001</v>
      </c>
      <c r="D158" s="88">
        <v>2.6389999999999998</v>
      </c>
      <c r="E158" s="88">
        <v>2.9119999999999999</v>
      </c>
      <c r="F158" s="88">
        <v>2.9119999999999999</v>
      </c>
      <c r="G158" s="88">
        <v>2.9119999999999999</v>
      </c>
      <c r="H158" s="88">
        <v>2.9119999999999999</v>
      </c>
      <c r="I158" s="88">
        <v>2.9119999999999999</v>
      </c>
      <c r="J158" s="6">
        <v>100</v>
      </c>
      <c r="K158" s="6">
        <v>6</v>
      </c>
      <c r="L158" s="9" t="s">
        <v>174</v>
      </c>
      <c r="M158" s="6" t="s">
        <v>332</v>
      </c>
      <c r="N158" s="9" t="s">
        <v>41</v>
      </c>
      <c r="O158" s="59"/>
      <c r="P158" s="59"/>
      <c r="Q158" s="57"/>
    </row>
    <row r="159" spans="1:17" s="6" customFormat="1">
      <c r="A159" s="6" t="s">
        <v>333</v>
      </c>
      <c r="B159" s="6" t="s">
        <v>520</v>
      </c>
      <c r="C159" s="88">
        <v>0.06</v>
      </c>
      <c r="D159" s="88">
        <v>0.59499999999999997</v>
      </c>
      <c r="E159" s="88">
        <v>0.56200000000000006</v>
      </c>
      <c r="F159" s="88">
        <v>0.56200000000000006</v>
      </c>
      <c r="G159" s="88">
        <v>0.56200000000000006</v>
      </c>
      <c r="H159" s="88">
        <v>0.56200000000000006</v>
      </c>
      <c r="I159" s="88">
        <v>0.56200000000000006</v>
      </c>
      <c r="J159" s="6">
        <v>100</v>
      </c>
      <c r="K159" s="6">
        <v>6</v>
      </c>
      <c r="L159" s="9" t="s">
        <v>174</v>
      </c>
      <c r="M159" s="6" t="s">
        <v>332</v>
      </c>
      <c r="N159" s="9" t="s">
        <v>41</v>
      </c>
      <c r="O159" s="59"/>
      <c r="P159" s="59"/>
      <c r="Q159" s="57"/>
    </row>
    <row r="160" spans="1:17" s="6" customFormat="1">
      <c r="A160" s="6" t="s">
        <v>518</v>
      </c>
      <c r="B160" s="6" t="s">
        <v>521</v>
      </c>
      <c r="C160" s="88">
        <v>0.55600000000000005</v>
      </c>
      <c r="D160" s="88">
        <v>0</v>
      </c>
      <c r="E160" s="88">
        <v>0</v>
      </c>
      <c r="F160" s="88">
        <v>0</v>
      </c>
      <c r="G160" s="88">
        <v>0</v>
      </c>
      <c r="H160" s="88">
        <v>0</v>
      </c>
      <c r="I160" s="88">
        <v>0</v>
      </c>
      <c r="J160" s="6">
        <v>100</v>
      </c>
      <c r="K160" s="6">
        <v>6</v>
      </c>
      <c r="L160" s="9" t="s">
        <v>174</v>
      </c>
      <c r="M160" s="6" t="s">
        <v>332</v>
      </c>
      <c r="N160" s="9" t="s">
        <v>41</v>
      </c>
      <c r="O160" s="59"/>
      <c r="P160" s="59"/>
      <c r="Q160" s="57"/>
    </row>
    <row r="161" spans="1:17" s="6" customFormat="1">
      <c r="A161" s="6" t="s">
        <v>518</v>
      </c>
      <c r="B161" s="6" t="s">
        <v>520</v>
      </c>
      <c r="C161" s="88">
        <v>0</v>
      </c>
      <c r="D161" s="88">
        <v>0</v>
      </c>
      <c r="E161" s="88">
        <v>0</v>
      </c>
      <c r="F161" s="88">
        <v>0</v>
      </c>
      <c r="G161" s="88">
        <v>0</v>
      </c>
      <c r="H161" s="88">
        <v>0</v>
      </c>
      <c r="I161" s="88">
        <v>0</v>
      </c>
      <c r="J161" s="6">
        <v>100</v>
      </c>
      <c r="K161" s="6">
        <v>6</v>
      </c>
      <c r="L161" s="9" t="s">
        <v>174</v>
      </c>
      <c r="M161" s="6" t="s">
        <v>332</v>
      </c>
      <c r="N161" s="9" t="s">
        <v>41</v>
      </c>
      <c r="O161" s="59"/>
      <c r="P161" s="59"/>
      <c r="Q161" s="57"/>
    </row>
    <row r="162" spans="1:17" s="6" customFormat="1">
      <c r="A162" s="6" t="s">
        <v>258</v>
      </c>
      <c r="B162" s="6" t="s">
        <v>522</v>
      </c>
      <c r="C162" s="88">
        <v>0.112</v>
      </c>
      <c r="D162" s="88">
        <v>0</v>
      </c>
      <c r="E162" s="88">
        <v>0</v>
      </c>
      <c r="F162" s="88">
        <v>0</v>
      </c>
      <c r="G162" s="88">
        <v>0</v>
      </c>
      <c r="H162" s="88">
        <v>0</v>
      </c>
      <c r="I162" s="88">
        <v>0</v>
      </c>
      <c r="J162" s="6">
        <v>100</v>
      </c>
      <c r="K162" s="6">
        <v>6</v>
      </c>
      <c r="L162" s="9" t="s">
        <v>174</v>
      </c>
      <c r="M162" s="6" t="s">
        <v>332</v>
      </c>
      <c r="N162" s="9" t="s">
        <v>41</v>
      </c>
      <c r="O162" s="59"/>
      <c r="P162" s="59"/>
      <c r="Q162" s="57"/>
    </row>
    <row r="163" spans="1:17" s="6" customFormat="1">
      <c r="A163" s="6" t="s">
        <v>333</v>
      </c>
      <c r="B163" s="6" t="s">
        <v>334</v>
      </c>
      <c r="C163" s="88">
        <v>0.95699999999999996</v>
      </c>
      <c r="D163" s="88">
        <v>3.27</v>
      </c>
      <c r="E163" s="88">
        <v>2.5</v>
      </c>
      <c r="F163" s="88">
        <v>2.5</v>
      </c>
      <c r="G163" s="88">
        <v>2.5</v>
      </c>
      <c r="H163" s="88">
        <v>0</v>
      </c>
      <c r="I163" s="88">
        <v>0</v>
      </c>
      <c r="J163" s="6">
        <v>100</v>
      </c>
      <c r="K163" s="6">
        <v>1.6</v>
      </c>
      <c r="L163" s="101"/>
      <c r="M163" s="6" t="s">
        <v>11</v>
      </c>
      <c r="N163" s="9" t="s">
        <v>41</v>
      </c>
      <c r="O163" s="59"/>
      <c r="P163" s="59"/>
      <c r="Q163" s="57"/>
    </row>
    <row r="164" spans="1:17" s="6" customFormat="1">
      <c r="A164" s="6" t="s">
        <v>641</v>
      </c>
      <c r="B164" s="6" t="s">
        <v>459</v>
      </c>
      <c r="C164" s="88">
        <v>0</v>
      </c>
      <c r="D164" s="88">
        <v>0</v>
      </c>
      <c r="E164" s="88">
        <v>0</v>
      </c>
      <c r="F164" s="88">
        <v>0</v>
      </c>
      <c r="G164" s="88">
        <v>0</v>
      </c>
      <c r="H164" s="88">
        <v>0</v>
      </c>
      <c r="I164" s="88">
        <v>0</v>
      </c>
      <c r="J164" s="6">
        <v>70</v>
      </c>
      <c r="K164" s="6">
        <v>4</v>
      </c>
      <c r="L164" s="101" t="s">
        <v>322</v>
      </c>
      <c r="M164" s="6" t="s">
        <v>4</v>
      </c>
      <c r="N164" s="9" t="s">
        <v>41</v>
      </c>
      <c r="O164" s="59"/>
      <c r="P164" s="59"/>
      <c r="Q164" s="57"/>
    </row>
    <row r="165" spans="1:17" s="6" customFormat="1">
      <c r="A165" s="6" t="s">
        <v>641</v>
      </c>
      <c r="B165" s="6" t="s">
        <v>460</v>
      </c>
      <c r="C165" s="88">
        <v>5.0149999999999997</v>
      </c>
      <c r="D165" s="88">
        <v>2.121</v>
      </c>
      <c r="E165" s="88">
        <v>1.7609999999999999</v>
      </c>
      <c r="F165" s="88">
        <v>2.4670000000000001</v>
      </c>
      <c r="G165" s="88">
        <v>2.7730000000000001</v>
      </c>
      <c r="H165" s="88">
        <v>2.94</v>
      </c>
      <c r="I165" s="88">
        <v>2.8250000000000002</v>
      </c>
      <c r="J165" s="6">
        <v>30</v>
      </c>
      <c r="K165" s="6">
        <v>4</v>
      </c>
      <c r="L165" s="101" t="s">
        <v>322</v>
      </c>
      <c r="M165" s="6" t="s">
        <v>23</v>
      </c>
      <c r="N165" s="9" t="s">
        <v>41</v>
      </c>
      <c r="O165" s="59"/>
      <c r="P165" s="59"/>
      <c r="Q165" s="57"/>
    </row>
    <row r="166" spans="1:17" s="6" customFormat="1">
      <c r="A166" s="6" t="s">
        <v>624</v>
      </c>
      <c r="B166" s="6" t="s">
        <v>625</v>
      </c>
      <c r="C166" s="88">
        <v>0</v>
      </c>
      <c r="D166" s="88">
        <v>0</v>
      </c>
      <c r="E166" s="88">
        <v>3.0550000000000002</v>
      </c>
      <c r="F166" s="88">
        <v>4.7539999999999996</v>
      </c>
      <c r="G166" s="88">
        <v>4.875</v>
      </c>
      <c r="H166" s="88">
        <v>4.9969999999999999</v>
      </c>
      <c r="I166" s="88">
        <v>4.9969999999999999</v>
      </c>
      <c r="J166" s="6">
        <v>95</v>
      </c>
      <c r="K166" s="6" t="s">
        <v>626</v>
      </c>
      <c r="L166" s="101"/>
      <c r="M166" s="6" t="s">
        <v>627</v>
      </c>
      <c r="N166" s="9" t="s">
        <v>41</v>
      </c>
      <c r="O166" s="59"/>
      <c r="P166" s="59"/>
      <c r="Q166" s="57"/>
    </row>
    <row r="167" spans="1:17" s="6" customFormat="1">
      <c r="A167" s="103" t="s">
        <v>258</v>
      </c>
      <c r="B167" s="122" t="s">
        <v>259</v>
      </c>
      <c r="C167" s="123">
        <v>11.207000000000001</v>
      </c>
      <c r="D167" s="123">
        <v>10.141</v>
      </c>
      <c r="E167" s="123">
        <v>8.2390000000000008</v>
      </c>
      <c r="F167" s="123">
        <v>7.008</v>
      </c>
      <c r="G167" s="123">
        <v>7.2270000000000003</v>
      </c>
      <c r="H167" s="123">
        <v>7.0609999999999999</v>
      </c>
      <c r="I167" s="123">
        <v>6.9530000000000003</v>
      </c>
      <c r="J167" s="124">
        <v>30</v>
      </c>
      <c r="K167" s="10" t="s">
        <v>628</v>
      </c>
      <c r="M167" s="103" t="s">
        <v>11</v>
      </c>
      <c r="N167" s="6" t="s">
        <v>41</v>
      </c>
      <c r="O167" s="10"/>
      <c r="P167" s="10"/>
      <c r="Q167" s="57"/>
    </row>
    <row r="168" spans="1:17" s="6" customFormat="1">
      <c r="A168" s="103" t="s">
        <v>258</v>
      </c>
      <c r="B168" s="9" t="s">
        <v>238</v>
      </c>
      <c r="C168" s="123">
        <v>2.0710000000000002</v>
      </c>
      <c r="D168" s="123">
        <v>0</v>
      </c>
      <c r="E168" s="123">
        <v>0</v>
      </c>
      <c r="F168" s="123">
        <v>0</v>
      </c>
      <c r="G168" s="123">
        <v>0</v>
      </c>
      <c r="H168" s="123">
        <v>0</v>
      </c>
      <c r="I168" s="123">
        <v>0</v>
      </c>
      <c r="J168" s="124">
        <v>35</v>
      </c>
      <c r="K168" s="10">
        <v>6</v>
      </c>
      <c r="L168" s="9" t="s">
        <v>174</v>
      </c>
      <c r="M168" s="103" t="s">
        <v>23</v>
      </c>
      <c r="N168" s="6" t="s">
        <v>41</v>
      </c>
      <c r="O168" s="10"/>
      <c r="P168" s="10"/>
      <c r="Q168" s="57"/>
    </row>
    <row r="169" spans="1:17" s="69" customFormat="1" ht="15">
      <c r="A169" s="69" t="s">
        <v>337</v>
      </c>
      <c r="B169" s="106" t="s">
        <v>339</v>
      </c>
      <c r="C169" s="107"/>
      <c r="D169" s="107"/>
      <c r="E169" s="107"/>
      <c r="F169" s="107"/>
      <c r="G169" s="107"/>
      <c r="H169" s="107"/>
      <c r="I169" s="107"/>
      <c r="L169" s="21"/>
      <c r="O169" s="108"/>
      <c r="P169" s="108"/>
      <c r="Q169" s="121"/>
    </row>
    <row r="170" spans="1:17" s="6" customFormat="1">
      <c r="A170" s="6" t="s">
        <v>37</v>
      </c>
      <c r="B170" s="6" t="s">
        <v>462</v>
      </c>
      <c r="C170" s="88">
        <v>28.227</v>
      </c>
      <c r="D170" s="88">
        <v>33.277999999999999</v>
      </c>
      <c r="E170" s="88">
        <v>34.985999999999997</v>
      </c>
      <c r="F170" s="88">
        <v>35.46</v>
      </c>
      <c r="G170" s="88">
        <v>35.622</v>
      </c>
      <c r="H170" s="88">
        <v>39.804000000000002</v>
      </c>
      <c r="I170" s="88">
        <v>39.966000000000001</v>
      </c>
      <c r="J170" s="6">
        <v>100</v>
      </c>
      <c r="K170" s="6" t="s">
        <v>528</v>
      </c>
      <c r="L170" s="9" t="s">
        <v>174</v>
      </c>
      <c r="M170" s="6" t="s">
        <v>11</v>
      </c>
      <c r="N170" s="9" t="s">
        <v>41</v>
      </c>
      <c r="O170" s="59"/>
      <c r="P170" s="59"/>
      <c r="Q170" s="57"/>
    </row>
    <row r="171" spans="1:17" s="6" customFormat="1">
      <c r="A171" s="6" t="s">
        <v>37</v>
      </c>
      <c r="B171" s="6" t="s">
        <v>463</v>
      </c>
      <c r="C171" s="88">
        <v>16.574999999999999</v>
      </c>
      <c r="D171" s="88">
        <v>16.922999999999998</v>
      </c>
      <c r="E171" s="88">
        <v>18.010999999999999</v>
      </c>
      <c r="F171" s="88">
        <v>19.745000000000001</v>
      </c>
      <c r="G171" s="88">
        <v>20.56</v>
      </c>
      <c r="H171" s="88">
        <v>17.195</v>
      </c>
      <c r="I171" s="88">
        <v>16.966999999999999</v>
      </c>
      <c r="J171" s="6">
        <v>100</v>
      </c>
      <c r="K171" s="6" t="s">
        <v>528</v>
      </c>
      <c r="L171" s="9" t="s">
        <v>174</v>
      </c>
      <c r="M171" s="6" t="s">
        <v>11</v>
      </c>
      <c r="N171" s="9" t="s">
        <v>41</v>
      </c>
      <c r="O171" s="59"/>
      <c r="P171" s="59"/>
      <c r="Q171" s="57"/>
    </row>
    <row r="172" spans="1:17" s="6" customFormat="1">
      <c r="A172" s="6" t="s">
        <v>38</v>
      </c>
      <c r="B172" s="6" t="s">
        <v>260</v>
      </c>
      <c r="C172" s="88">
        <v>12.923</v>
      </c>
      <c r="D172" s="88">
        <v>21.68</v>
      </c>
      <c r="E172" s="88">
        <v>24.48</v>
      </c>
      <c r="F172" s="88">
        <v>31.62</v>
      </c>
      <c r="G172" s="88">
        <v>34.978000000000002</v>
      </c>
      <c r="H172" s="88">
        <v>38.036999999999999</v>
      </c>
      <c r="I172" s="88">
        <v>38.386000000000003</v>
      </c>
      <c r="J172" s="6">
        <v>70</v>
      </c>
      <c r="K172" s="6" t="s">
        <v>528</v>
      </c>
      <c r="L172" s="9" t="s">
        <v>174</v>
      </c>
      <c r="M172" s="6" t="s">
        <v>11</v>
      </c>
      <c r="N172" s="9" t="s">
        <v>41</v>
      </c>
      <c r="O172" s="59"/>
      <c r="P172" s="59"/>
      <c r="Q172" s="57"/>
    </row>
    <row r="173" spans="1:17" s="6" customFormat="1">
      <c r="B173" s="189" t="s">
        <v>640</v>
      </c>
      <c r="O173" s="59"/>
      <c r="P173" s="59"/>
      <c r="Q173" s="57"/>
    </row>
    <row r="174" spans="1:17" s="6" customFormat="1">
      <c r="A174" s="6" t="s">
        <v>12</v>
      </c>
      <c r="B174" s="122" t="s">
        <v>262</v>
      </c>
      <c r="C174" s="88">
        <v>6.75</v>
      </c>
      <c r="D174" s="88">
        <v>16.245999999999999</v>
      </c>
      <c r="E174" s="88">
        <v>12.926</v>
      </c>
      <c r="F174" s="88">
        <v>17.867000000000001</v>
      </c>
      <c r="G174" s="88">
        <v>15.795999999999999</v>
      </c>
      <c r="H174" s="88">
        <v>19.646000000000001</v>
      </c>
      <c r="I174" s="88">
        <v>12.132999999999999</v>
      </c>
      <c r="J174" s="6">
        <v>50</v>
      </c>
      <c r="K174" s="6" t="s">
        <v>528</v>
      </c>
      <c r="L174" s="9" t="s">
        <v>174</v>
      </c>
      <c r="M174" s="6" t="s">
        <v>11</v>
      </c>
      <c r="N174" s="9" t="s">
        <v>41</v>
      </c>
      <c r="O174" s="59"/>
      <c r="P174" s="59"/>
      <c r="Q174" s="57"/>
    </row>
    <row r="175" spans="1:17" s="6" customFormat="1" ht="25.5">
      <c r="A175" s="103">
        <v>19</v>
      </c>
      <c r="B175" s="122" t="s">
        <v>629</v>
      </c>
      <c r="C175" s="123">
        <v>0</v>
      </c>
      <c r="D175" s="123">
        <v>30.91</v>
      </c>
      <c r="E175" s="123">
        <v>7.5</v>
      </c>
      <c r="F175" s="123">
        <v>2.5</v>
      </c>
      <c r="G175" s="123">
        <v>2.5</v>
      </c>
      <c r="H175" s="123">
        <v>2.5</v>
      </c>
      <c r="I175" s="123">
        <v>2.5</v>
      </c>
      <c r="J175" s="124">
        <v>100</v>
      </c>
      <c r="K175" s="10">
        <v>6</v>
      </c>
      <c r="M175" s="103" t="s">
        <v>464</v>
      </c>
      <c r="N175" s="6" t="s">
        <v>300</v>
      </c>
      <c r="O175" s="10"/>
      <c r="P175" s="10"/>
      <c r="Q175" s="57"/>
    </row>
    <row r="176" spans="1:17" s="6" customFormat="1" ht="25.5">
      <c r="A176" s="103">
        <v>19</v>
      </c>
      <c r="B176" s="122" t="s">
        <v>630</v>
      </c>
      <c r="C176" s="123">
        <v>8.8160000000000007</v>
      </c>
      <c r="D176" s="123">
        <v>13.048999999999999</v>
      </c>
      <c r="E176" s="123">
        <v>11</v>
      </c>
      <c r="F176" s="123">
        <v>3</v>
      </c>
      <c r="G176" s="123">
        <v>2</v>
      </c>
      <c r="H176" s="123">
        <v>0</v>
      </c>
      <c r="I176" s="123">
        <v>0</v>
      </c>
      <c r="J176" s="124">
        <v>100</v>
      </c>
      <c r="K176" s="10">
        <v>6</v>
      </c>
      <c r="M176" s="103" t="s">
        <v>340</v>
      </c>
      <c r="N176" s="6" t="s">
        <v>300</v>
      </c>
      <c r="O176" s="10"/>
      <c r="P176" s="10"/>
      <c r="Q176" s="57"/>
    </row>
    <row r="177" spans="1:17" s="6" customFormat="1" ht="25.5">
      <c r="A177" s="103">
        <v>19</v>
      </c>
      <c r="B177" s="122" t="s">
        <v>466</v>
      </c>
      <c r="C177" s="123">
        <v>0</v>
      </c>
      <c r="D177" s="123">
        <v>2.5</v>
      </c>
      <c r="E177" s="123">
        <v>2.5</v>
      </c>
      <c r="F177" s="123">
        <v>2.5</v>
      </c>
      <c r="G177" s="123">
        <v>2.5</v>
      </c>
      <c r="H177" s="123">
        <v>2.5</v>
      </c>
      <c r="I177" s="123">
        <v>0</v>
      </c>
      <c r="J177" s="124">
        <v>100</v>
      </c>
      <c r="K177" s="10" t="s">
        <v>70</v>
      </c>
      <c r="L177" s="6" t="s">
        <v>532</v>
      </c>
      <c r="M177" s="103" t="s">
        <v>465</v>
      </c>
      <c r="N177" s="6" t="s">
        <v>300</v>
      </c>
      <c r="O177" s="10"/>
      <c r="P177" s="10"/>
      <c r="Q177" s="57"/>
    </row>
    <row r="178" spans="1:17" s="6" customFormat="1">
      <c r="A178" s="103"/>
      <c r="B178" s="122" t="s">
        <v>467</v>
      </c>
      <c r="C178" s="123">
        <v>0.6</v>
      </c>
      <c r="D178" s="123">
        <v>0.60899999999999999</v>
      </c>
      <c r="E178" s="123">
        <v>0.60899999999999999</v>
      </c>
      <c r="F178" s="123">
        <v>0.60899999999999999</v>
      </c>
      <c r="G178" s="123">
        <v>0.60899999999999999</v>
      </c>
      <c r="H178" s="123">
        <v>0</v>
      </c>
      <c r="I178" s="123">
        <v>0</v>
      </c>
      <c r="J178" s="124">
        <v>6</v>
      </c>
      <c r="K178" s="10" t="s">
        <v>529</v>
      </c>
      <c r="M178" s="103" t="s">
        <v>11</v>
      </c>
      <c r="N178" s="6" t="s">
        <v>300</v>
      </c>
      <c r="O178" s="10"/>
      <c r="P178" s="10"/>
      <c r="Q178" s="57"/>
    </row>
    <row r="179" spans="1:17" s="6" customFormat="1">
      <c r="A179" s="103"/>
      <c r="B179" s="122" t="s">
        <v>468</v>
      </c>
      <c r="C179" s="123">
        <v>0</v>
      </c>
      <c r="D179" s="123">
        <v>6.2E-2</v>
      </c>
      <c r="E179" s="123">
        <v>0.152</v>
      </c>
      <c r="F179" s="123">
        <v>0.152</v>
      </c>
      <c r="G179" s="123">
        <v>0.122</v>
      </c>
      <c r="H179" s="123">
        <v>0.12</v>
      </c>
      <c r="I179" s="123">
        <v>0</v>
      </c>
      <c r="J179" s="124">
        <v>6</v>
      </c>
      <c r="K179" s="10" t="s">
        <v>529</v>
      </c>
      <c r="M179" s="103" t="s">
        <v>11</v>
      </c>
      <c r="N179" s="6" t="s">
        <v>300</v>
      </c>
      <c r="O179" s="10"/>
      <c r="P179" s="10"/>
      <c r="Q179" s="57"/>
    </row>
    <row r="180" spans="1:17" s="6" customFormat="1">
      <c r="A180" s="6" t="s">
        <v>341</v>
      </c>
      <c r="B180" s="6" t="s">
        <v>469</v>
      </c>
      <c r="C180" s="88">
        <v>3.3130000000000002</v>
      </c>
      <c r="D180" s="88">
        <v>5.0940000000000003</v>
      </c>
      <c r="E180" s="88">
        <v>5.1050000000000004</v>
      </c>
      <c r="F180" s="88">
        <v>5.1050000000000004</v>
      </c>
      <c r="G180" s="88">
        <v>5.1059999999999999</v>
      </c>
      <c r="H180" s="88">
        <v>5.3220000000000001</v>
      </c>
      <c r="I180" s="88">
        <v>5.5129999999999999</v>
      </c>
      <c r="J180" s="6">
        <v>50</v>
      </c>
      <c r="K180" s="59" t="s">
        <v>631</v>
      </c>
      <c r="L180" s="9" t="s">
        <v>174</v>
      </c>
      <c r="M180" s="6" t="s">
        <v>11</v>
      </c>
      <c r="N180" s="9" t="s">
        <v>41</v>
      </c>
      <c r="Q180" s="57"/>
    </row>
    <row r="181" spans="1:17" s="6" customFormat="1">
      <c r="A181" s="6" t="s">
        <v>341</v>
      </c>
      <c r="B181" s="6" t="s">
        <v>470</v>
      </c>
      <c r="C181" s="88">
        <v>2.5249999999999999</v>
      </c>
      <c r="D181" s="88">
        <v>2.5710000000000002</v>
      </c>
      <c r="E181" s="88">
        <v>2.5630000000000002</v>
      </c>
      <c r="F181" s="88">
        <v>2.5640000000000001</v>
      </c>
      <c r="G181" s="88">
        <v>2.5649999999999999</v>
      </c>
      <c r="H181" s="88">
        <v>2.5529999999999999</v>
      </c>
      <c r="I181" s="88">
        <v>2.3029999999999999</v>
      </c>
      <c r="J181" s="6">
        <v>50</v>
      </c>
      <c r="K181" s="59" t="s">
        <v>528</v>
      </c>
      <c r="L181" s="9" t="s">
        <v>174</v>
      </c>
      <c r="M181" s="6" t="s">
        <v>11</v>
      </c>
      <c r="N181" s="9" t="s">
        <v>41</v>
      </c>
      <c r="Q181" s="57"/>
    </row>
    <row r="182" spans="1:17" s="6" customFormat="1">
      <c r="A182" s="6" t="s">
        <v>341</v>
      </c>
      <c r="B182" s="6" t="s">
        <v>472</v>
      </c>
      <c r="C182" s="88">
        <v>2.8000000000000001E-2</v>
      </c>
      <c r="D182" s="88">
        <v>0.77200000000000002</v>
      </c>
      <c r="E182" s="88">
        <v>0.4</v>
      </c>
      <c r="F182" s="88">
        <v>0.4</v>
      </c>
      <c r="G182" s="88">
        <v>0.4</v>
      </c>
      <c r="H182" s="88">
        <v>0</v>
      </c>
      <c r="I182" s="88">
        <v>0</v>
      </c>
      <c r="J182" s="6">
        <v>50</v>
      </c>
      <c r="K182" s="59" t="s">
        <v>528</v>
      </c>
      <c r="L182" s="9" t="s">
        <v>174</v>
      </c>
      <c r="M182" s="6" t="s">
        <v>11</v>
      </c>
      <c r="N182" s="9" t="s">
        <v>41</v>
      </c>
      <c r="Q182" s="57"/>
    </row>
    <row r="183" spans="1:17" s="6" customFormat="1">
      <c r="B183" s="6" t="s">
        <v>473</v>
      </c>
      <c r="C183" s="88">
        <v>0.16800000000000001</v>
      </c>
      <c r="D183" s="88">
        <v>2.5059999999999998</v>
      </c>
      <c r="E183" s="88">
        <v>0.28100000000000003</v>
      </c>
      <c r="F183" s="88">
        <v>0.19900000000000001</v>
      </c>
      <c r="G183" s="88">
        <v>0.183</v>
      </c>
      <c r="H183" s="88">
        <v>0.184</v>
      </c>
      <c r="I183" s="88">
        <v>0.158</v>
      </c>
      <c r="J183" s="6">
        <v>100</v>
      </c>
      <c r="K183" s="59">
        <v>6</v>
      </c>
      <c r="L183" s="9" t="s">
        <v>174</v>
      </c>
      <c r="M183" s="6" t="s">
        <v>11</v>
      </c>
      <c r="N183" s="9" t="s">
        <v>41</v>
      </c>
      <c r="Q183" s="57"/>
    </row>
    <row r="184" spans="1:17" s="6" customFormat="1">
      <c r="B184" s="6" t="s">
        <v>474</v>
      </c>
      <c r="C184" s="88">
        <v>0.33700000000000002</v>
      </c>
      <c r="D184" s="88">
        <v>0.66600000000000004</v>
      </c>
      <c r="E184" s="88">
        <v>0.50900000000000001</v>
      </c>
      <c r="F184" s="88">
        <v>0.34399999999999997</v>
      </c>
      <c r="G184" s="88">
        <v>0.23899999999999999</v>
      </c>
      <c r="H184" s="88">
        <v>0.315</v>
      </c>
      <c r="I184" s="88">
        <v>0</v>
      </c>
      <c r="J184" s="6">
        <v>100</v>
      </c>
      <c r="K184" s="59">
        <v>6</v>
      </c>
      <c r="L184" s="9" t="s">
        <v>174</v>
      </c>
      <c r="M184" s="6" t="s">
        <v>11</v>
      </c>
      <c r="N184" s="9" t="s">
        <v>41</v>
      </c>
      <c r="Q184" s="57"/>
    </row>
    <row r="185" spans="1:17" s="6" customFormat="1" ht="15">
      <c r="A185" s="69" t="s">
        <v>342</v>
      </c>
      <c r="B185" s="106" t="s">
        <v>24</v>
      </c>
      <c r="C185" s="88"/>
      <c r="D185" s="88"/>
      <c r="E185" s="88"/>
      <c r="F185" s="88"/>
      <c r="G185" s="88"/>
      <c r="H185" s="88"/>
      <c r="I185" s="88"/>
      <c r="J185" s="88"/>
      <c r="K185" s="59"/>
      <c r="L185" s="9"/>
      <c r="N185" s="9"/>
      <c r="Q185" s="121"/>
    </row>
    <row r="186" spans="1:17" s="6" customFormat="1">
      <c r="A186" s="102" t="s">
        <v>343</v>
      </c>
      <c r="B186" s="6" t="s">
        <v>277</v>
      </c>
      <c r="C186" s="88">
        <v>14.5</v>
      </c>
      <c r="D186" s="88">
        <v>7.25</v>
      </c>
      <c r="E186" s="88">
        <v>7.6509999999999998</v>
      </c>
      <c r="F186" s="88">
        <v>7.6509999999999998</v>
      </c>
      <c r="G186" s="88">
        <v>5.4009999999999998</v>
      </c>
      <c r="H186" s="88">
        <v>5.4009999999999998</v>
      </c>
      <c r="I186" s="88">
        <v>5.4009999999999998</v>
      </c>
      <c r="J186" s="6">
        <v>100</v>
      </c>
      <c r="K186" s="6">
        <v>5</v>
      </c>
      <c r="L186" s="6" t="s">
        <v>173</v>
      </c>
      <c r="M186" s="6" t="s">
        <v>26</v>
      </c>
      <c r="N186" s="6" t="s">
        <v>40</v>
      </c>
      <c r="O186" s="59"/>
      <c r="P186" s="59"/>
      <c r="Q186" s="57"/>
    </row>
    <row r="187" spans="1:17" s="6" customFormat="1">
      <c r="A187" s="102" t="s">
        <v>345</v>
      </c>
      <c r="B187" s="6" t="s">
        <v>29</v>
      </c>
      <c r="C187" s="88">
        <v>23.518999999999998</v>
      </c>
      <c r="D187" s="88">
        <v>134.86199999999999</v>
      </c>
      <c r="E187" s="88">
        <v>12.505000000000001</v>
      </c>
      <c r="F187" s="88">
        <v>1.1879999999999999</v>
      </c>
      <c r="G187" s="88">
        <v>9.3230000000000004</v>
      </c>
      <c r="H187" s="88">
        <v>9.3179999999999996</v>
      </c>
      <c r="I187" s="88">
        <v>9.3179999999999996</v>
      </c>
      <c r="J187" s="6">
        <v>100</v>
      </c>
      <c r="K187" s="6">
        <v>5</v>
      </c>
      <c r="L187" s="6" t="s">
        <v>173</v>
      </c>
      <c r="M187" s="6" t="s">
        <v>30</v>
      </c>
      <c r="N187" s="6" t="s">
        <v>40</v>
      </c>
      <c r="O187" s="59"/>
      <c r="P187" s="59"/>
      <c r="Q187" s="57"/>
    </row>
    <row r="188" spans="1:17" s="6" customFormat="1">
      <c r="A188" s="102" t="s">
        <v>346</v>
      </c>
      <c r="B188" s="6" t="s">
        <v>347</v>
      </c>
      <c r="C188" s="88">
        <v>4.9989999999999997</v>
      </c>
      <c r="D188" s="88">
        <v>4.05</v>
      </c>
      <c r="E188" s="88">
        <v>3.29</v>
      </c>
      <c r="F188" s="88">
        <v>3.29</v>
      </c>
      <c r="G188" s="88">
        <v>3.29</v>
      </c>
      <c r="H188" s="88">
        <v>3.29</v>
      </c>
      <c r="I188" s="88">
        <v>3.29</v>
      </c>
      <c r="J188" s="6">
        <v>100</v>
      </c>
      <c r="K188" s="6">
        <v>5</v>
      </c>
      <c r="L188" s="6" t="s">
        <v>173</v>
      </c>
      <c r="M188" s="6" t="s">
        <v>16</v>
      </c>
      <c r="N188" s="6" t="s">
        <v>40</v>
      </c>
      <c r="O188" s="59"/>
      <c r="P188" s="59"/>
      <c r="Q188" s="57"/>
    </row>
    <row r="189" spans="1:17" s="6" customFormat="1">
      <c r="A189" s="102" t="s">
        <v>346</v>
      </c>
      <c r="B189" s="6" t="s">
        <v>633</v>
      </c>
      <c r="C189" s="88">
        <v>0</v>
      </c>
      <c r="D189" s="88">
        <v>31.884</v>
      </c>
      <c r="E189" s="88">
        <v>13.978999999999999</v>
      </c>
      <c r="F189" s="88">
        <v>24.933</v>
      </c>
      <c r="G189" s="88">
        <v>17.632999999999999</v>
      </c>
      <c r="H189" s="88">
        <v>17.638000000000002</v>
      </c>
      <c r="I189" s="88">
        <v>17.638000000000002</v>
      </c>
      <c r="J189" s="6">
        <v>100</v>
      </c>
      <c r="K189" s="6">
        <v>5</v>
      </c>
      <c r="L189" s="6" t="s">
        <v>173</v>
      </c>
      <c r="M189" s="6" t="s">
        <v>16</v>
      </c>
      <c r="N189" s="6" t="s">
        <v>40</v>
      </c>
      <c r="O189" s="59"/>
      <c r="P189" s="59"/>
      <c r="Q189" s="57"/>
    </row>
    <row r="190" spans="1:17" s="6" customFormat="1">
      <c r="A190" s="102" t="s">
        <v>492</v>
      </c>
      <c r="B190" s="6" t="s">
        <v>493</v>
      </c>
      <c r="C190" s="88">
        <v>1.141</v>
      </c>
      <c r="D190" s="88">
        <v>1.7410000000000001</v>
      </c>
      <c r="E190" s="88">
        <v>1.7410000000000001</v>
      </c>
      <c r="F190" s="88">
        <v>1.7410000000000001</v>
      </c>
      <c r="G190" s="88">
        <v>1.7410000000000001</v>
      </c>
      <c r="H190" s="88">
        <v>1.7410000000000001</v>
      </c>
      <c r="I190" s="88">
        <v>1.7410000000000001</v>
      </c>
      <c r="J190" s="6">
        <v>100</v>
      </c>
      <c r="K190" s="6">
        <v>5</v>
      </c>
      <c r="L190" s="6" t="s">
        <v>173</v>
      </c>
      <c r="M190" s="6" t="s">
        <v>16</v>
      </c>
      <c r="N190" s="6" t="s">
        <v>40</v>
      </c>
      <c r="O190" s="59"/>
      <c r="P190" s="59"/>
      <c r="Q190" s="57"/>
    </row>
    <row r="191" spans="1:17" s="6" customFormat="1">
      <c r="A191" s="102" t="s">
        <v>343</v>
      </c>
      <c r="B191" s="6" t="s">
        <v>475</v>
      </c>
      <c r="C191" s="88">
        <v>9.6950000000000003</v>
      </c>
      <c r="D191" s="88">
        <v>18.344999999999999</v>
      </c>
      <c r="E191" s="88">
        <v>17.873000000000001</v>
      </c>
      <c r="F191" s="88">
        <v>9.1229999999999993</v>
      </c>
      <c r="G191" s="88">
        <v>9.1229999999999993</v>
      </c>
      <c r="H191" s="88">
        <v>9.1229999999999993</v>
      </c>
      <c r="I191" s="88">
        <v>9.1229999999999993</v>
      </c>
      <c r="J191" s="6">
        <v>25</v>
      </c>
      <c r="K191" s="6">
        <v>5</v>
      </c>
      <c r="L191" s="6" t="s">
        <v>173</v>
      </c>
      <c r="M191" s="6" t="s">
        <v>11</v>
      </c>
      <c r="N191" s="9" t="s">
        <v>41</v>
      </c>
      <c r="O191" s="59"/>
      <c r="P191" s="59"/>
      <c r="Q191" s="57"/>
    </row>
    <row r="192" spans="1:17" s="6" customFormat="1">
      <c r="A192" s="102" t="s">
        <v>343</v>
      </c>
      <c r="B192" s="6" t="s">
        <v>476</v>
      </c>
      <c r="C192" s="88">
        <v>7.734</v>
      </c>
      <c r="D192" s="88">
        <v>6.9009999999999998</v>
      </c>
      <c r="E192" s="88">
        <v>12.5</v>
      </c>
      <c r="F192" s="88">
        <v>12.5</v>
      </c>
      <c r="G192" s="88">
        <v>4.375</v>
      </c>
      <c r="H192" s="88">
        <v>1.25</v>
      </c>
      <c r="I192" s="88">
        <v>0.625</v>
      </c>
      <c r="J192" s="6">
        <v>25</v>
      </c>
      <c r="K192" s="6">
        <v>5</v>
      </c>
      <c r="L192" s="6" t="s">
        <v>173</v>
      </c>
      <c r="M192" s="6" t="s">
        <v>11</v>
      </c>
      <c r="N192" s="9" t="s">
        <v>41</v>
      </c>
      <c r="O192" s="59"/>
      <c r="P192" s="59"/>
      <c r="Q192" s="57"/>
    </row>
    <row r="193" spans="1:17" s="6" customFormat="1">
      <c r="A193" s="102" t="s">
        <v>632</v>
      </c>
      <c r="B193" s="6" t="s">
        <v>477</v>
      </c>
      <c r="C193" s="88">
        <v>6.5789999999999997</v>
      </c>
      <c r="D193" s="88">
        <v>7.29</v>
      </c>
      <c r="E193" s="88">
        <v>12.36</v>
      </c>
      <c r="F193" s="88">
        <v>11.88</v>
      </c>
      <c r="G193" s="88">
        <v>10.35</v>
      </c>
      <c r="H193" s="88">
        <v>10.89</v>
      </c>
      <c r="I193" s="88">
        <v>11.19</v>
      </c>
      <c r="J193" s="6">
        <v>30</v>
      </c>
      <c r="K193" s="6">
        <v>5</v>
      </c>
      <c r="L193" s="6" t="s">
        <v>173</v>
      </c>
      <c r="M193" s="6" t="s">
        <v>11</v>
      </c>
      <c r="N193" s="9" t="s">
        <v>41</v>
      </c>
      <c r="O193" s="59"/>
      <c r="P193" s="59"/>
      <c r="Q193" s="57"/>
    </row>
    <row r="194" spans="1:17" s="6" customFormat="1">
      <c r="A194" s="102" t="s">
        <v>343</v>
      </c>
      <c r="B194" s="6" t="s">
        <v>478</v>
      </c>
      <c r="C194" s="88">
        <v>0</v>
      </c>
      <c r="D194" s="88">
        <v>0.15</v>
      </c>
      <c r="E194" s="88">
        <v>0.87</v>
      </c>
      <c r="F194" s="88">
        <v>0.6</v>
      </c>
      <c r="G194" s="88">
        <v>0.56999999999999995</v>
      </c>
      <c r="H194" s="88">
        <v>0.51</v>
      </c>
      <c r="I194" s="88">
        <v>0.18</v>
      </c>
      <c r="J194" s="6">
        <v>30</v>
      </c>
      <c r="K194" s="6">
        <v>5</v>
      </c>
      <c r="L194" s="6" t="s">
        <v>173</v>
      </c>
      <c r="M194" s="6" t="s">
        <v>11</v>
      </c>
      <c r="N194" s="9" t="s">
        <v>41</v>
      </c>
      <c r="O194" s="59"/>
      <c r="P194" s="59"/>
      <c r="Q194" s="57"/>
    </row>
    <row r="195" spans="1:17" s="6" customFormat="1">
      <c r="A195" s="102" t="s">
        <v>343</v>
      </c>
      <c r="B195" s="6" t="s">
        <v>479</v>
      </c>
      <c r="C195" s="88">
        <v>0.76300000000000001</v>
      </c>
      <c r="D195" s="88">
        <v>0.57699999999999996</v>
      </c>
      <c r="E195" s="88">
        <v>0.59199999999999997</v>
      </c>
      <c r="F195" s="88">
        <v>0.59199999999999997</v>
      </c>
      <c r="G195" s="88">
        <v>0.59199999999999997</v>
      </c>
      <c r="H195" s="88">
        <v>0.59199999999999997</v>
      </c>
      <c r="I195" s="88">
        <v>0.59199999999999997</v>
      </c>
      <c r="J195" s="6">
        <v>25</v>
      </c>
      <c r="K195" s="6">
        <v>5</v>
      </c>
      <c r="L195" s="6" t="s">
        <v>173</v>
      </c>
      <c r="M195" s="6" t="s">
        <v>11</v>
      </c>
      <c r="N195" s="9" t="s">
        <v>41</v>
      </c>
      <c r="O195" s="59"/>
      <c r="P195" s="59"/>
      <c r="Q195" s="57"/>
    </row>
    <row r="196" spans="1:17" s="6" customFormat="1">
      <c r="A196" s="102" t="s">
        <v>343</v>
      </c>
      <c r="B196" s="6" t="s">
        <v>480</v>
      </c>
      <c r="C196" s="88">
        <v>4.2999999999999997E-2</v>
      </c>
      <c r="D196" s="88">
        <v>3.5999999999999997E-2</v>
      </c>
      <c r="E196" s="88">
        <v>0</v>
      </c>
      <c r="F196" s="88">
        <v>0</v>
      </c>
      <c r="G196" s="88">
        <v>0</v>
      </c>
      <c r="H196" s="88">
        <v>0</v>
      </c>
      <c r="I196" s="88">
        <v>0</v>
      </c>
      <c r="J196" s="6">
        <v>25</v>
      </c>
      <c r="K196" s="6">
        <v>5</v>
      </c>
      <c r="L196" s="6" t="s">
        <v>173</v>
      </c>
      <c r="M196" s="6" t="s">
        <v>11</v>
      </c>
      <c r="N196" s="9" t="s">
        <v>41</v>
      </c>
      <c r="O196" s="59"/>
      <c r="P196" s="59"/>
      <c r="Q196" s="57"/>
    </row>
    <row r="197" spans="1:17" s="6" customFormat="1">
      <c r="A197" s="102" t="s">
        <v>343</v>
      </c>
      <c r="B197" s="6" t="s">
        <v>481</v>
      </c>
      <c r="C197" s="88">
        <v>8.9999999999999993E-3</v>
      </c>
      <c r="D197" s="88">
        <v>0</v>
      </c>
      <c r="E197" s="88">
        <v>0</v>
      </c>
      <c r="F197" s="88">
        <v>0</v>
      </c>
      <c r="G197" s="88">
        <v>0</v>
      </c>
      <c r="H197" s="88">
        <v>0</v>
      </c>
      <c r="I197" s="88">
        <v>0</v>
      </c>
      <c r="J197" s="6">
        <v>25</v>
      </c>
      <c r="K197" s="6">
        <v>5</v>
      </c>
      <c r="L197" s="6" t="s">
        <v>173</v>
      </c>
      <c r="M197" s="6" t="s">
        <v>11</v>
      </c>
      <c r="N197" s="9" t="s">
        <v>41</v>
      </c>
      <c r="O197" s="59"/>
      <c r="P197" s="59"/>
      <c r="Q197" s="57"/>
    </row>
    <row r="198" spans="1:17" s="6" customFormat="1">
      <c r="A198" s="102" t="s">
        <v>343</v>
      </c>
      <c r="B198" s="6" t="s">
        <v>482</v>
      </c>
      <c r="C198" s="88">
        <v>0</v>
      </c>
      <c r="D198" s="88">
        <v>0</v>
      </c>
      <c r="E198" s="88">
        <v>0</v>
      </c>
      <c r="F198" s="88">
        <v>0</v>
      </c>
      <c r="G198" s="88">
        <v>0</v>
      </c>
      <c r="H198" s="88">
        <v>0</v>
      </c>
      <c r="I198" s="88">
        <v>0</v>
      </c>
      <c r="J198" s="6">
        <v>25</v>
      </c>
      <c r="K198" s="6">
        <v>5</v>
      </c>
      <c r="L198" s="6" t="s">
        <v>173</v>
      </c>
      <c r="M198" s="6" t="s">
        <v>11</v>
      </c>
      <c r="N198" s="9" t="s">
        <v>41</v>
      </c>
      <c r="O198" s="59"/>
      <c r="P198" s="59"/>
      <c r="Q198" s="57"/>
    </row>
    <row r="199" spans="1:17" s="6" customFormat="1">
      <c r="A199" s="102" t="s">
        <v>343</v>
      </c>
      <c r="B199" s="6" t="s">
        <v>483</v>
      </c>
      <c r="C199" s="88">
        <v>0</v>
      </c>
      <c r="D199" s="88">
        <v>0.115</v>
      </c>
      <c r="E199" s="88">
        <v>0</v>
      </c>
      <c r="F199" s="88">
        <v>0</v>
      </c>
      <c r="G199" s="88">
        <v>0</v>
      </c>
      <c r="H199" s="88">
        <v>0</v>
      </c>
      <c r="I199" s="88">
        <v>0</v>
      </c>
      <c r="J199" s="6">
        <v>25</v>
      </c>
      <c r="K199" s="6">
        <v>5</v>
      </c>
      <c r="L199" s="6" t="s">
        <v>173</v>
      </c>
      <c r="M199" s="6" t="s">
        <v>11</v>
      </c>
      <c r="N199" s="9" t="s">
        <v>41</v>
      </c>
      <c r="O199" s="59"/>
      <c r="P199" s="59"/>
      <c r="Q199" s="57"/>
    </row>
    <row r="200" spans="1:17" s="6" customFormat="1">
      <c r="A200" s="102" t="s">
        <v>343</v>
      </c>
      <c r="B200" s="6" t="s">
        <v>484</v>
      </c>
      <c r="C200" s="88">
        <v>0.95899999999999996</v>
      </c>
      <c r="D200" s="88">
        <v>0.5</v>
      </c>
      <c r="E200" s="88">
        <v>0</v>
      </c>
      <c r="F200" s="88">
        <v>0</v>
      </c>
      <c r="G200" s="88">
        <v>0</v>
      </c>
      <c r="H200" s="88">
        <v>0</v>
      </c>
      <c r="I200" s="88">
        <v>0</v>
      </c>
      <c r="J200" s="6">
        <v>25</v>
      </c>
      <c r="K200" s="6">
        <v>5</v>
      </c>
      <c r="L200" s="6" t="s">
        <v>173</v>
      </c>
      <c r="M200" s="6" t="s">
        <v>11</v>
      </c>
      <c r="N200" s="9" t="s">
        <v>41</v>
      </c>
      <c r="O200" s="59"/>
      <c r="P200" s="59"/>
      <c r="Q200" s="57"/>
    </row>
    <row r="201" spans="1:17" s="6" customFormat="1">
      <c r="A201" s="102" t="s">
        <v>343</v>
      </c>
      <c r="B201" s="6" t="s">
        <v>485</v>
      </c>
      <c r="C201" s="88">
        <v>0.629</v>
      </c>
      <c r="D201" s="88">
        <v>0</v>
      </c>
      <c r="E201" s="88">
        <v>0</v>
      </c>
      <c r="F201" s="88">
        <v>0</v>
      </c>
      <c r="G201" s="88">
        <v>0</v>
      </c>
      <c r="H201" s="88">
        <v>0</v>
      </c>
      <c r="I201" s="88">
        <v>0</v>
      </c>
      <c r="J201" s="6">
        <v>25</v>
      </c>
      <c r="K201" s="6">
        <v>5</v>
      </c>
      <c r="L201" s="6" t="s">
        <v>173</v>
      </c>
      <c r="M201" s="6" t="s">
        <v>11</v>
      </c>
      <c r="N201" s="9" t="s">
        <v>41</v>
      </c>
      <c r="O201" s="59"/>
      <c r="P201" s="59"/>
      <c r="Q201" s="57"/>
    </row>
    <row r="202" spans="1:17" s="6" customFormat="1">
      <c r="A202" s="102" t="s">
        <v>343</v>
      </c>
      <c r="B202" s="6" t="s">
        <v>25</v>
      </c>
      <c r="C202" s="88">
        <v>0.85899999999999999</v>
      </c>
      <c r="D202" s="88">
        <v>1.53</v>
      </c>
      <c r="E202" s="88">
        <v>3.08</v>
      </c>
      <c r="F202" s="88">
        <v>4.08</v>
      </c>
      <c r="G202" s="88">
        <v>3.38</v>
      </c>
      <c r="H202" s="88">
        <v>2.48</v>
      </c>
      <c r="I202" s="88">
        <v>3.48</v>
      </c>
      <c r="J202" s="6">
        <v>100</v>
      </c>
      <c r="K202" s="6">
        <v>5</v>
      </c>
      <c r="L202" s="6" t="s">
        <v>173</v>
      </c>
      <c r="M202" s="6" t="s">
        <v>11</v>
      </c>
      <c r="N202" s="9" t="s">
        <v>41</v>
      </c>
      <c r="O202" s="59"/>
      <c r="P202" s="59"/>
      <c r="Q202" s="57"/>
    </row>
    <row r="203" spans="1:17" s="6" customFormat="1">
      <c r="A203" s="102" t="s">
        <v>344</v>
      </c>
      <c r="B203" s="6" t="s">
        <v>486</v>
      </c>
      <c r="C203" s="88">
        <v>0.11</v>
      </c>
      <c r="D203" s="88">
        <v>0.1</v>
      </c>
      <c r="E203" s="88">
        <v>0</v>
      </c>
      <c r="F203" s="88">
        <v>0</v>
      </c>
      <c r="G203" s="88">
        <v>0</v>
      </c>
      <c r="H203" s="88">
        <v>0</v>
      </c>
      <c r="I203" s="88">
        <v>0</v>
      </c>
      <c r="J203" s="6">
        <v>100</v>
      </c>
      <c r="K203" s="6">
        <v>5</v>
      </c>
      <c r="L203" s="6" t="s">
        <v>173</v>
      </c>
      <c r="M203" s="9" t="s">
        <v>41</v>
      </c>
      <c r="N203" s="6" t="s">
        <v>41</v>
      </c>
      <c r="O203" s="59"/>
      <c r="P203" s="59"/>
      <c r="Q203" s="57"/>
    </row>
    <row r="204" spans="1:17" s="6" customFormat="1">
      <c r="A204" s="102" t="s">
        <v>344</v>
      </c>
      <c r="B204" s="6" t="s">
        <v>487</v>
      </c>
      <c r="C204" s="88">
        <v>0.74199999999999999</v>
      </c>
      <c r="D204" s="88">
        <v>2.2810000000000001</v>
      </c>
      <c r="E204" s="88">
        <v>1.466</v>
      </c>
      <c r="F204" s="88">
        <v>2.4660000000000002</v>
      </c>
      <c r="G204" s="88">
        <v>2.52</v>
      </c>
      <c r="H204" s="88">
        <v>2.52</v>
      </c>
      <c r="I204" s="88">
        <v>1.52</v>
      </c>
      <c r="J204" s="6">
        <v>100</v>
      </c>
      <c r="K204" s="6">
        <v>5</v>
      </c>
      <c r="L204" s="6" t="s">
        <v>173</v>
      </c>
      <c r="M204" s="9" t="s">
        <v>41</v>
      </c>
      <c r="N204" s="6" t="s">
        <v>41</v>
      </c>
      <c r="O204" s="59"/>
      <c r="P204" s="59"/>
      <c r="Q204" s="57"/>
    </row>
    <row r="205" spans="1:17" s="6" customFormat="1">
      <c r="A205" s="102" t="s">
        <v>344</v>
      </c>
      <c r="B205" s="6" t="s">
        <v>488</v>
      </c>
      <c r="C205" s="88">
        <v>0.95599999999999996</v>
      </c>
      <c r="D205" s="88">
        <v>2.5</v>
      </c>
      <c r="E205" s="88">
        <v>2.5</v>
      </c>
      <c r="F205" s="88">
        <v>2.5</v>
      </c>
      <c r="G205" s="88">
        <v>2.5</v>
      </c>
      <c r="H205" s="88">
        <v>2.5</v>
      </c>
      <c r="I205" s="88">
        <v>2.5</v>
      </c>
      <c r="J205" s="6">
        <v>100</v>
      </c>
      <c r="K205" s="6">
        <v>1</v>
      </c>
      <c r="L205" s="101" t="s">
        <v>642</v>
      </c>
      <c r="M205" s="9" t="s">
        <v>41</v>
      </c>
      <c r="N205" s="6" t="s">
        <v>41</v>
      </c>
      <c r="O205" s="59"/>
      <c r="P205" s="59"/>
      <c r="Q205" s="57"/>
    </row>
    <row r="206" spans="1:17" s="6" customFormat="1">
      <c r="A206" s="102" t="s">
        <v>344</v>
      </c>
      <c r="B206" s="6" t="s">
        <v>489</v>
      </c>
      <c r="C206" s="88">
        <v>0.16300000000000001</v>
      </c>
      <c r="D206" s="88">
        <v>0.25</v>
      </c>
      <c r="E206" s="88">
        <v>0.25</v>
      </c>
      <c r="F206" s="88">
        <v>0.25</v>
      </c>
      <c r="G206" s="88">
        <v>0.25</v>
      </c>
      <c r="H206" s="88">
        <v>0.25</v>
      </c>
      <c r="I206" s="88">
        <v>0.25</v>
      </c>
      <c r="J206" s="6">
        <v>100</v>
      </c>
      <c r="K206" s="6">
        <v>1</v>
      </c>
      <c r="L206" s="101" t="s">
        <v>643</v>
      </c>
      <c r="M206" s="9" t="s">
        <v>41</v>
      </c>
      <c r="N206" s="6" t="s">
        <v>41</v>
      </c>
      <c r="O206" s="59"/>
      <c r="P206" s="59"/>
      <c r="Q206" s="57"/>
    </row>
    <row r="207" spans="1:17" s="6" customFormat="1">
      <c r="A207" s="102" t="s">
        <v>344</v>
      </c>
      <c r="B207" s="6" t="s">
        <v>28</v>
      </c>
      <c r="C207" s="88">
        <v>5.4</v>
      </c>
      <c r="D207" s="88">
        <v>11.88</v>
      </c>
      <c r="E207" s="88">
        <v>0</v>
      </c>
      <c r="F207" s="88">
        <v>0</v>
      </c>
      <c r="G207" s="88">
        <v>0</v>
      </c>
      <c r="H207" s="88">
        <v>0</v>
      </c>
      <c r="I207" s="88">
        <v>0</v>
      </c>
      <c r="J207" s="6">
        <v>60</v>
      </c>
      <c r="K207" s="6">
        <v>5</v>
      </c>
      <c r="L207" s="6" t="s">
        <v>173</v>
      </c>
      <c r="M207" s="9" t="s">
        <v>41</v>
      </c>
      <c r="N207" s="9" t="s">
        <v>41</v>
      </c>
      <c r="O207" s="59"/>
      <c r="P207" s="59"/>
      <c r="Q207" s="57"/>
    </row>
    <row r="208" spans="1:17" s="6" customFormat="1">
      <c r="A208" s="102" t="s">
        <v>344</v>
      </c>
      <c r="B208" s="6" t="s">
        <v>490</v>
      </c>
      <c r="C208" s="88">
        <v>0.104</v>
      </c>
      <c r="D208" s="88">
        <v>0.03</v>
      </c>
      <c r="E208" s="88">
        <v>0</v>
      </c>
      <c r="F208" s="88">
        <v>0</v>
      </c>
      <c r="G208" s="88">
        <v>0</v>
      </c>
      <c r="H208" s="88">
        <v>0</v>
      </c>
      <c r="I208" s="88">
        <v>0</v>
      </c>
      <c r="J208" s="6">
        <v>100</v>
      </c>
      <c r="K208" s="6">
        <v>5</v>
      </c>
      <c r="L208" s="6" t="s">
        <v>173</v>
      </c>
      <c r="M208" s="9" t="s">
        <v>41</v>
      </c>
      <c r="N208" s="6" t="s">
        <v>41</v>
      </c>
      <c r="O208" s="59"/>
      <c r="P208" s="59"/>
      <c r="Q208" s="57"/>
    </row>
    <row r="209" spans="1:22" s="6" customFormat="1">
      <c r="A209" s="102" t="s">
        <v>344</v>
      </c>
      <c r="B209" s="6" t="s">
        <v>491</v>
      </c>
      <c r="C209" s="88">
        <v>1.454</v>
      </c>
      <c r="D209" s="88">
        <v>1.7230000000000001</v>
      </c>
      <c r="E209" s="88">
        <v>2.0150000000000001</v>
      </c>
      <c r="F209" s="88">
        <v>2.0219999999999998</v>
      </c>
      <c r="G209" s="88">
        <v>2.0219999999999998</v>
      </c>
      <c r="H209" s="88">
        <v>2.0219999999999998</v>
      </c>
      <c r="I209" s="88">
        <v>2.0219999999999998</v>
      </c>
      <c r="J209" s="6">
        <v>100</v>
      </c>
      <c r="K209" s="6">
        <v>5</v>
      </c>
      <c r="L209" s="6" t="s">
        <v>173</v>
      </c>
      <c r="M209" s="9" t="s">
        <v>41</v>
      </c>
      <c r="N209" s="6" t="s">
        <v>41</v>
      </c>
      <c r="O209" s="59"/>
      <c r="P209" s="59"/>
      <c r="Q209" s="57"/>
    </row>
    <row r="210" spans="1:22" s="6" customFormat="1" ht="15">
      <c r="A210" s="69" t="s">
        <v>349</v>
      </c>
      <c r="B210" s="106" t="s">
        <v>348</v>
      </c>
      <c r="C210" s="88"/>
      <c r="D210" s="88"/>
      <c r="E210" s="88"/>
      <c r="F210" s="88"/>
      <c r="G210" s="88"/>
      <c r="H210" s="88"/>
      <c r="I210" s="88"/>
      <c r="O210" s="59"/>
      <c r="P210" s="59"/>
      <c r="Q210" s="57"/>
    </row>
    <row r="211" spans="1:22" s="6" customFormat="1">
      <c r="A211" s="102" t="s">
        <v>351</v>
      </c>
      <c r="B211" s="6" t="s">
        <v>350</v>
      </c>
      <c r="C211" s="88">
        <v>5.093</v>
      </c>
      <c r="D211" s="88">
        <v>8.8859999999999992</v>
      </c>
      <c r="E211" s="88">
        <v>7.1109999999999998</v>
      </c>
      <c r="F211" s="88">
        <v>7.1109999999999998</v>
      </c>
      <c r="G211" s="88">
        <v>6.0949999999999998</v>
      </c>
      <c r="H211" s="88">
        <v>5.08</v>
      </c>
      <c r="I211" s="88">
        <v>4.0860000000000003</v>
      </c>
      <c r="J211" s="6">
        <v>100</v>
      </c>
      <c r="K211" s="6">
        <v>5</v>
      </c>
      <c r="L211" s="6" t="s">
        <v>173</v>
      </c>
      <c r="M211" s="6" t="s">
        <v>41</v>
      </c>
      <c r="N211" s="6" t="s">
        <v>41</v>
      </c>
      <c r="O211" s="59"/>
      <c r="P211" s="59"/>
      <c r="Q211" s="57"/>
    </row>
    <row r="212" spans="1:22" s="6" customFormat="1">
      <c r="A212" s="102"/>
      <c r="B212" s="21" t="s">
        <v>541</v>
      </c>
      <c r="C212" s="89">
        <f>SUM(C112:C211)</f>
        <v>657.10300000000007</v>
      </c>
      <c r="D212" s="89">
        <f t="shared" ref="D212:I212" si="7">SUM(D112:D211)</f>
        <v>922.14899999999966</v>
      </c>
      <c r="E212" s="89">
        <f t="shared" si="7"/>
        <v>781.99300000000017</v>
      </c>
      <c r="F212" s="89">
        <f t="shared" si="7"/>
        <v>832.18900000000019</v>
      </c>
      <c r="G212" s="89">
        <f t="shared" si="7"/>
        <v>805.35199999999986</v>
      </c>
      <c r="H212" s="89">
        <f t="shared" si="7"/>
        <v>805.31299999999999</v>
      </c>
      <c r="I212" s="89">
        <f t="shared" si="7"/>
        <v>792.48299999999995</v>
      </c>
      <c r="O212" s="59"/>
      <c r="P212" s="59"/>
      <c r="Q212" s="57"/>
    </row>
    <row r="213" spans="1:22" s="6" customFormat="1">
      <c r="A213" s="102"/>
      <c r="C213" s="88"/>
      <c r="D213" s="88"/>
      <c r="E213" s="88"/>
      <c r="F213" s="88"/>
      <c r="G213" s="88"/>
      <c r="H213" s="88"/>
      <c r="I213" s="88"/>
      <c r="O213" s="59"/>
      <c r="P213" s="59"/>
      <c r="Q213" s="57"/>
    </row>
    <row r="214" spans="1:22" s="14" customFormat="1" ht="15">
      <c r="B214" s="13" t="s">
        <v>667</v>
      </c>
      <c r="L214" s="15"/>
      <c r="P214" s="232"/>
      <c r="Q214" s="232"/>
      <c r="R214" s="232"/>
      <c r="S214" s="232"/>
      <c r="T214" s="232"/>
      <c r="U214" s="232"/>
      <c r="V214" s="232"/>
    </row>
    <row r="215" spans="1:22" s="69" customFormat="1" ht="15">
      <c r="A215" s="69" t="s">
        <v>353</v>
      </c>
      <c r="B215" s="106" t="s">
        <v>31</v>
      </c>
      <c r="C215" s="107"/>
      <c r="D215" s="107"/>
      <c r="E215" s="107"/>
      <c r="F215" s="107"/>
      <c r="G215" s="107"/>
      <c r="H215" s="107"/>
      <c r="I215" s="107"/>
      <c r="L215" s="21"/>
      <c r="O215" s="108"/>
      <c r="P215" s="108"/>
      <c r="Q215" s="155"/>
    </row>
    <row r="216" spans="1:22" s="6" customFormat="1">
      <c r="A216" s="103" t="s">
        <v>356</v>
      </c>
      <c r="B216" s="8" t="s">
        <v>504</v>
      </c>
      <c r="C216" s="235">
        <v>9.6430000000000007</v>
      </c>
      <c r="D216" s="235">
        <v>23.532</v>
      </c>
      <c r="E216" s="235">
        <v>23.431999999999999</v>
      </c>
      <c r="F216" s="235">
        <v>23.532</v>
      </c>
      <c r="G216" s="235">
        <v>23.532</v>
      </c>
      <c r="H216" s="235">
        <v>23.402000000000001</v>
      </c>
      <c r="I216" s="235">
        <v>24.276</v>
      </c>
      <c r="J216" s="9">
        <v>100</v>
      </c>
      <c r="K216" s="124" t="s">
        <v>355</v>
      </c>
      <c r="L216" s="9" t="s">
        <v>170</v>
      </c>
      <c r="M216" s="9" t="s">
        <v>32</v>
      </c>
      <c r="N216" s="9" t="s">
        <v>40</v>
      </c>
      <c r="O216" s="59"/>
      <c r="P216" s="59"/>
      <c r="Q216" s="57"/>
    </row>
    <row r="217" spans="1:22" s="6" customFormat="1">
      <c r="A217" s="103" t="s">
        <v>356</v>
      </c>
      <c r="B217" s="8" t="s">
        <v>505</v>
      </c>
      <c r="C217" s="235">
        <v>3.8889999999999998</v>
      </c>
      <c r="D217" s="235">
        <v>4.1139999999999999</v>
      </c>
      <c r="E217" s="235">
        <v>4.1139999999999999</v>
      </c>
      <c r="F217" s="235">
        <v>4.1139999999999999</v>
      </c>
      <c r="G217" s="235">
        <v>4.1139999999999999</v>
      </c>
      <c r="H217" s="235">
        <v>4.0880000000000001</v>
      </c>
      <c r="I217" s="235">
        <v>4.0880000000000001</v>
      </c>
      <c r="J217" s="9">
        <v>100</v>
      </c>
      <c r="K217" s="124" t="s">
        <v>355</v>
      </c>
      <c r="L217" s="9" t="s">
        <v>170</v>
      </c>
      <c r="M217" s="9" t="s">
        <v>32</v>
      </c>
      <c r="N217" s="9" t="s">
        <v>40</v>
      </c>
      <c r="O217" s="59"/>
      <c r="P217" s="59"/>
      <c r="Q217" s="57"/>
    </row>
    <row r="218" spans="1:22" s="6" customFormat="1">
      <c r="A218" s="103" t="s">
        <v>354</v>
      </c>
      <c r="B218" s="9" t="s">
        <v>500</v>
      </c>
      <c r="C218" s="54">
        <v>0</v>
      </c>
      <c r="D218" s="54">
        <v>0</v>
      </c>
      <c r="E218" s="54">
        <v>0</v>
      </c>
      <c r="F218" s="54">
        <v>0</v>
      </c>
      <c r="G218" s="54">
        <v>0.25800000000000001</v>
      </c>
      <c r="H218" s="54">
        <v>0.25800000000000001</v>
      </c>
      <c r="I218" s="190" t="s">
        <v>636</v>
      </c>
      <c r="J218" s="9">
        <v>100</v>
      </c>
      <c r="K218" s="10">
        <v>8</v>
      </c>
      <c r="L218" s="9" t="s">
        <v>172</v>
      </c>
      <c r="M218" s="9" t="s">
        <v>7</v>
      </c>
      <c r="N218" s="9" t="s">
        <v>41</v>
      </c>
      <c r="O218" s="59"/>
      <c r="P218" s="59"/>
      <c r="Q218" s="57"/>
    </row>
    <row r="219" spans="1:22" s="6" customFormat="1">
      <c r="A219" s="103" t="s">
        <v>354</v>
      </c>
      <c r="B219" s="9" t="s">
        <v>501</v>
      </c>
      <c r="C219" s="54">
        <v>1.1020000000000001</v>
      </c>
      <c r="D219" s="54">
        <v>3.1970000000000001</v>
      </c>
      <c r="E219" s="54">
        <v>2.609</v>
      </c>
      <c r="F219" s="54">
        <v>2.0840000000000001</v>
      </c>
      <c r="G219" s="54">
        <v>2.3340000000000001</v>
      </c>
      <c r="H219" s="54">
        <v>2.4079999999999999</v>
      </c>
      <c r="I219" s="190" t="s">
        <v>636</v>
      </c>
      <c r="J219" s="9">
        <v>100</v>
      </c>
      <c r="K219" s="10">
        <v>6</v>
      </c>
      <c r="L219" s="9" t="s">
        <v>174</v>
      </c>
      <c r="M219" s="9" t="s">
        <v>7</v>
      </c>
      <c r="N219" s="9" t="s">
        <v>41</v>
      </c>
      <c r="O219" s="59"/>
      <c r="P219" s="59"/>
      <c r="Q219" s="57"/>
    </row>
    <row r="220" spans="1:22" s="6" customFormat="1">
      <c r="A220" s="103" t="s">
        <v>354</v>
      </c>
      <c r="B220" s="9" t="s">
        <v>502</v>
      </c>
      <c r="C220" s="54">
        <v>2.9000000000000001E-2</v>
      </c>
      <c r="D220" s="54">
        <v>0.65200000000000002</v>
      </c>
      <c r="E220" s="54">
        <v>1.34</v>
      </c>
      <c r="F220" s="54">
        <v>1.3919999999999999</v>
      </c>
      <c r="G220" s="54">
        <v>1.3919999999999999</v>
      </c>
      <c r="H220" s="54">
        <v>1.3919999999999999</v>
      </c>
      <c r="I220" s="190" t="s">
        <v>636</v>
      </c>
      <c r="J220" s="9">
        <v>100</v>
      </c>
      <c r="K220" s="9">
        <v>6</v>
      </c>
      <c r="L220" s="9" t="s">
        <v>174</v>
      </c>
      <c r="M220" s="9" t="s">
        <v>7</v>
      </c>
      <c r="N220" s="9" t="s">
        <v>41</v>
      </c>
      <c r="O220" s="59"/>
      <c r="P220" s="59"/>
      <c r="Q220" s="57"/>
    </row>
    <row r="221" spans="1:22" s="6" customFormat="1">
      <c r="A221" s="103" t="s">
        <v>354</v>
      </c>
      <c r="B221" s="9" t="s">
        <v>503</v>
      </c>
      <c r="C221" s="54">
        <v>0.64400000000000002</v>
      </c>
      <c r="D221" s="54">
        <v>0.501</v>
      </c>
      <c r="E221" s="54">
        <v>0.93700000000000006</v>
      </c>
      <c r="F221" s="54">
        <v>0.503</v>
      </c>
      <c r="G221" s="54">
        <v>0.503</v>
      </c>
      <c r="H221" s="54">
        <v>0.503</v>
      </c>
      <c r="I221" s="190" t="s">
        <v>636</v>
      </c>
      <c r="J221" s="9">
        <v>100</v>
      </c>
      <c r="K221" s="9">
        <v>6</v>
      </c>
      <c r="L221" s="9" t="s">
        <v>174</v>
      </c>
      <c r="M221" s="9" t="s">
        <v>7</v>
      </c>
      <c r="N221" s="9" t="s">
        <v>41</v>
      </c>
      <c r="O221" s="59"/>
      <c r="P221" s="59"/>
      <c r="Q221" s="57"/>
    </row>
    <row r="222" spans="1:22" s="6" customFormat="1">
      <c r="A222" s="103" t="s">
        <v>356</v>
      </c>
      <c r="B222" s="8" t="s">
        <v>171</v>
      </c>
      <c r="C222" s="54">
        <v>60.911000000000001</v>
      </c>
      <c r="D222" s="54">
        <v>64.626999999999995</v>
      </c>
      <c r="E222" s="54">
        <v>65.114000000000004</v>
      </c>
      <c r="F222" s="54">
        <v>62.317999999999998</v>
      </c>
      <c r="G222" s="54">
        <v>62.317999999999998</v>
      </c>
      <c r="H222" s="54">
        <v>62.845999999999997</v>
      </c>
      <c r="I222" s="54">
        <v>62.845999999999997</v>
      </c>
      <c r="J222" s="9">
        <v>100</v>
      </c>
      <c r="K222" s="124" t="s">
        <v>355</v>
      </c>
      <c r="L222" s="9" t="s">
        <v>170</v>
      </c>
      <c r="M222" s="9" t="s">
        <v>32</v>
      </c>
      <c r="N222" s="9" t="s">
        <v>41</v>
      </c>
      <c r="O222" s="59"/>
      <c r="P222" s="59"/>
      <c r="Q222" s="57"/>
    </row>
    <row r="223" spans="1:22" s="6" customFormat="1">
      <c r="A223" s="103" t="s">
        <v>356</v>
      </c>
      <c r="B223" s="8" t="s">
        <v>506</v>
      </c>
      <c r="C223" s="54">
        <v>21.943000000000001</v>
      </c>
      <c r="D223" s="54">
        <v>39.514000000000003</v>
      </c>
      <c r="E223" s="54">
        <v>20.966999999999999</v>
      </c>
      <c r="F223" s="54">
        <v>14.506</v>
      </c>
      <c r="G223" s="54">
        <v>14.327</v>
      </c>
      <c r="H223" s="54">
        <v>13.481999999999999</v>
      </c>
      <c r="I223" s="54">
        <v>11.593</v>
      </c>
      <c r="J223" s="9">
        <v>100</v>
      </c>
      <c r="K223" s="9">
        <v>8</v>
      </c>
      <c r="L223" s="9" t="s">
        <v>172</v>
      </c>
      <c r="M223" s="9" t="s">
        <v>32</v>
      </c>
      <c r="N223" s="9" t="s">
        <v>41</v>
      </c>
      <c r="O223" s="59"/>
      <c r="P223" s="59"/>
      <c r="Q223" s="57"/>
    </row>
    <row r="224" spans="1:22" s="6" customFormat="1">
      <c r="A224" s="103" t="s">
        <v>356</v>
      </c>
      <c r="B224" s="8" t="s">
        <v>33</v>
      </c>
      <c r="C224" s="54">
        <v>46.488999999999997</v>
      </c>
      <c r="D224" s="54">
        <v>51.341999999999999</v>
      </c>
      <c r="E224" s="54">
        <v>48.935000000000002</v>
      </c>
      <c r="F224" s="54">
        <v>57.372</v>
      </c>
      <c r="G224" s="54">
        <v>57.3</v>
      </c>
      <c r="H224" s="54">
        <v>57.279000000000003</v>
      </c>
      <c r="I224" s="54">
        <v>55.622</v>
      </c>
      <c r="J224" s="9">
        <v>100</v>
      </c>
      <c r="K224" s="9">
        <v>8</v>
      </c>
      <c r="L224" s="9" t="s">
        <v>172</v>
      </c>
      <c r="M224" s="9" t="s">
        <v>32</v>
      </c>
      <c r="N224" s="9" t="s">
        <v>41</v>
      </c>
      <c r="O224" s="59"/>
      <c r="P224" s="59"/>
      <c r="Q224" s="57"/>
    </row>
    <row r="225" spans="1:17" s="6" customFormat="1">
      <c r="A225" s="103" t="s">
        <v>356</v>
      </c>
      <c r="B225" s="9" t="s">
        <v>507</v>
      </c>
      <c r="C225" s="54">
        <v>0</v>
      </c>
      <c r="D225" s="54">
        <v>0</v>
      </c>
      <c r="E225" s="54">
        <v>1.8759999999999999</v>
      </c>
      <c r="F225" s="54">
        <v>1.96</v>
      </c>
      <c r="G225" s="54">
        <v>1.96</v>
      </c>
      <c r="H225" s="54">
        <v>1.96</v>
      </c>
      <c r="I225" s="54">
        <v>1.96</v>
      </c>
      <c r="J225" s="9">
        <v>100</v>
      </c>
      <c r="K225" s="9">
        <v>8</v>
      </c>
      <c r="L225" s="9" t="s">
        <v>172</v>
      </c>
      <c r="M225" s="9" t="s">
        <v>34</v>
      </c>
      <c r="N225" s="9" t="s">
        <v>41</v>
      </c>
      <c r="O225" s="59"/>
      <c r="P225" s="59"/>
      <c r="Q225" s="57"/>
    </row>
    <row r="226" spans="1:17" s="6" customFormat="1">
      <c r="A226" s="103" t="s">
        <v>356</v>
      </c>
      <c r="B226" s="9" t="s">
        <v>508</v>
      </c>
      <c r="C226" s="54">
        <v>1.583</v>
      </c>
      <c r="D226" s="54">
        <v>1.454</v>
      </c>
      <c r="E226" s="54">
        <v>2.0310000000000001</v>
      </c>
      <c r="F226" s="54">
        <v>1.637</v>
      </c>
      <c r="G226" s="54">
        <v>2.137</v>
      </c>
      <c r="H226" s="54">
        <v>2.137</v>
      </c>
      <c r="I226" s="54">
        <v>2.137</v>
      </c>
      <c r="J226" s="9">
        <v>100</v>
      </c>
      <c r="K226" s="10">
        <v>8</v>
      </c>
      <c r="L226" s="9" t="s">
        <v>172</v>
      </c>
      <c r="M226" s="9" t="s">
        <v>11</v>
      </c>
      <c r="N226" s="9" t="s">
        <v>41</v>
      </c>
      <c r="O226" s="59"/>
      <c r="P226" s="59"/>
      <c r="Q226" s="57"/>
    </row>
    <row r="227" spans="1:17" s="6" customFormat="1">
      <c r="A227" s="103" t="s">
        <v>356</v>
      </c>
      <c r="B227" s="9" t="s">
        <v>635</v>
      </c>
      <c r="C227" s="54">
        <v>0.38100000000000001</v>
      </c>
      <c r="D227" s="54">
        <v>0.995</v>
      </c>
      <c r="E227" s="54">
        <v>0.82099999999999995</v>
      </c>
      <c r="F227" s="54">
        <v>0.5</v>
      </c>
      <c r="G227" s="54">
        <v>0</v>
      </c>
      <c r="H227" s="54">
        <v>0</v>
      </c>
      <c r="I227" s="54">
        <v>0</v>
      </c>
      <c r="J227" s="9">
        <v>100</v>
      </c>
      <c r="K227" s="10">
        <v>8</v>
      </c>
      <c r="L227" s="9" t="s">
        <v>219</v>
      </c>
      <c r="M227" s="9" t="s">
        <v>11</v>
      </c>
      <c r="N227" s="9" t="s">
        <v>41</v>
      </c>
      <c r="O227" s="59"/>
      <c r="P227" s="59"/>
      <c r="Q227" s="57"/>
    </row>
    <row r="228" spans="1:17" s="6" customFormat="1">
      <c r="A228" s="103" t="s">
        <v>356</v>
      </c>
      <c r="B228" s="9" t="s">
        <v>509</v>
      </c>
      <c r="C228" s="54">
        <v>1.335</v>
      </c>
      <c r="D228" s="54">
        <v>1.5029999999999999</v>
      </c>
      <c r="E228" s="54">
        <v>2.1840000000000002</v>
      </c>
      <c r="F228" s="54">
        <v>2.871</v>
      </c>
      <c r="G228" s="54">
        <v>2.871</v>
      </c>
      <c r="H228" s="54">
        <v>3.0049999999999999</v>
      </c>
      <c r="I228" s="54">
        <v>3.0049999999999999</v>
      </c>
      <c r="J228" s="9">
        <v>100</v>
      </c>
      <c r="K228" s="10">
        <v>8</v>
      </c>
      <c r="L228" s="9" t="s">
        <v>172</v>
      </c>
      <c r="M228" s="9" t="s">
        <v>11</v>
      </c>
      <c r="N228" s="9" t="s">
        <v>41</v>
      </c>
      <c r="O228" s="59"/>
      <c r="P228" s="59"/>
      <c r="Q228" s="57"/>
    </row>
    <row r="229" spans="1:17" s="6" customFormat="1">
      <c r="A229" s="103" t="s">
        <v>356</v>
      </c>
      <c r="B229" s="9" t="s">
        <v>510</v>
      </c>
      <c r="C229" s="54">
        <v>2.5000000000000001E-2</v>
      </c>
      <c r="D229" s="54">
        <v>0.4</v>
      </c>
      <c r="E229" s="54">
        <v>1.891</v>
      </c>
      <c r="F229" s="54">
        <v>1.667</v>
      </c>
      <c r="G229" s="54">
        <v>1.667</v>
      </c>
      <c r="H229" s="54">
        <v>1.667</v>
      </c>
      <c r="I229" s="54">
        <v>1.667</v>
      </c>
      <c r="J229" s="9">
        <v>100</v>
      </c>
      <c r="K229" s="10">
        <v>8</v>
      </c>
      <c r="L229" s="9" t="s">
        <v>172</v>
      </c>
      <c r="M229" s="9" t="s">
        <v>11</v>
      </c>
      <c r="N229" s="9" t="s">
        <v>41</v>
      </c>
      <c r="O229" s="59"/>
      <c r="P229" s="59"/>
      <c r="Q229" s="57"/>
    </row>
    <row r="230" spans="1:17" s="6" customFormat="1">
      <c r="A230" s="103" t="s">
        <v>356</v>
      </c>
      <c r="B230" s="9" t="s">
        <v>511</v>
      </c>
      <c r="C230" s="54">
        <v>1.518</v>
      </c>
      <c r="D230" s="54">
        <v>0.20100000000000001</v>
      </c>
      <c r="E230" s="54">
        <v>0.20100000000000001</v>
      </c>
      <c r="F230" s="54">
        <v>0.20100000000000001</v>
      </c>
      <c r="G230" s="54">
        <v>0.20100000000000001</v>
      </c>
      <c r="H230" s="54">
        <v>0.20100000000000001</v>
      </c>
      <c r="I230" s="54">
        <v>0.20100000000000001</v>
      </c>
      <c r="J230" s="9">
        <v>100</v>
      </c>
      <c r="K230" s="10">
        <v>8</v>
      </c>
      <c r="L230" s="9" t="s">
        <v>172</v>
      </c>
      <c r="M230" s="9" t="s">
        <v>11</v>
      </c>
      <c r="N230" s="9" t="s">
        <v>41</v>
      </c>
      <c r="O230" s="59"/>
      <c r="P230" s="59"/>
      <c r="Q230" s="57"/>
    </row>
    <row r="231" spans="1:17" s="6" customFormat="1">
      <c r="A231" s="103" t="s">
        <v>356</v>
      </c>
      <c r="B231" s="9" t="s">
        <v>512</v>
      </c>
      <c r="C231" s="54">
        <v>2.3029999999999999</v>
      </c>
      <c r="D231" s="54">
        <v>0</v>
      </c>
      <c r="E231" s="54">
        <v>0</v>
      </c>
      <c r="F231" s="54">
        <v>0</v>
      </c>
      <c r="G231" s="54">
        <v>0</v>
      </c>
      <c r="H231" s="54">
        <v>0</v>
      </c>
      <c r="I231" s="54">
        <v>0</v>
      </c>
      <c r="J231" s="9">
        <v>100</v>
      </c>
      <c r="K231" s="10">
        <v>8</v>
      </c>
      <c r="L231" s="9" t="s">
        <v>172</v>
      </c>
      <c r="M231" s="9" t="s">
        <v>11</v>
      </c>
      <c r="N231" s="9" t="s">
        <v>41</v>
      </c>
      <c r="O231" s="59"/>
      <c r="P231" s="59"/>
      <c r="Q231" s="57"/>
    </row>
    <row r="232" spans="1:17" s="6" customFormat="1">
      <c r="A232" s="103" t="s">
        <v>356</v>
      </c>
      <c r="B232" s="9" t="s">
        <v>513</v>
      </c>
      <c r="C232" s="54">
        <v>0.497</v>
      </c>
      <c r="D232" s="54">
        <v>1.986</v>
      </c>
      <c r="E232" s="54">
        <v>1.679</v>
      </c>
      <c r="F232" s="54">
        <v>1.68</v>
      </c>
      <c r="G232" s="54">
        <v>2.4430000000000001</v>
      </c>
      <c r="H232" s="54">
        <v>2.4430000000000001</v>
      </c>
      <c r="I232" s="54">
        <v>2.4430000000000001</v>
      </c>
      <c r="J232" s="9">
        <v>100</v>
      </c>
      <c r="K232" s="10">
        <v>8</v>
      </c>
      <c r="L232" s="9" t="s">
        <v>172</v>
      </c>
      <c r="M232" s="9" t="s">
        <v>11</v>
      </c>
      <c r="N232" s="9" t="s">
        <v>41</v>
      </c>
      <c r="O232" s="59"/>
      <c r="P232" s="59"/>
      <c r="Q232" s="57"/>
    </row>
    <row r="233" spans="1:17" s="6" customFormat="1">
      <c r="A233" s="103" t="s">
        <v>356</v>
      </c>
      <c r="B233" s="9" t="s">
        <v>514</v>
      </c>
      <c r="C233" s="54">
        <v>1.4999999999999999E-2</v>
      </c>
      <c r="D233" s="54">
        <v>0</v>
      </c>
      <c r="E233" s="54">
        <v>0</v>
      </c>
      <c r="F233" s="54">
        <v>0</v>
      </c>
      <c r="G233" s="54">
        <v>0</v>
      </c>
      <c r="H233" s="54">
        <v>0</v>
      </c>
      <c r="I233" s="54">
        <v>0</v>
      </c>
      <c r="J233" s="9">
        <v>100</v>
      </c>
      <c r="K233" s="10">
        <v>8</v>
      </c>
      <c r="L233" s="9" t="s">
        <v>172</v>
      </c>
      <c r="M233" s="9" t="s">
        <v>11</v>
      </c>
      <c r="N233" s="9" t="s">
        <v>41</v>
      </c>
      <c r="O233" s="59"/>
      <c r="P233" s="59"/>
      <c r="Q233" s="57"/>
    </row>
    <row r="234" spans="1:17" s="6" customFormat="1">
      <c r="A234" s="103" t="s">
        <v>356</v>
      </c>
      <c r="B234" s="9" t="s">
        <v>357</v>
      </c>
      <c r="C234" s="54">
        <v>5.9809999999999999</v>
      </c>
      <c r="D234" s="54">
        <v>6.1470000000000002</v>
      </c>
      <c r="E234" s="54">
        <v>4.7779999999999996</v>
      </c>
      <c r="F234" s="54">
        <v>4.3550000000000004</v>
      </c>
      <c r="G234" s="54">
        <v>4.38</v>
      </c>
      <c r="H234" s="54">
        <v>2.927</v>
      </c>
      <c r="I234" s="54">
        <v>2.5289999999999999</v>
      </c>
      <c r="J234" s="9">
        <v>100</v>
      </c>
      <c r="K234" s="10">
        <v>8</v>
      </c>
      <c r="L234" s="9" t="s">
        <v>172</v>
      </c>
      <c r="M234" s="9" t="s">
        <v>11</v>
      </c>
      <c r="N234" s="9" t="s">
        <v>41</v>
      </c>
      <c r="O234" s="59"/>
      <c r="P234" s="59"/>
      <c r="Q234" s="57"/>
    </row>
    <row r="235" spans="1:17" s="69" customFormat="1" ht="15">
      <c r="A235" s="69" t="s">
        <v>60</v>
      </c>
      <c r="B235" s="106" t="s">
        <v>35</v>
      </c>
      <c r="C235" s="107"/>
      <c r="D235" s="107"/>
      <c r="E235" s="107"/>
      <c r="F235" s="107"/>
      <c r="G235" s="107"/>
      <c r="H235" s="107"/>
      <c r="I235" s="107"/>
      <c r="L235" s="21"/>
      <c r="O235" s="108"/>
      <c r="P235" s="108"/>
      <c r="Q235" s="121"/>
    </row>
    <row r="236" spans="1:17" s="6" customFormat="1">
      <c r="A236" s="102">
        <v>40</v>
      </c>
      <c r="B236" s="6" t="s">
        <v>36</v>
      </c>
      <c r="C236" s="88">
        <v>0</v>
      </c>
      <c r="D236" s="88">
        <v>0</v>
      </c>
      <c r="E236" s="88">
        <v>0</v>
      </c>
      <c r="F236" s="88">
        <v>0</v>
      </c>
      <c r="G236" s="88">
        <v>0</v>
      </c>
      <c r="H236" s="88">
        <v>0</v>
      </c>
      <c r="I236" s="88">
        <v>0</v>
      </c>
      <c r="J236" s="6">
        <v>0</v>
      </c>
      <c r="K236" s="6">
        <v>11</v>
      </c>
      <c r="L236" s="101" t="s">
        <v>58</v>
      </c>
      <c r="M236" s="6" t="s">
        <v>9</v>
      </c>
      <c r="N236" s="9" t="s">
        <v>40</v>
      </c>
      <c r="O236" s="59"/>
      <c r="P236" s="59"/>
      <c r="Q236" s="57"/>
    </row>
    <row r="237" spans="1:17" s="3" customFormat="1" ht="15">
      <c r="A237" s="69"/>
      <c r="B237" s="3" t="s">
        <v>670</v>
      </c>
      <c r="C237" s="11">
        <f>SUM(C216:C236)</f>
        <v>158.28800000000001</v>
      </c>
      <c r="D237" s="11">
        <f t="shared" ref="D237:I237" si="8">SUM(D216:D236)</f>
        <v>200.16499999999996</v>
      </c>
      <c r="E237" s="11">
        <f t="shared" si="8"/>
        <v>182.90899999999999</v>
      </c>
      <c r="F237" s="11">
        <f t="shared" si="8"/>
        <v>180.69200000000001</v>
      </c>
      <c r="G237" s="11">
        <f t="shared" si="8"/>
        <v>181.73699999999999</v>
      </c>
      <c r="H237" s="11">
        <f t="shared" si="8"/>
        <v>179.99799999999999</v>
      </c>
      <c r="I237" s="11">
        <f t="shared" si="8"/>
        <v>172.36700000000002</v>
      </c>
      <c r="L237" s="1"/>
      <c r="O237" s="69"/>
      <c r="P237" s="69"/>
    </row>
    <row r="238" spans="1:17">
      <c r="C238" s="272"/>
      <c r="D238" s="272"/>
      <c r="E238" s="272"/>
      <c r="F238" s="272"/>
      <c r="G238" s="272"/>
      <c r="H238" s="272"/>
      <c r="I238" s="272"/>
    </row>
    <row r="239" spans="1:17" ht="15">
      <c r="A239" s="29"/>
      <c r="B239" s="26" t="s">
        <v>78</v>
      </c>
      <c r="C239" s="53"/>
      <c r="D239" s="53"/>
      <c r="E239" s="53"/>
      <c r="F239" s="53"/>
      <c r="G239" s="53"/>
      <c r="H239" s="53"/>
      <c r="I239" s="53"/>
      <c r="J239" s="26"/>
      <c r="K239" s="28"/>
      <c r="L239" s="83"/>
      <c r="M239" s="26"/>
      <c r="N239" s="26"/>
    </row>
    <row r="240" spans="1:17">
      <c r="A240" s="6">
        <v>1</v>
      </c>
      <c r="B240" s="4" t="s">
        <v>324</v>
      </c>
      <c r="C240" s="52">
        <v>3.944</v>
      </c>
      <c r="D240" s="52">
        <v>3.8919999999999999</v>
      </c>
      <c r="E240" s="52">
        <v>7.5919999999999996</v>
      </c>
      <c r="F240" s="52">
        <v>7.5919999999999996</v>
      </c>
      <c r="G240" s="52">
        <v>7.5919999999999996</v>
      </c>
      <c r="H240" s="52">
        <v>7.5919999999999996</v>
      </c>
      <c r="I240" s="52">
        <v>7.5919999999999996</v>
      </c>
      <c r="J240" s="133">
        <v>100</v>
      </c>
      <c r="K240" s="4">
        <v>7</v>
      </c>
      <c r="L240" s="85" t="s">
        <v>100</v>
      </c>
      <c r="M240" s="4" t="s">
        <v>422</v>
      </c>
      <c r="N240" s="4" t="s">
        <v>40</v>
      </c>
    </row>
    <row r="241" spans="1:16">
      <c r="A241" s="6">
        <v>1</v>
      </c>
      <c r="B241" s="4" t="s">
        <v>324</v>
      </c>
      <c r="C241" s="52">
        <v>2.71</v>
      </c>
      <c r="D241" s="52">
        <v>3.351</v>
      </c>
      <c r="E241" s="52">
        <v>2.8620000000000001</v>
      </c>
      <c r="F241" s="52">
        <v>2.4140000000000001</v>
      </c>
      <c r="G241" s="52">
        <v>2.4369999999999998</v>
      </c>
      <c r="H241" s="52">
        <v>2.41</v>
      </c>
      <c r="I241" s="52">
        <v>2.4340000000000002</v>
      </c>
      <c r="J241" s="133">
        <v>100</v>
      </c>
      <c r="K241" s="4">
        <v>11</v>
      </c>
      <c r="L241" s="85" t="s">
        <v>58</v>
      </c>
      <c r="M241" s="4" t="s">
        <v>41</v>
      </c>
      <c r="N241" s="4" t="s">
        <v>41</v>
      </c>
    </row>
    <row r="242" spans="1:16">
      <c r="A242" s="6">
        <v>1</v>
      </c>
      <c r="B242" s="4" t="s">
        <v>324</v>
      </c>
      <c r="C242" s="52">
        <v>0.42499999999999999</v>
      </c>
      <c r="D242" s="52">
        <v>0.42499999999999999</v>
      </c>
      <c r="E242" s="52">
        <v>0.12</v>
      </c>
      <c r="F242" s="52">
        <v>0</v>
      </c>
      <c r="G242" s="52">
        <v>0</v>
      </c>
      <c r="H242" s="52">
        <v>0</v>
      </c>
      <c r="I242" s="52">
        <v>0</v>
      </c>
      <c r="J242" s="133">
        <v>100</v>
      </c>
      <c r="K242" s="4">
        <v>11</v>
      </c>
      <c r="L242" s="85" t="s">
        <v>58</v>
      </c>
      <c r="M242" s="4" t="s">
        <v>423</v>
      </c>
      <c r="N242" s="4" t="s">
        <v>41</v>
      </c>
    </row>
    <row r="243" spans="1:16">
      <c r="A243" s="6">
        <v>13</v>
      </c>
      <c r="B243" s="4" t="s">
        <v>325</v>
      </c>
      <c r="C243" s="52">
        <v>1.18</v>
      </c>
      <c r="D243" s="52">
        <v>0.66</v>
      </c>
      <c r="E243" s="52">
        <v>0.66</v>
      </c>
      <c r="F243" s="52">
        <v>0.66</v>
      </c>
      <c r="G243" s="52">
        <v>0.5</v>
      </c>
      <c r="H243" s="52">
        <v>0.5</v>
      </c>
      <c r="I243" s="52">
        <v>0.5</v>
      </c>
      <c r="J243" s="61">
        <v>100</v>
      </c>
      <c r="K243" s="4">
        <v>11</v>
      </c>
      <c r="L243" s="85" t="s">
        <v>58</v>
      </c>
      <c r="N243" s="4" t="s">
        <v>41</v>
      </c>
    </row>
    <row r="244" spans="1:16">
      <c r="A244" s="6">
        <v>98</v>
      </c>
      <c r="B244" s="4" t="s">
        <v>117</v>
      </c>
      <c r="C244" s="52">
        <v>2.5419999999999998</v>
      </c>
      <c r="D244" s="52">
        <v>3.0640000000000001</v>
      </c>
      <c r="E244" s="52">
        <v>2.1880000000000002</v>
      </c>
      <c r="F244" s="52">
        <v>2.1880000000000002</v>
      </c>
      <c r="G244" s="52">
        <v>2.1880000000000002</v>
      </c>
      <c r="H244" s="52">
        <v>2.1880000000000002</v>
      </c>
      <c r="I244" s="52">
        <v>2.1880000000000002</v>
      </c>
      <c r="J244" s="61">
        <v>100</v>
      </c>
      <c r="K244" s="4">
        <v>11</v>
      </c>
      <c r="L244" s="85" t="s">
        <v>58</v>
      </c>
      <c r="M244" s="4" t="s">
        <v>41</v>
      </c>
      <c r="N244" s="4" t="s">
        <v>41</v>
      </c>
    </row>
    <row r="245" spans="1:16" s="3" customFormat="1" ht="15">
      <c r="A245" s="69"/>
      <c r="B245" s="3" t="s">
        <v>81</v>
      </c>
      <c r="C245" s="11">
        <f>SUM(C240:C244)</f>
        <v>10.801</v>
      </c>
      <c r="D245" s="11">
        <f t="shared" ref="D245:I245" si="9">SUM(D240:D244)</f>
        <v>11.391999999999999</v>
      </c>
      <c r="E245" s="11">
        <f t="shared" si="9"/>
        <v>13.422000000000001</v>
      </c>
      <c r="F245" s="11">
        <f t="shared" si="9"/>
        <v>12.854000000000001</v>
      </c>
      <c r="G245" s="11">
        <f t="shared" si="9"/>
        <v>12.717000000000001</v>
      </c>
      <c r="H245" s="11">
        <f t="shared" si="9"/>
        <v>12.69</v>
      </c>
      <c r="I245" s="11">
        <f t="shared" si="9"/>
        <v>12.714</v>
      </c>
      <c r="L245" s="1"/>
      <c r="O245" s="69"/>
      <c r="P245" s="69"/>
    </row>
    <row r="246" spans="1:16">
      <c r="A246" s="6"/>
      <c r="C246" s="52"/>
      <c r="D246" s="52"/>
      <c r="E246" s="52"/>
      <c r="F246" s="52"/>
      <c r="G246" s="52"/>
      <c r="H246" s="52"/>
      <c r="I246" s="52"/>
    </row>
    <row r="247" spans="1:16" ht="15">
      <c r="A247" s="30"/>
      <c r="B247" s="26" t="s">
        <v>79</v>
      </c>
      <c r="C247" s="55"/>
      <c r="D247" s="55"/>
      <c r="E247" s="55"/>
      <c r="F247" s="55"/>
      <c r="G247" s="55"/>
      <c r="H247" s="55"/>
      <c r="I247" s="55"/>
      <c r="J247" s="30"/>
      <c r="K247" s="30"/>
      <c r="L247" s="84"/>
      <c r="M247" s="30"/>
      <c r="N247" s="30"/>
    </row>
    <row r="248" spans="1:16" s="6" customFormat="1">
      <c r="A248" s="101" t="s">
        <v>253</v>
      </c>
      <c r="B248" s="101" t="s">
        <v>233</v>
      </c>
      <c r="C248" s="104">
        <v>22</v>
      </c>
      <c r="D248" s="104">
        <v>22</v>
      </c>
      <c r="E248" s="104">
        <v>22</v>
      </c>
      <c r="F248" s="104">
        <v>22</v>
      </c>
      <c r="G248" s="104">
        <v>22</v>
      </c>
      <c r="H248" s="104">
        <v>22</v>
      </c>
      <c r="I248" s="104">
        <v>22</v>
      </c>
      <c r="J248" s="105">
        <v>3.1</v>
      </c>
      <c r="K248" s="109" t="s">
        <v>70</v>
      </c>
      <c r="L248" s="101" t="s">
        <v>105</v>
      </c>
      <c r="M248" s="101" t="s">
        <v>193</v>
      </c>
      <c r="N248" s="101" t="s">
        <v>40</v>
      </c>
    </row>
    <row r="249" spans="1:16" s="6" customFormat="1">
      <c r="A249" s="101" t="s">
        <v>177</v>
      </c>
      <c r="B249" s="101" t="s">
        <v>413</v>
      </c>
      <c r="C249" s="104">
        <v>15.4</v>
      </c>
      <c r="D249" s="104">
        <v>15.4</v>
      </c>
      <c r="E249" s="104">
        <v>15.4</v>
      </c>
      <c r="F249" s="104">
        <v>15.4</v>
      </c>
      <c r="G249" s="104">
        <v>15.4</v>
      </c>
      <c r="H249" s="104">
        <v>15.4</v>
      </c>
      <c r="I249" s="104">
        <v>15.4</v>
      </c>
      <c r="J249" s="105">
        <v>5.9</v>
      </c>
      <c r="K249" s="109" t="s">
        <v>70</v>
      </c>
      <c r="L249" s="101" t="s">
        <v>105</v>
      </c>
      <c r="M249" s="101" t="s">
        <v>27</v>
      </c>
      <c r="N249" s="101" t="s">
        <v>40</v>
      </c>
    </row>
    <row r="250" spans="1:16" s="6" customFormat="1">
      <c r="A250" s="101" t="s">
        <v>180</v>
      </c>
      <c r="B250" s="101" t="s">
        <v>414</v>
      </c>
      <c r="C250" s="104">
        <v>0.9</v>
      </c>
      <c r="D250" s="104">
        <v>1.915</v>
      </c>
      <c r="E250" s="104">
        <v>2.0779999999999998</v>
      </c>
      <c r="F250" s="104">
        <v>1.7869999999999999</v>
      </c>
      <c r="G250" s="104">
        <v>0</v>
      </c>
      <c r="H250" s="104">
        <v>0</v>
      </c>
      <c r="I250" s="104">
        <v>0</v>
      </c>
      <c r="J250" s="105">
        <v>1</v>
      </c>
      <c r="K250" s="109">
        <v>7</v>
      </c>
      <c r="L250" s="101" t="s">
        <v>100</v>
      </c>
      <c r="M250" s="101" t="s">
        <v>7</v>
      </c>
      <c r="N250" s="101" t="s">
        <v>40</v>
      </c>
    </row>
    <row r="251" spans="1:16" s="6" customFormat="1">
      <c r="A251" s="101" t="s">
        <v>180</v>
      </c>
      <c r="B251" s="101" t="s">
        <v>598</v>
      </c>
      <c r="C251" s="104">
        <v>17.347999999999999</v>
      </c>
      <c r="D251" s="104">
        <v>17.422999999999998</v>
      </c>
      <c r="E251" s="104">
        <v>17.422999999999998</v>
      </c>
      <c r="F251" s="104">
        <v>17.422999999999998</v>
      </c>
      <c r="G251" s="104">
        <v>17.422999999999998</v>
      </c>
      <c r="H251" s="104">
        <v>17.422999999999998</v>
      </c>
      <c r="I251" s="104">
        <v>17.422999999999998</v>
      </c>
      <c r="J251" s="105">
        <v>8.1</v>
      </c>
      <c r="K251" s="109">
        <v>7</v>
      </c>
      <c r="L251" s="101" t="s">
        <v>100</v>
      </c>
      <c r="M251" s="101" t="s">
        <v>181</v>
      </c>
      <c r="N251" s="101" t="s">
        <v>40</v>
      </c>
    </row>
    <row r="252" spans="1:16" s="6" customFormat="1">
      <c r="A252" s="101" t="s">
        <v>180</v>
      </c>
      <c r="B252" s="101" t="s">
        <v>257</v>
      </c>
      <c r="C252" s="104">
        <v>0</v>
      </c>
      <c r="D252" s="104">
        <v>5.8</v>
      </c>
      <c r="E252" s="104">
        <v>5.8</v>
      </c>
      <c r="F252" s="104">
        <v>5.8</v>
      </c>
      <c r="G252" s="104">
        <v>5.8</v>
      </c>
      <c r="H252" s="104">
        <v>5.8</v>
      </c>
      <c r="I252" s="104">
        <v>5.8</v>
      </c>
      <c r="J252" s="105">
        <v>11.8</v>
      </c>
      <c r="K252" s="109">
        <v>7</v>
      </c>
      <c r="L252" s="101" t="s">
        <v>100</v>
      </c>
      <c r="M252" s="101" t="s">
        <v>7</v>
      </c>
      <c r="N252" s="101" t="s">
        <v>40</v>
      </c>
    </row>
    <row r="253" spans="1:16" s="6" customFormat="1">
      <c r="A253" s="101" t="s">
        <v>175</v>
      </c>
      <c r="B253" s="101" t="s">
        <v>179</v>
      </c>
      <c r="C253" s="104">
        <v>5.7709999999999999</v>
      </c>
      <c r="D253" s="104">
        <v>5.1219999999999999</v>
      </c>
      <c r="E253" s="104">
        <v>5.2679999999999998</v>
      </c>
      <c r="F253" s="104">
        <v>5.2679999999999998</v>
      </c>
      <c r="G253" s="104">
        <v>5.2679999999999998</v>
      </c>
      <c r="H253" s="104">
        <v>5.2679999999999998</v>
      </c>
      <c r="I253" s="104">
        <v>5.2679999999999998</v>
      </c>
      <c r="J253" s="105">
        <v>10.8</v>
      </c>
      <c r="K253" s="109">
        <v>7</v>
      </c>
      <c r="L253" s="101" t="s">
        <v>100</v>
      </c>
      <c r="M253" s="101" t="s">
        <v>106</v>
      </c>
      <c r="N253" s="101" t="s">
        <v>40</v>
      </c>
    </row>
    <row r="254" spans="1:16" s="6" customFormat="1">
      <c r="A254" s="101" t="s">
        <v>231</v>
      </c>
      <c r="B254" s="101" t="s">
        <v>236</v>
      </c>
      <c r="C254" s="104">
        <v>10.9</v>
      </c>
      <c r="D254" s="104">
        <v>10.9</v>
      </c>
      <c r="E254" s="104">
        <v>10.9</v>
      </c>
      <c r="F254" s="104">
        <v>10.9</v>
      </c>
      <c r="G254" s="104">
        <v>10.9</v>
      </c>
      <c r="H254" s="104">
        <v>10.9</v>
      </c>
      <c r="I254" s="104">
        <v>10.9</v>
      </c>
      <c r="J254" s="105">
        <v>69.5</v>
      </c>
      <c r="K254" s="109" t="s">
        <v>70</v>
      </c>
      <c r="L254" s="101" t="s">
        <v>105</v>
      </c>
      <c r="M254" s="101" t="s">
        <v>27</v>
      </c>
      <c r="N254" s="101" t="s">
        <v>40</v>
      </c>
    </row>
    <row r="255" spans="1:16" s="6" customFormat="1">
      <c r="A255" s="101" t="s">
        <v>328</v>
      </c>
      <c r="B255" s="101" t="s">
        <v>601</v>
      </c>
      <c r="C255" s="104">
        <v>5.4820000000000002</v>
      </c>
      <c r="D255" s="104">
        <v>6.0650000000000004</v>
      </c>
      <c r="E255" s="104">
        <v>6.4989999999999997</v>
      </c>
      <c r="F255" s="104">
        <v>6.6289999999999996</v>
      </c>
      <c r="G255" s="104">
        <v>6.7619999999999996</v>
      </c>
      <c r="H255" s="104">
        <v>6.8970000000000002</v>
      </c>
      <c r="I255" s="104">
        <v>7.0350000000000001</v>
      </c>
      <c r="J255" s="105">
        <v>26.7</v>
      </c>
      <c r="K255" s="109">
        <v>11</v>
      </c>
      <c r="L255" s="101" t="s">
        <v>58</v>
      </c>
      <c r="M255" s="101" t="s">
        <v>178</v>
      </c>
      <c r="N255" s="101" t="s">
        <v>40</v>
      </c>
    </row>
    <row r="256" spans="1:16" s="6" customFormat="1">
      <c r="A256" s="101" t="s">
        <v>603</v>
      </c>
      <c r="B256" s="101" t="s">
        <v>604</v>
      </c>
      <c r="C256" s="104">
        <v>2.2999999999999998</v>
      </c>
      <c r="D256" s="104">
        <v>3</v>
      </c>
      <c r="E256" s="104">
        <v>7</v>
      </c>
      <c r="F256" s="104">
        <v>7</v>
      </c>
      <c r="G256" s="104">
        <v>7</v>
      </c>
      <c r="H256" s="104">
        <v>7</v>
      </c>
      <c r="I256" s="104">
        <v>7</v>
      </c>
      <c r="J256" s="105">
        <v>35</v>
      </c>
      <c r="K256" s="109">
        <v>7</v>
      </c>
      <c r="L256" s="101" t="s">
        <v>100</v>
      </c>
      <c r="M256" s="101" t="s">
        <v>7</v>
      </c>
      <c r="N256" s="101" t="s">
        <v>41</v>
      </c>
    </row>
    <row r="257" spans="1:16" s="6" customFormat="1">
      <c r="A257" s="101" t="s">
        <v>177</v>
      </c>
      <c r="B257" s="101" t="s">
        <v>254</v>
      </c>
      <c r="C257" s="104">
        <v>-0.7</v>
      </c>
      <c r="D257" s="104">
        <v>-3.5</v>
      </c>
      <c r="E257" s="104">
        <v>0</v>
      </c>
      <c r="F257" s="104">
        <v>0</v>
      </c>
      <c r="G257" s="104">
        <v>0</v>
      </c>
      <c r="H257" s="104">
        <v>0</v>
      </c>
      <c r="I257" s="104">
        <v>0</v>
      </c>
      <c r="J257" s="105">
        <v>0</v>
      </c>
      <c r="K257" s="109">
        <v>7</v>
      </c>
      <c r="L257" s="101" t="s">
        <v>100</v>
      </c>
      <c r="M257" s="101" t="s">
        <v>7</v>
      </c>
      <c r="N257" s="101" t="s">
        <v>41</v>
      </c>
    </row>
    <row r="258" spans="1:16" s="6" customFormat="1">
      <c r="A258" s="101" t="s">
        <v>596</v>
      </c>
      <c r="B258" s="101" t="s">
        <v>597</v>
      </c>
      <c r="C258" s="104">
        <v>2.9039999999999999</v>
      </c>
      <c r="D258" s="104">
        <v>3.7639999999999998</v>
      </c>
      <c r="E258" s="104">
        <v>3.302</v>
      </c>
      <c r="F258" s="104">
        <v>2.7930000000000001</v>
      </c>
      <c r="G258" s="104">
        <v>2.7930000000000001</v>
      </c>
      <c r="H258" s="104">
        <v>2.7930000000000001</v>
      </c>
      <c r="I258" s="104">
        <v>2.7930000000000001</v>
      </c>
      <c r="J258" s="105">
        <v>18.600000000000001</v>
      </c>
      <c r="K258" s="109">
        <v>7</v>
      </c>
      <c r="L258" s="101" t="s">
        <v>100</v>
      </c>
      <c r="M258" s="101" t="s">
        <v>41</v>
      </c>
      <c r="N258" s="101" t="s">
        <v>41</v>
      </c>
    </row>
    <row r="259" spans="1:16" s="6" customFormat="1">
      <c r="A259" s="101" t="s">
        <v>180</v>
      </c>
      <c r="B259" s="101" t="s">
        <v>255</v>
      </c>
      <c r="C259" s="104">
        <v>0</v>
      </c>
      <c r="D259" s="104">
        <v>0</v>
      </c>
      <c r="E259" s="104">
        <v>0</v>
      </c>
      <c r="F259" s="104">
        <v>0</v>
      </c>
      <c r="G259" s="104">
        <v>0</v>
      </c>
      <c r="H259" s="104">
        <v>0</v>
      </c>
      <c r="I259" s="104">
        <v>0</v>
      </c>
      <c r="J259" s="105">
        <v>0</v>
      </c>
      <c r="K259" s="109">
        <v>7</v>
      </c>
      <c r="L259" s="101" t="s">
        <v>100</v>
      </c>
      <c r="M259" s="101" t="s">
        <v>7</v>
      </c>
      <c r="N259" s="101" t="s">
        <v>41</v>
      </c>
    </row>
    <row r="260" spans="1:16" s="6" customFormat="1">
      <c r="A260" s="101" t="s">
        <v>180</v>
      </c>
      <c r="B260" s="101" t="s">
        <v>256</v>
      </c>
      <c r="C260" s="104">
        <v>1.085</v>
      </c>
      <c r="D260" s="104">
        <v>0</v>
      </c>
      <c r="E260" s="104">
        <v>0</v>
      </c>
      <c r="F260" s="104">
        <v>0</v>
      </c>
      <c r="G260" s="104">
        <v>0</v>
      </c>
      <c r="H260" s="104">
        <v>0</v>
      </c>
      <c r="I260" s="104">
        <v>0</v>
      </c>
      <c r="J260" s="105">
        <v>0</v>
      </c>
      <c r="K260" s="109">
        <v>7</v>
      </c>
      <c r="L260" s="101" t="s">
        <v>100</v>
      </c>
      <c r="M260" s="101" t="s">
        <v>7</v>
      </c>
      <c r="N260" s="101" t="s">
        <v>41</v>
      </c>
    </row>
    <row r="261" spans="1:16" s="6" customFormat="1">
      <c r="A261" s="101" t="s">
        <v>175</v>
      </c>
      <c r="B261" s="101" t="s">
        <v>179</v>
      </c>
      <c r="C261" s="104">
        <v>119.88</v>
      </c>
      <c r="D261" s="104">
        <v>154.941</v>
      </c>
      <c r="E261" s="104">
        <v>174.62799999999999</v>
      </c>
      <c r="F261" s="104">
        <v>155.46899999999999</v>
      </c>
      <c r="G261" s="104">
        <v>136.93100000000001</v>
      </c>
      <c r="H261" s="104">
        <v>118.22799999999999</v>
      </c>
      <c r="I261" s="104">
        <v>111.405</v>
      </c>
      <c r="J261" s="105">
        <v>91.4</v>
      </c>
      <c r="K261" s="109">
        <v>7</v>
      </c>
      <c r="L261" s="101" t="s">
        <v>100</v>
      </c>
      <c r="M261" s="101" t="s">
        <v>176</v>
      </c>
      <c r="N261" s="101" t="s">
        <v>41</v>
      </c>
    </row>
    <row r="262" spans="1:16" s="6" customFormat="1">
      <c r="A262" s="101" t="s">
        <v>175</v>
      </c>
      <c r="B262" s="101" t="s">
        <v>605</v>
      </c>
      <c r="C262" s="104">
        <v>15.589</v>
      </c>
      <c r="D262" s="104">
        <v>16.899999999999999</v>
      </c>
      <c r="E262" s="104">
        <v>16.399999999999999</v>
      </c>
      <c r="F262" s="104">
        <v>16.7</v>
      </c>
      <c r="G262" s="104">
        <v>17.600000000000001</v>
      </c>
      <c r="H262" s="104">
        <v>17</v>
      </c>
      <c r="I262" s="104">
        <v>17.600000000000001</v>
      </c>
      <c r="J262" s="105">
        <v>8.6</v>
      </c>
      <c r="K262" s="109">
        <v>7</v>
      </c>
      <c r="L262" s="101" t="s">
        <v>100</v>
      </c>
      <c r="M262" s="101" t="s">
        <v>176</v>
      </c>
      <c r="N262" s="101" t="s">
        <v>41</v>
      </c>
    </row>
    <row r="263" spans="1:16" s="6" customFormat="1">
      <c r="A263" s="101" t="s">
        <v>175</v>
      </c>
      <c r="B263" s="101" t="s">
        <v>606</v>
      </c>
      <c r="C263" s="104">
        <v>7.665</v>
      </c>
      <c r="D263" s="104">
        <v>7.665</v>
      </c>
      <c r="E263" s="104">
        <v>4.665</v>
      </c>
      <c r="F263" s="104">
        <v>0</v>
      </c>
      <c r="G263" s="104">
        <v>0</v>
      </c>
      <c r="H263" s="104">
        <v>0</v>
      </c>
      <c r="I263" s="104">
        <v>0</v>
      </c>
      <c r="J263" s="105">
        <v>9.5</v>
      </c>
      <c r="K263" s="109">
        <v>7</v>
      </c>
      <c r="L263" s="101" t="s">
        <v>100</v>
      </c>
      <c r="M263" s="101" t="s">
        <v>7</v>
      </c>
      <c r="N263" s="101" t="s">
        <v>607</v>
      </c>
    </row>
    <row r="264" spans="1:16" s="6" customFormat="1">
      <c r="A264" s="101" t="s">
        <v>599</v>
      </c>
      <c r="B264" s="101" t="s">
        <v>600</v>
      </c>
      <c r="C264" s="104">
        <v>0</v>
      </c>
      <c r="D264" s="104">
        <v>0</v>
      </c>
      <c r="E264" s="104">
        <v>5</v>
      </c>
      <c r="F264" s="104">
        <v>5</v>
      </c>
      <c r="G264" s="104">
        <v>6.7</v>
      </c>
      <c r="H264" s="104">
        <v>8.1999999999999993</v>
      </c>
      <c r="I264" s="104">
        <v>8.1999999999999993</v>
      </c>
      <c r="J264" s="105">
        <v>3</v>
      </c>
      <c r="K264" s="109">
        <v>7</v>
      </c>
      <c r="L264" s="101" t="s">
        <v>100</v>
      </c>
      <c r="M264" s="101" t="s">
        <v>41</v>
      </c>
      <c r="N264" s="101" t="s">
        <v>41</v>
      </c>
    </row>
    <row r="265" spans="1:16" s="6" customFormat="1">
      <c r="A265" s="101" t="s">
        <v>328</v>
      </c>
      <c r="B265" s="101" t="s">
        <v>602</v>
      </c>
      <c r="C265" s="104">
        <v>3.5790000000000002</v>
      </c>
      <c r="D265" s="104">
        <v>3.1030000000000002</v>
      </c>
      <c r="E265" s="104">
        <v>2.9359999999999999</v>
      </c>
      <c r="F265" s="104">
        <v>2.9950000000000001</v>
      </c>
      <c r="G265" s="104">
        <v>3.0550000000000002</v>
      </c>
      <c r="H265" s="104">
        <v>3.1160000000000001</v>
      </c>
      <c r="I265" s="104">
        <v>3.1779999999999999</v>
      </c>
      <c r="J265" s="105">
        <v>12.1</v>
      </c>
      <c r="K265" s="109">
        <v>11</v>
      </c>
      <c r="L265" s="101" t="s">
        <v>58</v>
      </c>
      <c r="M265" s="101" t="s">
        <v>7</v>
      </c>
      <c r="N265" s="101" t="s">
        <v>41</v>
      </c>
    </row>
    <row r="266" spans="1:16" s="6" customFormat="1">
      <c r="A266" s="101" t="s">
        <v>328</v>
      </c>
      <c r="B266" s="101" t="s">
        <v>602</v>
      </c>
      <c r="C266" s="104">
        <v>2.8000000000000001E-2</v>
      </c>
      <c r="D266" s="104">
        <v>8.1000000000000003E-2</v>
      </c>
      <c r="E266" s="104">
        <v>7.6999999999999999E-2</v>
      </c>
      <c r="F266" s="104">
        <v>7.9000000000000001E-2</v>
      </c>
      <c r="G266" s="104">
        <v>8.1000000000000003E-2</v>
      </c>
      <c r="H266" s="104">
        <v>8.3000000000000004E-2</v>
      </c>
      <c r="I266" s="104">
        <v>8.5000000000000006E-2</v>
      </c>
      <c r="J266" s="105">
        <v>0.3</v>
      </c>
      <c r="K266" s="109">
        <v>11</v>
      </c>
      <c r="L266" s="101" t="s">
        <v>58</v>
      </c>
      <c r="M266" s="101" t="s">
        <v>11</v>
      </c>
      <c r="N266" s="101" t="s">
        <v>41</v>
      </c>
    </row>
    <row r="267" spans="1:16" s="6" customFormat="1">
      <c r="A267" s="101" t="s">
        <v>328</v>
      </c>
      <c r="B267" s="101" t="s">
        <v>602</v>
      </c>
      <c r="C267" s="104">
        <v>3.5000000000000003E-2</v>
      </c>
      <c r="D267" s="104">
        <v>6.5000000000000002E-2</v>
      </c>
      <c r="E267" s="104">
        <v>6.0999999999999999E-2</v>
      </c>
      <c r="F267" s="104">
        <v>6.2E-2</v>
      </c>
      <c r="G267" s="104">
        <v>6.3E-2</v>
      </c>
      <c r="H267" s="104">
        <v>6.4000000000000001E-2</v>
      </c>
      <c r="I267" s="104">
        <v>6.5000000000000002E-2</v>
      </c>
      <c r="J267" s="105">
        <v>0.3</v>
      </c>
      <c r="K267" s="109">
        <v>11</v>
      </c>
      <c r="L267" s="101" t="s">
        <v>58</v>
      </c>
      <c r="M267" s="101" t="s">
        <v>69</v>
      </c>
      <c r="N267" s="101" t="s">
        <v>41</v>
      </c>
    </row>
    <row r="268" spans="1:16" s="69" customFormat="1" ht="15">
      <c r="B268" s="69" t="s">
        <v>82</v>
      </c>
      <c r="C268" s="106">
        <f>SUM(C248:C267)</f>
        <v>230.16599999999997</v>
      </c>
      <c r="D268" s="106">
        <f t="shared" ref="D268:I268" si="10">SUM(D248:D267)</f>
        <v>270.64400000000001</v>
      </c>
      <c r="E268" s="106">
        <f t="shared" si="10"/>
        <v>299.43699999999995</v>
      </c>
      <c r="F268" s="106">
        <f t="shared" si="10"/>
        <v>275.30500000000001</v>
      </c>
      <c r="G268" s="106">
        <f t="shared" si="10"/>
        <v>257.77600000000001</v>
      </c>
      <c r="H268" s="106">
        <f t="shared" si="10"/>
        <v>240.172</v>
      </c>
      <c r="I268" s="106">
        <f t="shared" si="10"/>
        <v>234.15199999999999</v>
      </c>
      <c r="L268" s="21"/>
    </row>
    <row r="269" spans="1:16">
      <c r="A269" s="6"/>
      <c r="C269" s="52"/>
      <c r="D269" s="52"/>
      <c r="E269" s="52"/>
      <c r="F269" s="52"/>
      <c r="G269" s="52"/>
      <c r="H269" s="52"/>
      <c r="I269" s="52"/>
    </row>
    <row r="270" spans="1:16" s="3" customFormat="1" ht="15">
      <c r="A270" s="29"/>
      <c r="B270" s="26" t="s">
        <v>80</v>
      </c>
      <c r="C270" s="50">
        <f t="shared" ref="C270:I270" si="11">SUM(C8,C16,C23,C29,C66,C74,C108,C237,C245,C268)</f>
        <v>4300.839220308103</v>
      </c>
      <c r="D270" s="50">
        <f t="shared" si="11"/>
        <v>4644.1242919187434</v>
      </c>
      <c r="E270" s="50">
        <f t="shared" si="11"/>
        <v>4739.8550864504878</v>
      </c>
      <c r="F270" s="50">
        <f t="shared" si="11"/>
        <v>4734.5031322269651</v>
      </c>
      <c r="G270" s="50">
        <f t="shared" si="11"/>
        <v>4695.9146568591814</v>
      </c>
      <c r="H270" s="50">
        <f t="shared" si="11"/>
        <v>4679.9834894027499</v>
      </c>
      <c r="I270" s="50">
        <f t="shared" si="11"/>
        <v>4689.5592742469389</v>
      </c>
      <c r="J270" s="13"/>
      <c r="K270" s="13"/>
      <c r="L270" s="13"/>
      <c r="M270" s="13"/>
      <c r="N270" s="13"/>
      <c r="O270" s="69"/>
      <c r="P270" s="69"/>
    </row>
    <row r="271" spans="1:16">
      <c r="C271" s="136"/>
      <c r="D271" s="136"/>
      <c r="E271" s="136"/>
      <c r="F271" s="136"/>
      <c r="G271" s="136"/>
      <c r="H271" s="136"/>
      <c r="I271" s="136"/>
    </row>
    <row r="272" spans="1:16" ht="15">
      <c r="B272" s="3" t="s">
        <v>157</v>
      </c>
      <c r="C272" s="52"/>
      <c r="D272" s="52"/>
      <c r="E272" s="52"/>
      <c r="F272" s="52"/>
      <c r="G272" s="52"/>
      <c r="H272" s="52"/>
      <c r="I272" s="52"/>
    </row>
    <row r="273" spans="1:16">
      <c r="B273" s="21"/>
      <c r="C273" s="1">
        <f t="shared" ref="C273:I273" si="12">C4</f>
        <v>2017</v>
      </c>
      <c r="D273" s="1">
        <f t="shared" si="12"/>
        <v>2018</v>
      </c>
      <c r="E273" s="1">
        <f t="shared" si="12"/>
        <v>2019</v>
      </c>
      <c r="F273" s="1">
        <f t="shared" si="12"/>
        <v>2020</v>
      </c>
      <c r="G273" s="1">
        <f t="shared" si="12"/>
        <v>2021</v>
      </c>
      <c r="H273" s="1">
        <f t="shared" si="12"/>
        <v>2022</v>
      </c>
      <c r="I273" s="1">
        <f t="shared" si="12"/>
        <v>2023</v>
      </c>
      <c r="K273" s="1" t="s">
        <v>651</v>
      </c>
      <c r="L273" s="58" t="s">
        <v>232</v>
      </c>
    </row>
    <row r="274" spans="1:16">
      <c r="B274" s="6" t="s">
        <v>149</v>
      </c>
      <c r="C274" s="88">
        <f t="shared" ref="C274:I274" si="13">C8</f>
        <v>0.51</v>
      </c>
      <c r="D274" s="88">
        <f t="shared" si="13"/>
        <v>0.59399999999999997</v>
      </c>
      <c r="E274" s="88">
        <f t="shared" si="13"/>
        <v>0.59399999999999997</v>
      </c>
      <c r="F274" s="88">
        <f t="shared" si="13"/>
        <v>0.59399999999999997</v>
      </c>
      <c r="G274" s="88">
        <f t="shared" si="13"/>
        <v>0.59399999999999997</v>
      </c>
      <c r="H274" s="88">
        <f t="shared" si="13"/>
        <v>0.59399999999999997</v>
      </c>
      <c r="I274" s="88">
        <f t="shared" si="13"/>
        <v>0.59399999999999997</v>
      </c>
      <c r="K274" s="60">
        <f t="shared" ref="K274:K285" si="14">+I274-C274</f>
        <v>8.3999999999999964E-2</v>
      </c>
      <c r="L274" s="61">
        <f t="shared" ref="L274:L285" si="15">+(I274-C274)/C274*100</f>
        <v>16.470588235294109</v>
      </c>
    </row>
    <row r="275" spans="1:16">
      <c r="B275" s="6" t="s">
        <v>150</v>
      </c>
      <c r="C275" s="88">
        <f t="shared" ref="C275:I275" si="16">C16</f>
        <v>38.99499999999999</v>
      </c>
      <c r="D275" s="88">
        <f t="shared" si="16"/>
        <v>39.611000000000004</v>
      </c>
      <c r="E275" s="88">
        <f t="shared" si="16"/>
        <v>33.366</v>
      </c>
      <c r="F275" s="88">
        <f t="shared" si="16"/>
        <v>32.143000000000001</v>
      </c>
      <c r="G275" s="88">
        <f t="shared" si="16"/>
        <v>32.058</v>
      </c>
      <c r="H275" s="88">
        <f t="shared" si="16"/>
        <v>32.042999999999999</v>
      </c>
      <c r="I275" s="88">
        <f t="shared" si="16"/>
        <v>32.042999999999999</v>
      </c>
      <c r="K275" s="60">
        <f t="shared" si="14"/>
        <v>-6.9519999999999911</v>
      </c>
      <c r="L275" s="61">
        <f t="shared" si="15"/>
        <v>-17.827926657263735</v>
      </c>
    </row>
    <row r="276" spans="1:16">
      <c r="B276" s="6" t="s">
        <v>533</v>
      </c>
      <c r="C276" s="88">
        <f t="shared" ref="C276:I276" si="17">C23</f>
        <v>21.884999999999998</v>
      </c>
      <c r="D276" s="88">
        <f t="shared" si="17"/>
        <v>22.135000000000002</v>
      </c>
      <c r="E276" s="88">
        <f t="shared" si="17"/>
        <v>22.014999999999997</v>
      </c>
      <c r="F276" s="88">
        <f t="shared" si="17"/>
        <v>21.648</v>
      </c>
      <c r="G276" s="88">
        <f t="shared" si="17"/>
        <v>21.720000000000002</v>
      </c>
      <c r="H276" s="88">
        <f t="shared" si="17"/>
        <v>21.719000000000001</v>
      </c>
      <c r="I276" s="88">
        <f t="shared" si="17"/>
        <v>21.721000000000004</v>
      </c>
      <c r="K276" s="60">
        <f t="shared" si="14"/>
        <v>-0.16399999999999437</v>
      </c>
      <c r="L276" s="61">
        <f t="shared" si="15"/>
        <v>-0.7493717157870432</v>
      </c>
    </row>
    <row r="277" spans="1:16">
      <c r="B277" s="6" t="s">
        <v>151</v>
      </c>
      <c r="C277" s="88">
        <f t="shared" ref="C277:I277" si="18">C29</f>
        <v>7.3550000000000004</v>
      </c>
      <c r="D277" s="88">
        <f t="shared" si="18"/>
        <v>10.298999999999999</v>
      </c>
      <c r="E277" s="88">
        <f t="shared" si="18"/>
        <v>8.8150000000000013</v>
      </c>
      <c r="F277" s="88">
        <f t="shared" si="18"/>
        <v>9.0289999999999999</v>
      </c>
      <c r="G277" s="88">
        <f t="shared" si="18"/>
        <v>10.206</v>
      </c>
      <c r="H277" s="88">
        <f t="shared" si="18"/>
        <v>10.61</v>
      </c>
      <c r="I277" s="88">
        <f t="shared" si="18"/>
        <v>9.572000000000001</v>
      </c>
      <c r="K277" s="60">
        <f t="shared" si="14"/>
        <v>2.2170000000000005</v>
      </c>
      <c r="L277" s="61">
        <f t="shared" si="15"/>
        <v>30.142760027192388</v>
      </c>
    </row>
    <row r="278" spans="1:16">
      <c r="B278" s="6" t="s">
        <v>152</v>
      </c>
      <c r="C278" s="88">
        <f t="shared" ref="C278:I278" si="19">C66</f>
        <v>3701.937220308103</v>
      </c>
      <c r="D278" s="88">
        <f t="shared" si="19"/>
        <v>3940.1422919187435</v>
      </c>
      <c r="E278" s="88">
        <f t="shared" si="19"/>
        <v>4039.1720864504882</v>
      </c>
      <c r="F278" s="88">
        <f t="shared" si="19"/>
        <v>4063.4291322269646</v>
      </c>
      <c r="G278" s="88">
        <f t="shared" si="19"/>
        <v>4045.2506568591816</v>
      </c>
      <c r="H278" s="88">
        <f t="shared" si="19"/>
        <v>4052.4454894027508</v>
      </c>
      <c r="I278" s="88">
        <f t="shared" si="19"/>
        <v>4075.6592742469388</v>
      </c>
      <c r="K278" s="60">
        <f t="shared" si="14"/>
        <v>373.72205393883587</v>
      </c>
      <c r="L278" s="61">
        <f t="shared" si="15"/>
        <v>10.095310419870705</v>
      </c>
    </row>
    <row r="279" spans="1:16">
      <c r="B279" s="6" t="s">
        <v>54</v>
      </c>
      <c r="C279" s="88">
        <f t="shared" ref="C279:I279" si="20">C74</f>
        <v>54.756000000000007</v>
      </c>
      <c r="D279" s="88">
        <f t="shared" si="20"/>
        <v>67.111999999999995</v>
      </c>
      <c r="E279" s="88">
        <f t="shared" si="20"/>
        <v>70.238</v>
      </c>
      <c r="F279" s="88">
        <f t="shared" si="20"/>
        <v>72.266999999999996</v>
      </c>
      <c r="G279" s="88">
        <f t="shared" si="20"/>
        <v>72.298000000000002</v>
      </c>
      <c r="H279" s="88">
        <f t="shared" si="20"/>
        <v>72.328000000000003</v>
      </c>
      <c r="I279" s="88">
        <f t="shared" si="20"/>
        <v>72.328000000000003</v>
      </c>
      <c r="K279" s="60">
        <f t="shared" si="14"/>
        <v>17.571999999999996</v>
      </c>
      <c r="L279" s="61">
        <f t="shared" si="15"/>
        <v>32.091460296588494</v>
      </c>
    </row>
    <row r="280" spans="1:16">
      <c r="B280" s="6" t="s">
        <v>534</v>
      </c>
      <c r="C280" s="88">
        <f t="shared" ref="C280:I280" si="21">C108</f>
        <v>76.146000000000001</v>
      </c>
      <c r="D280" s="88">
        <f t="shared" si="21"/>
        <v>82.03</v>
      </c>
      <c r="E280" s="88">
        <f t="shared" si="21"/>
        <v>69.887</v>
      </c>
      <c r="F280" s="88">
        <f t="shared" si="21"/>
        <v>66.542000000000002</v>
      </c>
      <c r="G280" s="88">
        <f t="shared" si="21"/>
        <v>61.558</v>
      </c>
      <c r="H280" s="88">
        <f t="shared" si="21"/>
        <v>57.384000000000007</v>
      </c>
      <c r="I280" s="88">
        <f t="shared" si="21"/>
        <v>58.409000000000006</v>
      </c>
      <c r="K280" s="60">
        <f t="shared" si="14"/>
        <v>-17.736999999999995</v>
      </c>
      <c r="L280" s="61">
        <f t="shared" si="15"/>
        <v>-23.293410028103896</v>
      </c>
    </row>
    <row r="281" spans="1:16">
      <c r="B281" s="6" t="s">
        <v>535</v>
      </c>
      <c r="C281" s="88">
        <f>C212</f>
        <v>657.10300000000007</v>
      </c>
      <c r="D281" s="88">
        <f t="shared" ref="D281:I281" si="22">D212</f>
        <v>922.14899999999966</v>
      </c>
      <c r="E281" s="88">
        <f t="shared" si="22"/>
        <v>781.99300000000017</v>
      </c>
      <c r="F281" s="88">
        <f t="shared" si="22"/>
        <v>832.18900000000019</v>
      </c>
      <c r="G281" s="88">
        <f t="shared" si="22"/>
        <v>805.35199999999986</v>
      </c>
      <c r="H281" s="88">
        <f t="shared" si="22"/>
        <v>805.31299999999999</v>
      </c>
      <c r="I281" s="88">
        <f t="shared" si="22"/>
        <v>792.48299999999995</v>
      </c>
      <c r="K281" s="60">
        <f t="shared" si="14"/>
        <v>135.37999999999988</v>
      </c>
      <c r="L281" s="61">
        <f t="shared" si="15"/>
        <v>20.602553937510535</v>
      </c>
    </row>
    <row r="282" spans="1:16">
      <c r="B282" s="6" t="s">
        <v>669</v>
      </c>
      <c r="C282" s="88">
        <f>C237</f>
        <v>158.28800000000001</v>
      </c>
      <c r="D282" s="88">
        <f t="shared" ref="D282:I282" si="23">D237</f>
        <v>200.16499999999996</v>
      </c>
      <c r="E282" s="88">
        <f t="shared" si="23"/>
        <v>182.90899999999999</v>
      </c>
      <c r="F282" s="88">
        <f t="shared" si="23"/>
        <v>180.69200000000001</v>
      </c>
      <c r="G282" s="88">
        <f t="shared" si="23"/>
        <v>181.73699999999999</v>
      </c>
      <c r="H282" s="88">
        <f t="shared" si="23"/>
        <v>179.99799999999999</v>
      </c>
      <c r="I282" s="88">
        <f t="shared" si="23"/>
        <v>172.36700000000002</v>
      </c>
      <c r="K282" s="60"/>
      <c r="L282" s="61"/>
    </row>
    <row r="283" spans="1:16">
      <c r="B283" s="6" t="s">
        <v>153</v>
      </c>
      <c r="C283" s="88">
        <f t="shared" ref="C283:I283" si="24">C245</f>
        <v>10.801</v>
      </c>
      <c r="D283" s="88">
        <f t="shared" si="24"/>
        <v>11.391999999999999</v>
      </c>
      <c r="E283" s="88">
        <f t="shared" si="24"/>
        <v>13.422000000000001</v>
      </c>
      <c r="F283" s="88">
        <f t="shared" si="24"/>
        <v>12.854000000000001</v>
      </c>
      <c r="G283" s="88">
        <f t="shared" si="24"/>
        <v>12.717000000000001</v>
      </c>
      <c r="H283" s="88">
        <f t="shared" si="24"/>
        <v>12.69</v>
      </c>
      <c r="I283" s="88">
        <f t="shared" si="24"/>
        <v>12.714</v>
      </c>
      <c r="K283" s="60">
        <f t="shared" si="14"/>
        <v>1.9130000000000003</v>
      </c>
      <c r="L283" s="61">
        <f t="shared" si="15"/>
        <v>17.711323025645775</v>
      </c>
    </row>
    <row r="284" spans="1:16">
      <c r="B284" s="6" t="s">
        <v>154</v>
      </c>
      <c r="C284" s="88">
        <f>C268</f>
        <v>230.16599999999997</v>
      </c>
      <c r="D284" s="88">
        <f t="shared" ref="D284:I284" si="25">D268</f>
        <v>270.64400000000001</v>
      </c>
      <c r="E284" s="88">
        <f t="shared" si="25"/>
        <v>299.43699999999995</v>
      </c>
      <c r="F284" s="88">
        <f t="shared" si="25"/>
        <v>275.30500000000001</v>
      </c>
      <c r="G284" s="88">
        <f t="shared" si="25"/>
        <v>257.77600000000001</v>
      </c>
      <c r="H284" s="88">
        <f t="shared" si="25"/>
        <v>240.172</v>
      </c>
      <c r="I284" s="88">
        <f t="shared" si="25"/>
        <v>234.15199999999999</v>
      </c>
      <c r="K284" s="60">
        <f t="shared" si="14"/>
        <v>3.9860000000000184</v>
      </c>
      <c r="L284" s="61">
        <f t="shared" si="15"/>
        <v>1.7317935750719129</v>
      </c>
    </row>
    <row r="285" spans="1:16">
      <c r="B285" s="21" t="s">
        <v>52</v>
      </c>
      <c r="C285" s="36">
        <f>SUM(C274:C284)</f>
        <v>4957.9422203081031</v>
      </c>
      <c r="D285" s="36">
        <f t="shared" ref="D285:I285" si="26">SUM(D274:D284)</f>
        <v>5566.2732919187429</v>
      </c>
      <c r="E285" s="36">
        <f t="shared" si="26"/>
        <v>5521.8480864504882</v>
      </c>
      <c r="F285" s="36">
        <f t="shared" si="26"/>
        <v>5566.6921322269654</v>
      </c>
      <c r="G285" s="36">
        <f t="shared" si="26"/>
        <v>5501.2666568591812</v>
      </c>
      <c r="H285" s="36">
        <f t="shared" si="26"/>
        <v>5485.29648940275</v>
      </c>
      <c r="I285" s="36">
        <f t="shared" si="26"/>
        <v>5482.0422742469391</v>
      </c>
      <c r="K285" s="60">
        <f t="shared" si="14"/>
        <v>524.10005393883603</v>
      </c>
      <c r="L285" s="61">
        <f t="shared" si="15"/>
        <v>10.570918954885817</v>
      </c>
    </row>
    <row r="287" spans="1:16" s="2" customFormat="1" ht="15">
      <c r="A287" s="273" t="s">
        <v>371</v>
      </c>
      <c r="C287" s="274"/>
      <c r="K287" s="275"/>
      <c r="L287" s="4"/>
      <c r="O287" s="216"/>
      <c r="P287" s="216"/>
    </row>
    <row r="289" spans="2:10" ht="15">
      <c r="B289" s="3" t="s">
        <v>410</v>
      </c>
    </row>
    <row r="291" spans="2:10">
      <c r="B291" s="1" t="s">
        <v>187</v>
      </c>
      <c r="C291" s="1">
        <f t="shared" ref="C291:I291" si="27">C4</f>
        <v>2017</v>
      </c>
      <c r="D291" s="1">
        <f t="shared" si="27"/>
        <v>2018</v>
      </c>
      <c r="E291" s="1">
        <f t="shared" si="27"/>
        <v>2019</v>
      </c>
      <c r="F291" s="1">
        <f t="shared" si="27"/>
        <v>2020</v>
      </c>
      <c r="G291" s="1">
        <f t="shared" si="27"/>
        <v>2021</v>
      </c>
      <c r="H291" s="1">
        <f t="shared" si="27"/>
        <v>2022</v>
      </c>
      <c r="I291" s="1">
        <f t="shared" si="27"/>
        <v>2023</v>
      </c>
    </row>
    <row r="292" spans="2:10">
      <c r="B292" s="6" t="str">
        <f t="shared" ref="B292:B299" si="28">B274</f>
        <v>Algemene Zaken</v>
      </c>
      <c r="C292" s="61">
        <f t="shared" ref="C292:I292" si="29">C7</f>
        <v>0.51</v>
      </c>
      <c r="D292" s="61">
        <f t="shared" si="29"/>
        <v>0.59399999999999997</v>
      </c>
      <c r="E292" s="61">
        <f t="shared" si="29"/>
        <v>0.59399999999999997</v>
      </c>
      <c r="F292" s="61">
        <f t="shared" si="29"/>
        <v>0.59399999999999997</v>
      </c>
      <c r="G292" s="61">
        <f t="shared" si="29"/>
        <v>0.59399999999999997</v>
      </c>
      <c r="H292" s="61">
        <f t="shared" si="29"/>
        <v>0.59399999999999997</v>
      </c>
      <c r="I292" s="61">
        <f t="shared" si="29"/>
        <v>0.59399999999999997</v>
      </c>
    </row>
    <row r="293" spans="2:10">
      <c r="B293" s="6" t="str">
        <f t="shared" si="28"/>
        <v xml:space="preserve">Buitenlandse Zaken </v>
      </c>
      <c r="C293" s="61">
        <f t="shared" ref="C293:I293" si="30">SUM(C12:C15)</f>
        <v>38.638999999999996</v>
      </c>
      <c r="D293" s="61">
        <f t="shared" si="30"/>
        <v>39.289000000000001</v>
      </c>
      <c r="E293" s="61">
        <f t="shared" si="30"/>
        <v>33.124000000000002</v>
      </c>
      <c r="F293" s="61">
        <f t="shared" si="30"/>
        <v>31.901</v>
      </c>
      <c r="G293" s="61">
        <f t="shared" si="30"/>
        <v>31.815999999999999</v>
      </c>
      <c r="H293" s="61">
        <f t="shared" si="30"/>
        <v>31.800999999999998</v>
      </c>
      <c r="I293" s="61">
        <f t="shared" si="30"/>
        <v>31.800999999999998</v>
      </c>
    </row>
    <row r="294" spans="2:10">
      <c r="B294" s="6" t="str">
        <f t="shared" si="28"/>
        <v>Justitie en Veiligheid</v>
      </c>
      <c r="C294" s="61">
        <f t="shared" ref="C294:I294" si="31">SUM(C21:C22)</f>
        <v>5.4529999999999994</v>
      </c>
      <c r="D294" s="61">
        <f t="shared" si="31"/>
        <v>5.2560000000000002</v>
      </c>
      <c r="E294" s="61">
        <f t="shared" si="31"/>
        <v>5.1079999999999997</v>
      </c>
      <c r="F294" s="61">
        <f t="shared" si="31"/>
        <v>5.0759999999999996</v>
      </c>
      <c r="G294" s="61">
        <f t="shared" si="31"/>
        <v>5.0880000000000001</v>
      </c>
      <c r="H294" s="61">
        <f t="shared" si="31"/>
        <v>5.0880000000000001</v>
      </c>
      <c r="I294" s="61">
        <f t="shared" si="31"/>
        <v>5.09</v>
      </c>
    </row>
    <row r="295" spans="2:10">
      <c r="B295" s="6" t="str">
        <f t="shared" si="28"/>
        <v>Binnenlandse Zaken en Koninkrijksrelaties</v>
      </c>
      <c r="C295" s="61">
        <f t="shared" ref="C295:I295" si="32">SUM(C26:C28)</f>
        <v>7.3550000000000004</v>
      </c>
      <c r="D295" s="61">
        <f t="shared" si="32"/>
        <v>10.298999999999999</v>
      </c>
      <c r="E295" s="61">
        <f t="shared" si="32"/>
        <v>8.8150000000000013</v>
      </c>
      <c r="F295" s="61">
        <f t="shared" si="32"/>
        <v>9.0289999999999999</v>
      </c>
      <c r="G295" s="61">
        <f t="shared" si="32"/>
        <v>10.206</v>
      </c>
      <c r="H295" s="61">
        <f t="shared" si="32"/>
        <v>10.61</v>
      </c>
      <c r="I295" s="61">
        <f t="shared" si="32"/>
        <v>9.572000000000001</v>
      </c>
    </row>
    <row r="296" spans="2:10">
      <c r="B296" s="6" t="str">
        <f t="shared" si="28"/>
        <v>Onderwijs, Cultuur en Wetenschap</v>
      </c>
      <c r="C296" s="61">
        <f t="shared" ref="C296:I296" si="33">SUM(C54:C65)+C52+53</f>
        <v>728.46840264529737</v>
      </c>
      <c r="D296" s="61">
        <f t="shared" si="33"/>
        <v>834.2378730448512</v>
      </c>
      <c r="E296" s="61">
        <f t="shared" si="33"/>
        <v>839.78728342086492</v>
      </c>
      <c r="F296" s="61">
        <f t="shared" si="33"/>
        <v>814.43791466500431</v>
      </c>
      <c r="G296" s="61">
        <f t="shared" si="33"/>
        <v>808.75447006007562</v>
      </c>
      <c r="H296" s="61">
        <f t="shared" si="33"/>
        <v>808.80793087924303</v>
      </c>
      <c r="I296" s="61">
        <f t="shared" si="33"/>
        <v>808.68293087924303</v>
      </c>
      <c r="J296" s="4" t="s">
        <v>676</v>
      </c>
    </row>
    <row r="297" spans="2:10">
      <c r="B297" s="6" t="str">
        <f t="shared" si="28"/>
        <v>Defensie</v>
      </c>
      <c r="C297" s="61">
        <f t="shared" ref="C297:I297" si="34">SUM(C71:C73)</f>
        <v>17.591999999999999</v>
      </c>
      <c r="D297" s="61">
        <f t="shared" si="34"/>
        <v>26.286999999999999</v>
      </c>
      <c r="E297" s="61">
        <f t="shared" si="34"/>
        <v>26.913</v>
      </c>
      <c r="F297" s="61">
        <f t="shared" si="34"/>
        <v>28.942</v>
      </c>
      <c r="G297" s="61">
        <f t="shared" si="34"/>
        <v>28.972999999999999</v>
      </c>
      <c r="H297" s="61">
        <f t="shared" si="34"/>
        <v>29.003</v>
      </c>
      <c r="I297" s="61">
        <f t="shared" si="34"/>
        <v>29.003</v>
      </c>
    </row>
    <row r="298" spans="2:10">
      <c r="B298" s="6" t="str">
        <f t="shared" si="28"/>
        <v>Infrastructuur en Waterstaat</v>
      </c>
      <c r="C298" s="61">
        <f t="shared" ref="C298:I298" si="35">SUM(C96:C107)</f>
        <v>24.561999999999998</v>
      </c>
      <c r="D298" s="61">
        <f t="shared" si="35"/>
        <v>32.834000000000003</v>
      </c>
      <c r="E298" s="61">
        <f t="shared" si="35"/>
        <v>25.421000000000003</v>
      </c>
      <c r="F298" s="61">
        <f t="shared" si="35"/>
        <v>21.977</v>
      </c>
      <c r="G298" s="61">
        <f t="shared" si="35"/>
        <v>18.253</v>
      </c>
      <c r="H298" s="61">
        <f t="shared" si="35"/>
        <v>14.511999999999999</v>
      </c>
      <c r="I298" s="61">
        <f t="shared" si="35"/>
        <v>15.536999999999999</v>
      </c>
    </row>
    <row r="299" spans="2:10">
      <c r="B299" s="6" t="str">
        <f t="shared" si="28"/>
        <v>Economische Zaken en Klimaat</v>
      </c>
      <c r="C299" s="61">
        <f>SUM(C116:C117,C128:C168,C170:C184,C191:C209,C211)</f>
        <v>411.8839999999999</v>
      </c>
      <c r="D299" s="61">
        <f t="shared" ref="D299:I299" si="36">SUM(D116:D117,D128:D168,D170:D184,D191:D209,D211)</f>
        <v>511.77</v>
      </c>
      <c r="E299" s="61">
        <f t="shared" si="36"/>
        <v>510.19799999999992</v>
      </c>
      <c r="F299" s="61">
        <f t="shared" si="36"/>
        <v>549.59199999999998</v>
      </c>
      <c r="G299" s="61">
        <f t="shared" si="36"/>
        <v>523.42499999999995</v>
      </c>
      <c r="H299" s="61">
        <f t="shared" si="36"/>
        <v>523.76200000000006</v>
      </c>
      <c r="I299" s="61">
        <f t="shared" si="36"/>
        <v>510.9199999999999</v>
      </c>
    </row>
    <row r="300" spans="2:10">
      <c r="B300" s="6" t="s">
        <v>669</v>
      </c>
      <c r="C300" s="61">
        <f>SUM(C218:C236)</f>
        <v>144.756</v>
      </c>
      <c r="D300" s="61">
        <f t="shared" ref="D300:I300" si="37">SUM(D218:D236)</f>
        <v>172.51899999999995</v>
      </c>
      <c r="E300" s="61">
        <f t="shared" si="37"/>
        <v>155.36299999999997</v>
      </c>
      <c r="F300" s="61">
        <f t="shared" si="37"/>
        <v>153.04600000000002</v>
      </c>
      <c r="G300" s="61">
        <f t="shared" si="37"/>
        <v>154.09100000000001</v>
      </c>
      <c r="H300" s="61">
        <f t="shared" si="37"/>
        <v>152.50800000000001</v>
      </c>
      <c r="I300" s="61">
        <f t="shared" si="37"/>
        <v>144.00299999999999</v>
      </c>
    </row>
    <row r="301" spans="2:10">
      <c r="B301" s="6" t="str">
        <f>B283</f>
        <v>Sociale Zaken en Werkgelegenheid</v>
      </c>
      <c r="C301" s="61">
        <f t="shared" ref="C301:I301" si="38">SUM(C241:C244)</f>
        <v>6.8569999999999993</v>
      </c>
      <c r="D301" s="61">
        <f t="shared" si="38"/>
        <v>7.5</v>
      </c>
      <c r="E301" s="61">
        <f t="shared" si="38"/>
        <v>5.83</v>
      </c>
      <c r="F301" s="61">
        <f t="shared" si="38"/>
        <v>5.2620000000000005</v>
      </c>
      <c r="G301" s="61">
        <f t="shared" si="38"/>
        <v>5.125</v>
      </c>
      <c r="H301" s="61">
        <f t="shared" si="38"/>
        <v>5.0980000000000008</v>
      </c>
      <c r="I301" s="61">
        <f t="shared" si="38"/>
        <v>5.1219999999999999</v>
      </c>
    </row>
    <row r="302" spans="2:10">
      <c r="B302" s="6" t="str">
        <f>B284</f>
        <v>Volksgezondheid, Welzijn en Sport</v>
      </c>
      <c r="C302" s="61">
        <f t="shared" ref="C302:I302" si="39">SUM(C256:C267)</f>
        <v>152.36499999999998</v>
      </c>
      <c r="D302" s="61">
        <f t="shared" si="39"/>
        <v>186.01900000000001</v>
      </c>
      <c r="E302" s="61">
        <f t="shared" si="39"/>
        <v>214.06899999999999</v>
      </c>
      <c r="F302" s="61">
        <f t="shared" si="39"/>
        <v>190.09800000000001</v>
      </c>
      <c r="G302" s="61">
        <f t="shared" si="39"/>
        <v>174.22299999999998</v>
      </c>
      <c r="H302" s="61">
        <f t="shared" si="39"/>
        <v>156.48399999999998</v>
      </c>
      <c r="I302" s="61">
        <f t="shared" si="39"/>
        <v>150.32599999999999</v>
      </c>
    </row>
    <row r="303" spans="2:10">
      <c r="B303" s="1" t="s">
        <v>188</v>
      </c>
      <c r="C303" s="62">
        <f t="shared" ref="C303:I303" si="40">SUM(C292:C302)</f>
        <v>1538.4414026452973</v>
      </c>
      <c r="D303" s="62">
        <f t="shared" si="40"/>
        <v>1826.6048730448513</v>
      </c>
      <c r="E303" s="62">
        <f t="shared" si="40"/>
        <v>1825.2222834208649</v>
      </c>
      <c r="F303" s="62">
        <f t="shared" si="40"/>
        <v>1809.9549146650043</v>
      </c>
      <c r="G303" s="62">
        <f t="shared" si="40"/>
        <v>1760.5484700600755</v>
      </c>
      <c r="H303" s="62">
        <f t="shared" si="40"/>
        <v>1738.2679308792428</v>
      </c>
      <c r="I303" s="62">
        <f t="shared" si="40"/>
        <v>1710.6509308792431</v>
      </c>
    </row>
    <row r="305" spans="2:9">
      <c r="B305" s="1" t="s">
        <v>189</v>
      </c>
      <c r="C305" s="1">
        <f t="shared" ref="C305:I305" si="41">C291</f>
        <v>2017</v>
      </c>
      <c r="D305" s="1">
        <f t="shared" si="41"/>
        <v>2018</v>
      </c>
      <c r="E305" s="1">
        <f t="shared" si="41"/>
        <v>2019</v>
      </c>
      <c r="F305" s="1">
        <f t="shared" si="41"/>
        <v>2020</v>
      </c>
      <c r="G305" s="1">
        <f t="shared" si="41"/>
        <v>2021</v>
      </c>
      <c r="H305" s="1">
        <f t="shared" si="41"/>
        <v>2022</v>
      </c>
      <c r="I305" s="1">
        <f t="shared" si="41"/>
        <v>2023</v>
      </c>
    </row>
    <row r="306" spans="2:9">
      <c r="B306" s="6" t="str">
        <f t="shared" ref="B306:B313" si="42">B292</f>
        <v>Algemene Zaken</v>
      </c>
      <c r="C306" s="61">
        <f t="shared" ref="C306:I313" si="43">C274-C292</f>
        <v>0</v>
      </c>
      <c r="D306" s="61">
        <f t="shared" si="43"/>
        <v>0</v>
      </c>
      <c r="E306" s="61">
        <f t="shared" si="43"/>
        <v>0</v>
      </c>
      <c r="F306" s="61">
        <f t="shared" si="43"/>
        <v>0</v>
      </c>
      <c r="G306" s="61">
        <f t="shared" si="43"/>
        <v>0</v>
      </c>
      <c r="H306" s="61">
        <f t="shared" si="43"/>
        <v>0</v>
      </c>
      <c r="I306" s="61">
        <f t="shared" si="43"/>
        <v>0</v>
      </c>
    </row>
    <row r="307" spans="2:9">
      <c r="B307" s="6" t="str">
        <f t="shared" si="42"/>
        <v xml:space="preserve">Buitenlandse Zaken </v>
      </c>
      <c r="C307" s="61">
        <f t="shared" si="43"/>
        <v>0.35599999999999454</v>
      </c>
      <c r="D307" s="61">
        <f t="shared" si="43"/>
        <v>0.32200000000000273</v>
      </c>
      <c r="E307" s="61">
        <f t="shared" si="43"/>
        <v>0.24199999999999733</v>
      </c>
      <c r="F307" s="61">
        <f t="shared" si="43"/>
        <v>0.24200000000000088</v>
      </c>
      <c r="G307" s="61">
        <f t="shared" si="43"/>
        <v>0.24200000000000088</v>
      </c>
      <c r="H307" s="61">
        <f t="shared" si="43"/>
        <v>0.24200000000000088</v>
      </c>
      <c r="I307" s="61">
        <f t="shared" si="43"/>
        <v>0.24200000000000088</v>
      </c>
    </row>
    <row r="308" spans="2:9">
      <c r="B308" s="6" t="str">
        <f t="shared" si="42"/>
        <v>Justitie en Veiligheid</v>
      </c>
      <c r="C308" s="61">
        <f t="shared" si="43"/>
        <v>16.431999999999999</v>
      </c>
      <c r="D308" s="61">
        <f t="shared" si="43"/>
        <v>16.879000000000001</v>
      </c>
      <c r="E308" s="61">
        <f t="shared" si="43"/>
        <v>16.906999999999996</v>
      </c>
      <c r="F308" s="61">
        <f t="shared" si="43"/>
        <v>16.571999999999999</v>
      </c>
      <c r="G308" s="61">
        <f t="shared" si="43"/>
        <v>16.632000000000001</v>
      </c>
      <c r="H308" s="61">
        <f t="shared" si="43"/>
        <v>16.631</v>
      </c>
      <c r="I308" s="61">
        <f t="shared" si="43"/>
        <v>16.631000000000004</v>
      </c>
    </row>
    <row r="309" spans="2:9">
      <c r="B309" s="6" t="str">
        <f t="shared" si="42"/>
        <v>Binnenlandse Zaken en Koninkrijksrelaties</v>
      </c>
      <c r="C309" s="61">
        <f t="shared" si="43"/>
        <v>0</v>
      </c>
      <c r="D309" s="61">
        <f t="shared" si="43"/>
        <v>0</v>
      </c>
      <c r="E309" s="61">
        <f t="shared" si="43"/>
        <v>0</v>
      </c>
      <c r="F309" s="61">
        <f t="shared" si="43"/>
        <v>0</v>
      </c>
      <c r="G309" s="61">
        <f t="shared" si="43"/>
        <v>0</v>
      </c>
      <c r="H309" s="61">
        <f t="shared" si="43"/>
        <v>0</v>
      </c>
      <c r="I309" s="61">
        <f t="shared" si="43"/>
        <v>0</v>
      </c>
    </row>
    <row r="310" spans="2:9">
      <c r="B310" s="6" t="str">
        <f t="shared" si="42"/>
        <v>Onderwijs, Cultuur en Wetenschap</v>
      </c>
      <c r="C310" s="61">
        <f t="shared" si="43"/>
        <v>2973.4688176628056</v>
      </c>
      <c r="D310" s="61">
        <f t="shared" si="43"/>
        <v>3105.9044188738922</v>
      </c>
      <c r="E310" s="61">
        <f t="shared" si="43"/>
        <v>3199.3848030296231</v>
      </c>
      <c r="F310" s="61">
        <f t="shared" si="43"/>
        <v>3248.9912175619602</v>
      </c>
      <c r="G310" s="61">
        <f t="shared" si="43"/>
        <v>3236.496186799106</v>
      </c>
      <c r="H310" s="61">
        <f t="shared" si="43"/>
        <v>3243.6375585235078</v>
      </c>
      <c r="I310" s="61">
        <f t="shared" si="43"/>
        <v>3266.9763433676958</v>
      </c>
    </row>
    <row r="311" spans="2:9">
      <c r="B311" s="6" t="str">
        <f t="shared" si="42"/>
        <v>Defensie</v>
      </c>
      <c r="C311" s="61">
        <f t="shared" si="43"/>
        <v>37.164000000000009</v>
      </c>
      <c r="D311" s="61">
        <f t="shared" si="43"/>
        <v>40.824999999999996</v>
      </c>
      <c r="E311" s="61">
        <f t="shared" si="43"/>
        <v>43.325000000000003</v>
      </c>
      <c r="F311" s="61">
        <f t="shared" si="43"/>
        <v>43.324999999999996</v>
      </c>
      <c r="G311" s="61">
        <f t="shared" si="43"/>
        <v>43.325000000000003</v>
      </c>
      <c r="H311" s="61">
        <f t="shared" si="43"/>
        <v>43.325000000000003</v>
      </c>
      <c r="I311" s="61">
        <f t="shared" si="43"/>
        <v>43.325000000000003</v>
      </c>
    </row>
    <row r="312" spans="2:9">
      <c r="B312" s="6" t="str">
        <f t="shared" si="42"/>
        <v>Infrastructuur en Waterstaat</v>
      </c>
      <c r="C312" s="61">
        <f t="shared" si="43"/>
        <v>51.584000000000003</v>
      </c>
      <c r="D312" s="61">
        <f t="shared" si="43"/>
        <v>49.195999999999998</v>
      </c>
      <c r="E312" s="61">
        <f t="shared" si="43"/>
        <v>44.465999999999994</v>
      </c>
      <c r="F312" s="61">
        <f t="shared" si="43"/>
        <v>44.564999999999998</v>
      </c>
      <c r="G312" s="61">
        <f t="shared" si="43"/>
        <v>43.305</v>
      </c>
      <c r="H312" s="61">
        <f t="shared" si="43"/>
        <v>42.872000000000007</v>
      </c>
      <c r="I312" s="61">
        <f t="shared" si="43"/>
        <v>42.872000000000007</v>
      </c>
    </row>
    <row r="313" spans="2:9">
      <c r="B313" s="6" t="str">
        <f t="shared" si="42"/>
        <v>Economische Zaken en Klimaat</v>
      </c>
      <c r="C313" s="61">
        <f t="shared" si="43"/>
        <v>245.21900000000016</v>
      </c>
      <c r="D313" s="61">
        <f t="shared" si="43"/>
        <v>410.37899999999968</v>
      </c>
      <c r="E313" s="61">
        <f t="shared" si="43"/>
        <v>271.79500000000024</v>
      </c>
      <c r="F313" s="61">
        <f t="shared" si="43"/>
        <v>282.59700000000021</v>
      </c>
      <c r="G313" s="61">
        <f t="shared" si="43"/>
        <v>281.92699999999991</v>
      </c>
      <c r="H313" s="61">
        <f t="shared" si="43"/>
        <v>281.55099999999993</v>
      </c>
      <c r="I313" s="61">
        <f t="shared" si="43"/>
        <v>281.56300000000005</v>
      </c>
    </row>
    <row r="314" spans="2:9">
      <c r="B314" s="6" t="s">
        <v>669</v>
      </c>
      <c r="C314" s="61">
        <f>C282-C300</f>
        <v>13.532000000000011</v>
      </c>
      <c r="D314" s="61">
        <f t="shared" ref="D314:I314" si="44">D282-D300</f>
        <v>27.646000000000015</v>
      </c>
      <c r="E314" s="61">
        <f t="shared" si="44"/>
        <v>27.546000000000021</v>
      </c>
      <c r="F314" s="61">
        <f t="shared" si="44"/>
        <v>27.645999999999987</v>
      </c>
      <c r="G314" s="61">
        <f t="shared" si="44"/>
        <v>27.645999999999987</v>
      </c>
      <c r="H314" s="61">
        <f t="shared" si="44"/>
        <v>27.489999999999981</v>
      </c>
      <c r="I314" s="61">
        <f t="shared" si="44"/>
        <v>28.364000000000033</v>
      </c>
    </row>
    <row r="315" spans="2:9">
      <c r="B315" s="6" t="str">
        <f>B301</f>
        <v>Sociale Zaken en Werkgelegenheid</v>
      </c>
      <c r="C315" s="61">
        <f>C283-C301</f>
        <v>3.9440000000000008</v>
      </c>
      <c r="D315" s="61">
        <f t="shared" ref="D315:I316" si="45">D283-D301</f>
        <v>3.8919999999999995</v>
      </c>
      <c r="E315" s="61">
        <f t="shared" si="45"/>
        <v>7.5920000000000005</v>
      </c>
      <c r="F315" s="61">
        <f t="shared" si="45"/>
        <v>7.5920000000000005</v>
      </c>
      <c r="G315" s="61">
        <f t="shared" si="45"/>
        <v>7.5920000000000005</v>
      </c>
      <c r="H315" s="61">
        <f t="shared" si="45"/>
        <v>7.5919999999999987</v>
      </c>
      <c r="I315" s="61">
        <f t="shared" si="45"/>
        <v>7.5920000000000005</v>
      </c>
    </row>
    <row r="316" spans="2:9">
      <c r="B316" s="6" t="str">
        <f>B302</f>
        <v>Volksgezondheid, Welzijn en Sport</v>
      </c>
      <c r="C316" s="61">
        <f>C284-C302</f>
        <v>77.800999999999988</v>
      </c>
      <c r="D316" s="61">
        <f t="shared" si="45"/>
        <v>84.625</v>
      </c>
      <c r="E316" s="61">
        <f t="shared" si="45"/>
        <v>85.367999999999967</v>
      </c>
      <c r="F316" s="61">
        <f t="shared" si="45"/>
        <v>85.206999999999994</v>
      </c>
      <c r="G316" s="61">
        <f t="shared" si="45"/>
        <v>83.553000000000026</v>
      </c>
      <c r="H316" s="61">
        <f t="shared" si="45"/>
        <v>83.688000000000017</v>
      </c>
      <c r="I316" s="61">
        <f t="shared" si="45"/>
        <v>83.825999999999993</v>
      </c>
    </row>
    <row r="317" spans="2:9">
      <c r="B317" s="1" t="s">
        <v>190</v>
      </c>
      <c r="C317" s="62">
        <f t="shared" ref="C317:I317" si="46">SUM(C306:C316)</f>
        <v>3419.5008176628057</v>
      </c>
      <c r="D317" s="62">
        <f t="shared" si="46"/>
        <v>3739.6684188738914</v>
      </c>
      <c r="E317" s="62">
        <f t="shared" si="46"/>
        <v>3696.6258030296226</v>
      </c>
      <c r="F317" s="62">
        <f t="shared" si="46"/>
        <v>3756.7372175619603</v>
      </c>
      <c r="G317" s="62">
        <f t="shared" si="46"/>
        <v>3740.7181867991058</v>
      </c>
      <c r="H317" s="62">
        <f t="shared" si="46"/>
        <v>3747.0285585235074</v>
      </c>
      <c r="I317" s="62">
        <f t="shared" si="46"/>
        <v>3771.3913433676958</v>
      </c>
    </row>
    <row r="319" spans="2:9">
      <c r="B319" s="1" t="s">
        <v>191</v>
      </c>
      <c r="C319" s="1">
        <f>C305</f>
        <v>2017</v>
      </c>
      <c r="D319" s="1">
        <f t="shared" ref="D319:I319" si="47">D305</f>
        <v>2018</v>
      </c>
      <c r="E319" s="1">
        <f t="shared" si="47"/>
        <v>2019</v>
      </c>
      <c r="F319" s="1">
        <f t="shared" si="47"/>
        <v>2020</v>
      </c>
      <c r="G319" s="1">
        <f t="shared" si="47"/>
        <v>2021</v>
      </c>
      <c r="H319" s="1">
        <f t="shared" si="47"/>
        <v>2022</v>
      </c>
      <c r="I319" s="1">
        <f t="shared" si="47"/>
        <v>2023</v>
      </c>
    </row>
    <row r="320" spans="2:9">
      <c r="B320" s="4" t="str">
        <f t="shared" ref="B320:B327" si="48">B306</f>
        <v>Algemene Zaken</v>
      </c>
      <c r="C320" s="52">
        <f t="shared" ref="C320:I327" si="49">SUM(C292,C306)</f>
        <v>0.51</v>
      </c>
      <c r="D320" s="52">
        <f t="shared" si="49"/>
        <v>0.59399999999999997</v>
      </c>
      <c r="E320" s="52">
        <f t="shared" si="49"/>
        <v>0.59399999999999997</v>
      </c>
      <c r="F320" s="52">
        <f t="shared" si="49"/>
        <v>0.59399999999999997</v>
      </c>
      <c r="G320" s="52">
        <f t="shared" si="49"/>
        <v>0.59399999999999997</v>
      </c>
      <c r="H320" s="52">
        <f t="shared" si="49"/>
        <v>0.59399999999999997</v>
      </c>
      <c r="I320" s="52">
        <f t="shared" si="49"/>
        <v>0.59399999999999997</v>
      </c>
    </row>
    <row r="321" spans="2:9">
      <c r="B321" s="4" t="str">
        <f t="shared" si="48"/>
        <v xml:space="preserve">Buitenlandse Zaken </v>
      </c>
      <c r="C321" s="52">
        <f t="shared" si="49"/>
        <v>38.99499999999999</v>
      </c>
      <c r="D321" s="52">
        <f t="shared" si="49"/>
        <v>39.611000000000004</v>
      </c>
      <c r="E321" s="52">
        <f t="shared" si="49"/>
        <v>33.366</v>
      </c>
      <c r="F321" s="52">
        <f t="shared" si="49"/>
        <v>32.143000000000001</v>
      </c>
      <c r="G321" s="52">
        <f t="shared" si="49"/>
        <v>32.058</v>
      </c>
      <c r="H321" s="52">
        <f t="shared" si="49"/>
        <v>32.042999999999999</v>
      </c>
      <c r="I321" s="52">
        <f t="shared" si="49"/>
        <v>32.042999999999999</v>
      </c>
    </row>
    <row r="322" spans="2:9">
      <c r="B322" s="4" t="str">
        <f t="shared" si="48"/>
        <v>Justitie en Veiligheid</v>
      </c>
      <c r="C322" s="52">
        <f t="shared" si="49"/>
        <v>21.884999999999998</v>
      </c>
      <c r="D322" s="52">
        <f t="shared" si="49"/>
        <v>22.135000000000002</v>
      </c>
      <c r="E322" s="52">
        <f t="shared" si="49"/>
        <v>22.014999999999997</v>
      </c>
      <c r="F322" s="52">
        <f t="shared" si="49"/>
        <v>21.648</v>
      </c>
      <c r="G322" s="52">
        <f t="shared" si="49"/>
        <v>21.720000000000002</v>
      </c>
      <c r="H322" s="52">
        <f t="shared" si="49"/>
        <v>21.719000000000001</v>
      </c>
      <c r="I322" s="52">
        <f t="shared" si="49"/>
        <v>21.721000000000004</v>
      </c>
    </row>
    <row r="323" spans="2:9">
      <c r="B323" s="4" t="str">
        <f t="shared" si="48"/>
        <v>Binnenlandse Zaken en Koninkrijksrelaties</v>
      </c>
      <c r="C323" s="52">
        <f t="shared" si="49"/>
        <v>7.3550000000000004</v>
      </c>
      <c r="D323" s="52">
        <f t="shared" si="49"/>
        <v>10.298999999999999</v>
      </c>
      <c r="E323" s="52">
        <f t="shared" si="49"/>
        <v>8.8150000000000013</v>
      </c>
      <c r="F323" s="52">
        <f t="shared" si="49"/>
        <v>9.0289999999999999</v>
      </c>
      <c r="G323" s="52">
        <f t="shared" si="49"/>
        <v>10.206</v>
      </c>
      <c r="H323" s="52">
        <f t="shared" si="49"/>
        <v>10.61</v>
      </c>
      <c r="I323" s="52">
        <f t="shared" si="49"/>
        <v>9.572000000000001</v>
      </c>
    </row>
    <row r="324" spans="2:9">
      <c r="B324" s="4" t="str">
        <f t="shared" si="48"/>
        <v>Onderwijs, Cultuur en Wetenschap</v>
      </c>
      <c r="C324" s="52">
        <f t="shared" si="49"/>
        <v>3701.937220308103</v>
      </c>
      <c r="D324" s="52">
        <f t="shared" si="49"/>
        <v>3940.1422919187435</v>
      </c>
      <c r="E324" s="52">
        <f t="shared" si="49"/>
        <v>4039.1720864504878</v>
      </c>
      <c r="F324" s="52">
        <f t="shared" si="49"/>
        <v>4063.4291322269646</v>
      </c>
      <c r="G324" s="52">
        <f t="shared" si="49"/>
        <v>4045.2506568591816</v>
      </c>
      <c r="H324" s="52">
        <f t="shared" si="49"/>
        <v>4052.4454894027508</v>
      </c>
      <c r="I324" s="52">
        <f t="shared" si="49"/>
        <v>4075.6592742469388</v>
      </c>
    </row>
    <row r="325" spans="2:9">
      <c r="B325" s="4" t="str">
        <f t="shared" si="48"/>
        <v>Defensie</v>
      </c>
      <c r="C325" s="52">
        <f t="shared" si="49"/>
        <v>54.756000000000007</v>
      </c>
      <c r="D325" s="52">
        <f t="shared" si="49"/>
        <v>67.111999999999995</v>
      </c>
      <c r="E325" s="52">
        <f t="shared" si="49"/>
        <v>70.238</v>
      </c>
      <c r="F325" s="52">
        <f t="shared" si="49"/>
        <v>72.266999999999996</v>
      </c>
      <c r="G325" s="52">
        <f t="shared" si="49"/>
        <v>72.298000000000002</v>
      </c>
      <c r="H325" s="52">
        <f t="shared" si="49"/>
        <v>72.328000000000003</v>
      </c>
      <c r="I325" s="52">
        <f t="shared" si="49"/>
        <v>72.328000000000003</v>
      </c>
    </row>
    <row r="326" spans="2:9">
      <c r="B326" s="4" t="str">
        <f t="shared" si="48"/>
        <v>Infrastructuur en Waterstaat</v>
      </c>
      <c r="C326" s="52">
        <f t="shared" si="49"/>
        <v>76.146000000000001</v>
      </c>
      <c r="D326" s="52">
        <f t="shared" si="49"/>
        <v>82.03</v>
      </c>
      <c r="E326" s="52">
        <f t="shared" si="49"/>
        <v>69.887</v>
      </c>
      <c r="F326" s="52">
        <f t="shared" si="49"/>
        <v>66.542000000000002</v>
      </c>
      <c r="G326" s="52">
        <f t="shared" si="49"/>
        <v>61.558</v>
      </c>
      <c r="H326" s="52">
        <f t="shared" si="49"/>
        <v>57.384000000000007</v>
      </c>
      <c r="I326" s="52">
        <f t="shared" si="49"/>
        <v>58.409000000000006</v>
      </c>
    </row>
    <row r="327" spans="2:9">
      <c r="B327" s="4" t="str">
        <f t="shared" si="48"/>
        <v>Economische Zaken en Klimaat</v>
      </c>
      <c r="C327" s="52">
        <f t="shared" si="49"/>
        <v>657.10300000000007</v>
      </c>
      <c r="D327" s="52">
        <f t="shared" si="49"/>
        <v>922.14899999999966</v>
      </c>
      <c r="E327" s="52">
        <f t="shared" si="49"/>
        <v>781.99300000000017</v>
      </c>
      <c r="F327" s="52">
        <f t="shared" si="49"/>
        <v>832.18900000000019</v>
      </c>
      <c r="G327" s="52">
        <f t="shared" si="49"/>
        <v>805.35199999999986</v>
      </c>
      <c r="H327" s="52">
        <f t="shared" si="49"/>
        <v>805.31299999999999</v>
      </c>
      <c r="I327" s="52">
        <f t="shared" si="49"/>
        <v>792.48299999999995</v>
      </c>
    </row>
    <row r="328" spans="2:9">
      <c r="B328" s="6" t="s">
        <v>669</v>
      </c>
      <c r="C328" s="52">
        <f>SUM(C300,C314)</f>
        <v>158.28800000000001</v>
      </c>
      <c r="D328" s="52">
        <f t="shared" ref="D328:I328" si="50">SUM(D300,D314)</f>
        <v>200.16499999999996</v>
      </c>
      <c r="E328" s="52">
        <f t="shared" si="50"/>
        <v>182.90899999999999</v>
      </c>
      <c r="F328" s="52">
        <f t="shared" si="50"/>
        <v>180.69200000000001</v>
      </c>
      <c r="G328" s="52">
        <f t="shared" si="50"/>
        <v>181.73699999999999</v>
      </c>
      <c r="H328" s="52">
        <f t="shared" si="50"/>
        <v>179.99799999999999</v>
      </c>
      <c r="I328" s="52">
        <f t="shared" si="50"/>
        <v>172.36700000000002</v>
      </c>
    </row>
    <row r="329" spans="2:9">
      <c r="B329" s="4" t="str">
        <f>B315</f>
        <v>Sociale Zaken en Werkgelegenheid</v>
      </c>
      <c r="C329" s="52">
        <f>SUM(C301,C315)</f>
        <v>10.801</v>
      </c>
      <c r="D329" s="52">
        <f t="shared" ref="D329:I330" si="51">SUM(D301,D315)</f>
        <v>11.391999999999999</v>
      </c>
      <c r="E329" s="52">
        <f t="shared" si="51"/>
        <v>13.422000000000001</v>
      </c>
      <c r="F329" s="52">
        <f t="shared" si="51"/>
        <v>12.854000000000001</v>
      </c>
      <c r="G329" s="52">
        <f t="shared" si="51"/>
        <v>12.717000000000001</v>
      </c>
      <c r="H329" s="52">
        <f t="shared" si="51"/>
        <v>12.69</v>
      </c>
      <c r="I329" s="52">
        <f t="shared" si="51"/>
        <v>12.714</v>
      </c>
    </row>
    <row r="330" spans="2:9">
      <c r="B330" s="4" t="str">
        <f>B316</f>
        <v>Volksgezondheid, Welzijn en Sport</v>
      </c>
      <c r="C330" s="52">
        <f>SUM(C302,C316)</f>
        <v>230.16599999999997</v>
      </c>
      <c r="D330" s="52">
        <f t="shared" si="51"/>
        <v>270.64400000000001</v>
      </c>
      <c r="E330" s="52">
        <f t="shared" si="51"/>
        <v>299.43699999999995</v>
      </c>
      <c r="F330" s="52">
        <f t="shared" si="51"/>
        <v>275.30500000000001</v>
      </c>
      <c r="G330" s="52">
        <f t="shared" si="51"/>
        <v>257.77600000000001</v>
      </c>
      <c r="H330" s="52">
        <f t="shared" si="51"/>
        <v>240.172</v>
      </c>
      <c r="I330" s="52">
        <f t="shared" si="51"/>
        <v>234.15199999999999</v>
      </c>
    </row>
    <row r="331" spans="2:9">
      <c r="B331" s="1" t="s">
        <v>52</v>
      </c>
      <c r="C331" s="49">
        <f t="shared" ref="C331:I331" si="52">SUM(C320:C330)</f>
        <v>4957.9422203081031</v>
      </c>
      <c r="D331" s="49">
        <f t="shared" si="52"/>
        <v>5566.2732919187429</v>
      </c>
      <c r="E331" s="49">
        <f t="shared" si="52"/>
        <v>5521.8480864504872</v>
      </c>
      <c r="F331" s="49">
        <f t="shared" si="52"/>
        <v>5566.6921322269654</v>
      </c>
      <c r="G331" s="49">
        <f t="shared" si="52"/>
        <v>5501.2666568591812</v>
      </c>
      <c r="H331" s="49">
        <f t="shared" si="52"/>
        <v>5485.29648940275</v>
      </c>
      <c r="I331" s="49">
        <f t="shared" si="52"/>
        <v>5482.0422742469391</v>
      </c>
    </row>
    <row r="333" spans="2:9">
      <c r="B333" s="1" t="s">
        <v>192</v>
      </c>
      <c r="C333" s="1">
        <f>C319</f>
        <v>2017</v>
      </c>
      <c r="D333" s="1">
        <f t="shared" ref="D333:I333" si="53">D319</f>
        <v>2018</v>
      </c>
      <c r="E333" s="1">
        <f t="shared" si="53"/>
        <v>2019</v>
      </c>
      <c r="F333" s="1">
        <f t="shared" si="53"/>
        <v>2020</v>
      </c>
      <c r="G333" s="1">
        <f t="shared" si="53"/>
        <v>2021</v>
      </c>
      <c r="H333" s="1">
        <f t="shared" si="53"/>
        <v>2022</v>
      </c>
      <c r="I333" s="1">
        <f t="shared" si="53"/>
        <v>2023</v>
      </c>
    </row>
    <row r="334" spans="2:9">
      <c r="B334" s="4" t="str">
        <f t="shared" ref="B334:B341" si="54">B320</f>
        <v>Algemene Zaken</v>
      </c>
      <c r="C334" s="61">
        <f t="shared" ref="C334:I341" si="55">+C292/C320*100</f>
        <v>100</v>
      </c>
      <c r="D334" s="61">
        <f t="shared" si="55"/>
        <v>100</v>
      </c>
      <c r="E334" s="61">
        <f t="shared" si="55"/>
        <v>100</v>
      </c>
      <c r="F334" s="61">
        <f t="shared" si="55"/>
        <v>100</v>
      </c>
      <c r="G334" s="61">
        <f t="shared" si="55"/>
        <v>100</v>
      </c>
      <c r="H334" s="61">
        <f t="shared" si="55"/>
        <v>100</v>
      </c>
      <c r="I334" s="61">
        <f t="shared" si="55"/>
        <v>100</v>
      </c>
    </row>
    <row r="335" spans="2:9">
      <c r="B335" s="4" t="str">
        <f t="shared" si="54"/>
        <v xml:space="preserve">Buitenlandse Zaken </v>
      </c>
      <c r="C335" s="61">
        <f t="shared" si="55"/>
        <v>99.087062443903079</v>
      </c>
      <c r="D335" s="61">
        <f t="shared" si="55"/>
        <v>99.187094493953694</v>
      </c>
      <c r="E335" s="61">
        <f t="shared" si="55"/>
        <v>99.274710783432241</v>
      </c>
      <c r="F335" s="61">
        <f t="shared" si="55"/>
        <v>99.247114457269078</v>
      </c>
      <c r="G335" s="61">
        <f t="shared" si="55"/>
        <v>99.245118223220402</v>
      </c>
      <c r="H335" s="61">
        <f t="shared" si="55"/>
        <v>99.244764847236524</v>
      </c>
      <c r="I335" s="61">
        <f t="shared" si="55"/>
        <v>99.244764847236524</v>
      </c>
    </row>
    <row r="336" spans="2:9">
      <c r="B336" s="4" t="str">
        <f t="shared" si="54"/>
        <v>Justitie en Veiligheid</v>
      </c>
      <c r="C336" s="61">
        <f t="shared" si="55"/>
        <v>24.916609549920036</v>
      </c>
      <c r="D336" s="61">
        <f t="shared" si="55"/>
        <v>23.745199909645358</v>
      </c>
      <c r="E336" s="61">
        <f t="shared" si="55"/>
        <v>23.202362025891439</v>
      </c>
      <c r="F336" s="61">
        <f t="shared" si="55"/>
        <v>23.447893569844787</v>
      </c>
      <c r="G336" s="61">
        <f t="shared" si="55"/>
        <v>23.425414364640883</v>
      </c>
      <c r="H336" s="61">
        <f t="shared" si="55"/>
        <v>23.426492932455453</v>
      </c>
      <c r="I336" s="61">
        <f t="shared" si="55"/>
        <v>23.43354357534183</v>
      </c>
    </row>
    <row r="337" spans="2:9">
      <c r="B337" s="4" t="str">
        <f t="shared" si="54"/>
        <v>Binnenlandse Zaken en Koninkrijksrelaties</v>
      </c>
      <c r="C337" s="61">
        <f t="shared" si="55"/>
        <v>100</v>
      </c>
      <c r="D337" s="61">
        <f t="shared" si="55"/>
        <v>100</v>
      </c>
      <c r="E337" s="61">
        <f t="shared" si="55"/>
        <v>100</v>
      </c>
      <c r="F337" s="61">
        <f t="shared" si="55"/>
        <v>100</v>
      </c>
      <c r="G337" s="61">
        <f t="shared" si="55"/>
        <v>100</v>
      </c>
      <c r="H337" s="61">
        <f t="shared" si="55"/>
        <v>100</v>
      </c>
      <c r="I337" s="61">
        <f t="shared" si="55"/>
        <v>100</v>
      </c>
    </row>
    <row r="338" spans="2:9">
      <c r="B338" s="4" t="str">
        <f t="shared" si="54"/>
        <v>Onderwijs, Cultuur en Wetenschap</v>
      </c>
      <c r="C338" s="61">
        <f t="shared" si="55"/>
        <v>19.678032319107473</v>
      </c>
      <c r="D338" s="61">
        <f t="shared" si="55"/>
        <v>21.172785428482577</v>
      </c>
      <c r="E338" s="61">
        <f t="shared" si="55"/>
        <v>20.791074642200911</v>
      </c>
      <c r="F338" s="61">
        <f t="shared" si="55"/>
        <v>20.04311846380476</v>
      </c>
      <c r="G338" s="61">
        <f t="shared" si="55"/>
        <v>19.99269114977438</v>
      </c>
      <c r="H338" s="61">
        <f t="shared" si="55"/>
        <v>19.958514753481484</v>
      </c>
      <c r="I338" s="61">
        <f t="shared" si="55"/>
        <v>19.841769796339605</v>
      </c>
    </row>
    <row r="339" spans="2:9">
      <c r="B339" s="4" t="str">
        <f t="shared" si="54"/>
        <v>Defensie</v>
      </c>
      <c r="C339" s="61">
        <f t="shared" si="55"/>
        <v>32.127985974139811</v>
      </c>
      <c r="D339" s="61">
        <f t="shared" si="55"/>
        <v>39.168852068184528</v>
      </c>
      <c r="E339" s="61">
        <f t="shared" si="55"/>
        <v>38.316865514393918</v>
      </c>
      <c r="F339" s="61">
        <f t="shared" si="55"/>
        <v>40.048708262415765</v>
      </c>
      <c r="G339" s="61">
        <f t="shared" si="55"/>
        <v>40.074414229992527</v>
      </c>
      <c r="H339" s="61">
        <f t="shared" si="55"/>
        <v>40.09926999225749</v>
      </c>
      <c r="I339" s="61">
        <f t="shared" si="55"/>
        <v>40.09926999225749</v>
      </c>
    </row>
    <row r="340" spans="2:9">
      <c r="B340" s="4" t="str">
        <f t="shared" si="54"/>
        <v>Infrastructuur en Waterstaat</v>
      </c>
      <c r="C340" s="61">
        <f t="shared" si="55"/>
        <v>32.256454705434294</v>
      </c>
      <c r="D340" s="61">
        <f t="shared" si="55"/>
        <v>40.026819456296479</v>
      </c>
      <c r="E340" s="61">
        <f t="shared" si="55"/>
        <v>36.374433013292887</v>
      </c>
      <c r="F340" s="61">
        <f t="shared" si="55"/>
        <v>33.027260978028913</v>
      </c>
      <c r="G340" s="61">
        <f t="shared" si="55"/>
        <v>29.651710581890249</v>
      </c>
      <c r="H340" s="61">
        <f t="shared" si="55"/>
        <v>25.289279241600443</v>
      </c>
      <c r="I340" s="61">
        <f t="shared" si="55"/>
        <v>26.600352685373824</v>
      </c>
    </row>
    <row r="341" spans="2:9">
      <c r="B341" s="4" t="str">
        <f t="shared" si="54"/>
        <v>Economische Zaken en Klimaat</v>
      </c>
      <c r="C341" s="61">
        <f t="shared" si="55"/>
        <v>62.681801787543179</v>
      </c>
      <c r="D341" s="61">
        <f t="shared" si="55"/>
        <v>55.497538900980224</v>
      </c>
      <c r="E341" s="61">
        <f t="shared" si="55"/>
        <v>65.243295016707293</v>
      </c>
      <c r="F341" s="61">
        <f t="shared" si="55"/>
        <v>66.041728501578348</v>
      </c>
      <c r="G341" s="61">
        <f t="shared" si="55"/>
        <v>64.993319691265441</v>
      </c>
      <c r="H341" s="61">
        <f t="shared" si="55"/>
        <v>65.038314295187092</v>
      </c>
      <c r="I341" s="61">
        <f t="shared" si="55"/>
        <v>64.470783600405298</v>
      </c>
    </row>
    <row r="342" spans="2:9">
      <c r="B342" s="6" t="s">
        <v>669</v>
      </c>
      <c r="C342" s="61">
        <f>+C300/C328*100</f>
        <v>91.451025977964207</v>
      </c>
      <c r="D342" s="61">
        <f t="shared" ref="D342:I342" si="56">+D300/D328*100</f>
        <v>86.18839457447605</v>
      </c>
      <c r="E342" s="61">
        <f t="shared" si="56"/>
        <v>84.940052157083571</v>
      </c>
      <c r="F342" s="61">
        <f t="shared" si="56"/>
        <v>84.699931374936369</v>
      </c>
      <c r="G342" s="61">
        <f t="shared" si="56"/>
        <v>84.787907800833082</v>
      </c>
      <c r="H342" s="61">
        <f t="shared" si="56"/>
        <v>84.727608084534282</v>
      </c>
      <c r="I342" s="61">
        <f t="shared" si="56"/>
        <v>83.544413953947085</v>
      </c>
    </row>
    <row r="343" spans="2:9">
      <c r="B343" s="4" t="str">
        <f t="shared" ref="B343:B344" si="57">B329</f>
        <v>Sociale Zaken en Werkgelegenheid</v>
      </c>
      <c r="C343" s="61">
        <f>+C301/C329*100</f>
        <v>63.484862512730302</v>
      </c>
      <c r="D343" s="61">
        <f t="shared" ref="D343:I345" si="58">+D301/D329*100</f>
        <v>65.835674157303373</v>
      </c>
      <c r="E343" s="61">
        <f t="shared" si="58"/>
        <v>43.436149605125912</v>
      </c>
      <c r="F343" s="61">
        <f t="shared" si="58"/>
        <v>40.936673409055544</v>
      </c>
      <c r="G343" s="61">
        <f t="shared" si="58"/>
        <v>40.300385311001023</v>
      </c>
      <c r="H343" s="61">
        <f t="shared" si="58"/>
        <v>40.173364854215926</v>
      </c>
      <c r="I343" s="61">
        <f t="shared" si="58"/>
        <v>40.286298568507156</v>
      </c>
    </row>
    <row r="344" spans="2:9">
      <c r="B344" s="4" t="str">
        <f t="shared" si="57"/>
        <v>Volksgezondheid, Welzijn en Sport</v>
      </c>
      <c r="C344" s="61">
        <f>+C302/C330*100</f>
        <v>66.197874577478871</v>
      </c>
      <c r="D344" s="61">
        <f t="shared" si="58"/>
        <v>68.731987407812483</v>
      </c>
      <c r="E344" s="61">
        <f t="shared" si="58"/>
        <v>71.49049716634886</v>
      </c>
      <c r="F344" s="61">
        <f t="shared" si="58"/>
        <v>69.049962768565777</v>
      </c>
      <c r="G344" s="61">
        <f t="shared" si="58"/>
        <v>67.586974737756805</v>
      </c>
      <c r="H344" s="61">
        <f t="shared" si="58"/>
        <v>65.154972269873241</v>
      </c>
      <c r="I344" s="61">
        <f t="shared" si="58"/>
        <v>64.200177662373164</v>
      </c>
    </row>
    <row r="345" spans="2:9">
      <c r="B345" s="1" t="s">
        <v>52</v>
      </c>
      <c r="C345" s="111">
        <f>+C303/C331*100</f>
        <v>31.029837264817772</v>
      </c>
      <c r="D345" s="111">
        <f t="shared" si="58"/>
        <v>32.815580142224832</v>
      </c>
      <c r="E345" s="111">
        <f t="shared" si="58"/>
        <v>33.05455446881264</v>
      </c>
      <c r="F345" s="111">
        <f t="shared" si="58"/>
        <v>32.514011403410024</v>
      </c>
      <c r="G345" s="111">
        <f t="shared" si="58"/>
        <v>32.002601943771602</v>
      </c>
      <c r="H345" s="111">
        <f t="shared" si="58"/>
        <v>31.68958932734936</v>
      </c>
      <c r="I345" s="111">
        <f t="shared" si="58"/>
        <v>31.2046285909795</v>
      </c>
    </row>
    <row r="347" spans="2:9">
      <c r="E347" s="61"/>
    </row>
  </sheetData>
  <pageMargins left="0.70866141732283472" right="0.70866141732283472" top="0.74803149606299213" bottom="0.74803149606299213" header="0.31496062992125984" footer="0.31496062992125984"/>
  <pageSetup paperSize="9" scale="80" orientation="landscape" verticalDpi="0" r:id="rId1"/>
  <rowBreaks count="6" manualBreakCount="6">
    <brk id="30" max="16383" man="1"/>
    <brk id="75" max="16383" man="1"/>
    <brk id="109" max="16383" man="1"/>
    <brk id="246" max="16383" man="1"/>
    <brk id="288" max="16383" man="1"/>
    <brk id="332" max="16383" man="1"/>
  </rowBreaks>
  <colBreaks count="1" manualBreakCount="1">
    <brk id="9"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Normal="100" zoomScaleSheetLayoutView="90" workbookViewId="0"/>
  </sheetViews>
  <sheetFormatPr defaultRowHeight="15" customHeight="1"/>
  <cols>
    <col min="1" max="1" width="4.85546875" style="110" customWidth="1"/>
    <col min="2" max="2" width="100.5703125" style="110" customWidth="1"/>
    <col min="3" max="9" width="11.7109375" style="110" customWidth="1"/>
    <col min="10" max="16384" width="9.140625" style="110"/>
  </cols>
  <sheetData>
    <row r="1" spans="1:17" ht="15" customHeight="1">
      <c r="A1" s="25" t="s">
        <v>280</v>
      </c>
      <c r="B1" s="137"/>
      <c r="C1" s="156"/>
      <c r="D1" s="90"/>
      <c r="E1" s="90"/>
      <c r="F1" s="90"/>
      <c r="G1" s="90"/>
      <c r="H1" s="90"/>
      <c r="I1" s="90"/>
    </row>
    <row r="2" spans="1:17" ht="15" customHeight="1">
      <c r="A2" s="139"/>
      <c r="B2" s="137"/>
      <c r="C2" s="90"/>
      <c r="D2" s="90"/>
      <c r="E2" s="90"/>
      <c r="F2" s="90"/>
      <c r="G2" s="90"/>
      <c r="H2" s="90"/>
      <c r="I2" s="90"/>
    </row>
    <row r="3" spans="1:17" ht="15" customHeight="1">
      <c r="A3" s="141"/>
      <c r="B3" s="141"/>
      <c r="C3" s="33">
        <f>Type!C4</f>
        <v>2017</v>
      </c>
      <c r="D3" s="33">
        <f>Type!D4</f>
        <v>2018</v>
      </c>
      <c r="E3" s="33">
        <f>Type!E4</f>
        <v>2019</v>
      </c>
      <c r="F3" s="33">
        <f>Type!F4</f>
        <v>2020</v>
      </c>
      <c r="G3" s="33">
        <f>Type!G4</f>
        <v>2021</v>
      </c>
      <c r="H3" s="33">
        <f>Type!H4</f>
        <v>2022</v>
      </c>
      <c r="I3" s="33">
        <f>Type!I4</f>
        <v>2023</v>
      </c>
    </row>
    <row r="4" spans="1:17" ht="15" customHeight="1">
      <c r="A4" s="90">
        <v>1</v>
      </c>
      <c r="B4" s="90" t="s">
        <v>110</v>
      </c>
      <c r="C4" s="148">
        <v>44.423000000000002</v>
      </c>
      <c r="D4" s="148">
        <v>50.657000000000004</v>
      </c>
      <c r="E4" s="148">
        <v>50.897999999999996</v>
      </c>
      <c r="F4" s="148">
        <v>54.251000000000005</v>
      </c>
      <c r="G4" s="148">
        <v>55.814999999999998</v>
      </c>
      <c r="H4" s="148">
        <v>56.427999999999997</v>
      </c>
      <c r="I4" s="148">
        <v>55.700999999999993</v>
      </c>
      <c r="K4" s="140"/>
      <c r="L4" s="140"/>
      <c r="M4" s="140"/>
      <c r="N4" s="140"/>
      <c r="O4" s="140"/>
      <c r="P4" s="140"/>
      <c r="Q4" s="140"/>
    </row>
    <row r="5" spans="1:17" ht="15" customHeight="1">
      <c r="A5" s="90">
        <v>2</v>
      </c>
      <c r="B5" s="90" t="s">
        <v>123</v>
      </c>
      <c r="C5" s="148">
        <v>32.61</v>
      </c>
      <c r="D5" s="148">
        <v>31.82</v>
      </c>
      <c r="E5" s="148">
        <v>28.828000000000003</v>
      </c>
      <c r="F5" s="148">
        <v>28.716000000000001</v>
      </c>
      <c r="G5" s="148">
        <v>27.490000000000002</v>
      </c>
      <c r="H5" s="148">
        <v>27.492000000000001</v>
      </c>
      <c r="I5" s="148">
        <v>27.492000000000001</v>
      </c>
      <c r="K5" s="140"/>
      <c r="L5" s="140"/>
      <c r="M5" s="140"/>
      <c r="N5" s="140"/>
      <c r="O5" s="140"/>
      <c r="P5" s="140"/>
      <c r="Q5" s="140"/>
    </row>
    <row r="6" spans="1:17" ht="15" customHeight="1">
      <c r="A6" s="90">
        <v>3</v>
      </c>
      <c r="B6" s="90" t="s">
        <v>96</v>
      </c>
      <c r="C6" s="148">
        <v>119.31599999999999</v>
      </c>
      <c r="D6" s="148">
        <v>126.21300000000001</v>
      </c>
      <c r="E6" s="148">
        <v>124.851</v>
      </c>
      <c r="F6" s="148">
        <v>151.55799999999999</v>
      </c>
      <c r="G6" s="148">
        <v>125.99300000000001</v>
      </c>
      <c r="H6" s="148">
        <v>126.11400000000002</v>
      </c>
      <c r="I6" s="148">
        <v>126.16200000000001</v>
      </c>
      <c r="K6" s="140"/>
      <c r="L6" s="140"/>
      <c r="M6" s="140"/>
      <c r="N6" s="140"/>
      <c r="O6" s="140"/>
      <c r="P6" s="140"/>
      <c r="Q6" s="140"/>
    </row>
    <row r="7" spans="1:17" ht="15" customHeight="1">
      <c r="A7" s="90">
        <v>4</v>
      </c>
      <c r="B7" s="90" t="s">
        <v>323</v>
      </c>
      <c r="C7" s="148">
        <v>74.63</v>
      </c>
      <c r="D7" s="148">
        <v>89.288999999999973</v>
      </c>
      <c r="E7" s="148">
        <v>83.134999999999977</v>
      </c>
      <c r="F7" s="148">
        <v>82.397999999999954</v>
      </c>
      <c r="G7" s="148">
        <v>79.203999999999979</v>
      </c>
      <c r="H7" s="148">
        <v>75.149999999999963</v>
      </c>
      <c r="I7" s="148">
        <v>75.951999999999956</v>
      </c>
      <c r="K7" s="140"/>
      <c r="L7" s="140"/>
      <c r="M7" s="140"/>
      <c r="N7" s="140"/>
      <c r="O7" s="140"/>
      <c r="P7" s="140"/>
      <c r="Q7" s="140"/>
    </row>
    <row r="8" spans="1:17" ht="15" customHeight="1">
      <c r="A8" s="90">
        <v>5</v>
      </c>
      <c r="B8" s="90" t="s">
        <v>173</v>
      </c>
      <c r="C8" s="148">
        <v>125.54399999999998</v>
      </c>
      <c r="D8" s="148">
        <v>286.59200000000004</v>
      </c>
      <c r="E8" s="148">
        <v>142.19999999999999</v>
      </c>
      <c r="F8" s="148">
        <v>135.49599999999998</v>
      </c>
      <c r="G8" s="148">
        <v>123.726</v>
      </c>
      <c r="H8" s="148">
        <v>119.31399999999999</v>
      </c>
      <c r="I8" s="148">
        <v>115.149</v>
      </c>
      <c r="K8" s="204"/>
      <c r="L8" s="140"/>
      <c r="M8" s="140"/>
      <c r="N8" s="140"/>
      <c r="O8" s="140"/>
      <c r="P8" s="140"/>
      <c r="Q8" s="140"/>
    </row>
    <row r="9" spans="1:17" ht="15" customHeight="1">
      <c r="A9" s="90">
        <v>6</v>
      </c>
      <c r="B9" s="90" t="s">
        <v>174</v>
      </c>
      <c r="C9" s="148">
        <v>303.21999999999997</v>
      </c>
      <c r="D9" s="148">
        <v>343.06699999999995</v>
      </c>
      <c r="E9" s="148">
        <v>362.58000000000004</v>
      </c>
      <c r="F9" s="148">
        <v>390.59100000000007</v>
      </c>
      <c r="G9" s="148">
        <v>397.23599999999999</v>
      </c>
      <c r="H9" s="148">
        <v>402.303</v>
      </c>
      <c r="I9" s="148">
        <v>391.69900000000001</v>
      </c>
      <c r="K9" s="140"/>
      <c r="L9" s="140"/>
      <c r="M9" s="140"/>
      <c r="N9" s="140"/>
      <c r="O9" s="140"/>
      <c r="P9" s="140"/>
      <c r="Q9" s="140"/>
    </row>
    <row r="10" spans="1:17" ht="15" customHeight="1">
      <c r="A10" s="90">
        <v>7</v>
      </c>
      <c r="B10" s="90" t="s">
        <v>100</v>
      </c>
      <c r="C10" s="148">
        <v>225.79499999999999</v>
      </c>
      <c r="D10" s="148">
        <v>272.08099999999996</v>
      </c>
      <c r="E10" s="148">
        <v>306.33300000000003</v>
      </c>
      <c r="F10" s="148">
        <v>286.24</v>
      </c>
      <c r="G10" s="148">
        <v>269.37800000000004</v>
      </c>
      <c r="H10" s="148">
        <v>251.96500000000003</v>
      </c>
      <c r="I10" s="148">
        <v>245.74200000000002</v>
      </c>
      <c r="K10" s="140"/>
      <c r="L10" s="140"/>
      <c r="M10" s="140"/>
      <c r="N10" s="140"/>
      <c r="O10" s="140"/>
      <c r="P10" s="140"/>
      <c r="Q10" s="140"/>
    </row>
    <row r="11" spans="1:17" ht="15" customHeight="1">
      <c r="A11" s="90">
        <v>8</v>
      </c>
      <c r="B11" s="90" t="s">
        <v>219</v>
      </c>
      <c r="C11" s="148">
        <v>104.24699999999999</v>
      </c>
      <c r="D11" s="148">
        <v>131.13400000000001</v>
      </c>
      <c r="E11" s="148">
        <v>116.81200000000001</v>
      </c>
      <c r="F11" s="148">
        <v>122.398</v>
      </c>
      <c r="G11" s="148">
        <v>124.73299999999998</v>
      </c>
      <c r="H11" s="148">
        <v>123.208</v>
      </c>
      <c r="I11" s="148">
        <v>119.00599999999997</v>
      </c>
      <c r="K11" s="140"/>
      <c r="L11" s="140"/>
      <c r="M11" s="140"/>
      <c r="N11" s="140"/>
      <c r="O11" s="140"/>
      <c r="P11" s="140"/>
      <c r="Q11" s="140"/>
    </row>
    <row r="12" spans="1:17" ht="15" customHeight="1">
      <c r="A12" s="90">
        <v>9</v>
      </c>
      <c r="B12" s="90" t="s">
        <v>107</v>
      </c>
      <c r="C12" s="148">
        <v>28.533000000000001</v>
      </c>
      <c r="D12" s="148">
        <v>27.948</v>
      </c>
      <c r="E12" s="148">
        <v>24.490000000000002</v>
      </c>
      <c r="F12" s="148">
        <v>23.544</v>
      </c>
      <c r="G12" s="148">
        <v>21.052000000000003</v>
      </c>
      <c r="H12" s="148">
        <v>19.852</v>
      </c>
      <c r="I12" s="148">
        <v>19.852</v>
      </c>
      <c r="K12" s="140"/>
      <c r="L12" s="140"/>
      <c r="M12" s="140"/>
      <c r="N12" s="140"/>
      <c r="O12" s="140"/>
      <c r="P12" s="140"/>
      <c r="Q12" s="140"/>
    </row>
    <row r="13" spans="1:17" ht="15" customHeight="1">
      <c r="A13" s="90">
        <v>10</v>
      </c>
      <c r="B13" s="90" t="s">
        <v>68</v>
      </c>
      <c r="C13" s="148">
        <v>21.380000000000003</v>
      </c>
      <c r="D13" s="148">
        <v>22.077999999999999</v>
      </c>
      <c r="E13" s="148">
        <v>21.492999999999999</v>
      </c>
      <c r="F13" s="148">
        <v>21.641999999999996</v>
      </c>
      <c r="G13" s="148">
        <v>21.723999999999997</v>
      </c>
      <c r="H13" s="148">
        <v>21.416</v>
      </c>
      <c r="I13" s="148">
        <v>21.291</v>
      </c>
      <c r="K13" s="140"/>
      <c r="L13" s="140"/>
      <c r="M13" s="140"/>
      <c r="N13" s="140"/>
      <c r="O13" s="140"/>
      <c r="P13" s="140"/>
      <c r="Q13" s="140"/>
    </row>
    <row r="14" spans="1:17" ht="15" customHeight="1">
      <c r="A14" s="90">
        <v>11</v>
      </c>
      <c r="B14" s="90" t="s">
        <v>220</v>
      </c>
      <c r="C14" s="148">
        <v>85.224000000000004</v>
      </c>
      <c r="D14" s="148">
        <v>86.534000000000006</v>
      </c>
      <c r="E14" s="148">
        <v>78.759000000000015</v>
      </c>
      <c r="F14" s="148">
        <v>76.750999999999991</v>
      </c>
      <c r="G14" s="148">
        <v>76.727000000000004</v>
      </c>
      <c r="H14" s="148">
        <v>76.88</v>
      </c>
      <c r="I14" s="148">
        <v>77.10899999999998</v>
      </c>
      <c r="K14" s="140"/>
      <c r="L14" s="140"/>
      <c r="M14" s="140"/>
      <c r="N14" s="140"/>
      <c r="O14" s="140"/>
      <c r="P14" s="140"/>
      <c r="Q14" s="140"/>
    </row>
    <row r="15" spans="1:17" ht="15" customHeight="1">
      <c r="A15" s="90">
        <v>12</v>
      </c>
      <c r="B15" s="143" t="s">
        <v>221</v>
      </c>
      <c r="C15" s="148">
        <v>2797.1860000000001</v>
      </c>
      <c r="D15" s="148">
        <v>2868.9369999999999</v>
      </c>
      <c r="E15" s="148">
        <v>2902.7240000000002</v>
      </c>
      <c r="F15" s="148">
        <v>2933.6669999999999</v>
      </c>
      <c r="G15" s="148">
        <v>2920.933</v>
      </c>
      <c r="H15" s="148">
        <v>2928.3190000000004</v>
      </c>
      <c r="I15" s="148">
        <v>2951.6590000000001</v>
      </c>
      <c r="K15" s="140"/>
      <c r="L15" s="147"/>
      <c r="M15" s="147"/>
      <c r="N15" s="147"/>
      <c r="O15" s="147"/>
      <c r="P15" s="147"/>
      <c r="Q15" s="147"/>
    </row>
    <row r="16" spans="1:17">
      <c r="A16" s="90">
        <v>13</v>
      </c>
      <c r="B16" s="143" t="s">
        <v>223</v>
      </c>
      <c r="C16" s="148">
        <v>941.07799999999986</v>
      </c>
      <c r="D16" s="148">
        <v>1162.8140000000001</v>
      </c>
      <c r="E16" s="148">
        <v>1207.0519999999999</v>
      </c>
      <c r="F16" s="148">
        <v>1185.4750000000001</v>
      </c>
      <c r="G16" s="148">
        <v>1181.4370000000001</v>
      </c>
      <c r="H16" s="148">
        <v>1181.1299999999999</v>
      </c>
      <c r="I16" s="148">
        <v>1179.5039999999997</v>
      </c>
      <c r="K16" s="140"/>
      <c r="L16" s="140"/>
      <c r="M16" s="140"/>
      <c r="N16" s="140"/>
      <c r="O16" s="140"/>
      <c r="P16" s="140"/>
      <c r="Q16" s="140"/>
    </row>
    <row r="17" spans="1:17" ht="15" customHeight="1">
      <c r="A17" s="90">
        <v>14</v>
      </c>
      <c r="B17" s="90" t="s">
        <v>54</v>
      </c>
      <c r="C17" s="148">
        <v>54.756000000000007</v>
      </c>
      <c r="D17" s="148">
        <v>67.112000000000009</v>
      </c>
      <c r="E17" s="148">
        <v>71.694000000000003</v>
      </c>
      <c r="F17" s="148">
        <v>73.965999999999994</v>
      </c>
      <c r="G17" s="148">
        <v>75.817000000000007</v>
      </c>
      <c r="H17" s="148">
        <v>75.725000000000009</v>
      </c>
      <c r="I17" s="148">
        <v>75.725000000000009</v>
      </c>
      <c r="K17" s="164"/>
      <c r="L17" s="164"/>
      <c r="M17" s="206"/>
      <c r="N17" s="206"/>
      <c r="O17" s="206"/>
      <c r="P17" s="206"/>
      <c r="Q17" s="206"/>
    </row>
    <row r="18" spans="1:17" s="100" customFormat="1" ht="15" customHeight="1">
      <c r="A18" s="33"/>
      <c r="B18" s="33" t="s">
        <v>147</v>
      </c>
      <c r="C18" s="145">
        <f>SUM(C4:C17)</f>
        <v>4957.942</v>
      </c>
      <c r="D18" s="145">
        <f>SUM(D4:D17)</f>
        <v>5566.2760000000007</v>
      </c>
      <c r="E18" s="145">
        <f t="shared" ref="E18:I18" si="0">SUM(E4:E17)</f>
        <v>5521.8490000000002</v>
      </c>
      <c r="F18" s="145">
        <f t="shared" si="0"/>
        <v>5566.6930000000011</v>
      </c>
      <c r="G18" s="145">
        <f t="shared" si="0"/>
        <v>5501.2650000000003</v>
      </c>
      <c r="H18" s="145">
        <f t="shared" si="0"/>
        <v>5485.2960000000012</v>
      </c>
      <c r="I18" s="145">
        <f t="shared" si="0"/>
        <v>5482.0430000000006</v>
      </c>
    </row>
    <row r="19" spans="1:17" ht="15" customHeight="1">
      <c r="C19" s="149"/>
      <c r="D19" s="149"/>
      <c r="E19" s="149"/>
      <c r="F19" s="149"/>
      <c r="G19" s="149"/>
      <c r="H19" s="149"/>
      <c r="I19" s="149"/>
      <c r="K19" s="146"/>
      <c r="L19" s="146"/>
      <c r="M19" s="146"/>
      <c r="N19" s="146"/>
      <c r="O19" s="146"/>
      <c r="P19" s="146"/>
      <c r="Q19" s="146"/>
    </row>
    <row r="20" spans="1:17" ht="15" customHeight="1">
      <c r="C20" s="149"/>
      <c r="D20" s="205"/>
      <c r="E20" s="205"/>
      <c r="F20" s="205"/>
      <c r="G20" s="205"/>
      <c r="H20" s="205"/>
      <c r="I20" s="205"/>
      <c r="K20" s="146"/>
      <c r="L20" s="146"/>
      <c r="M20" s="146"/>
      <c r="N20" s="146"/>
      <c r="O20" s="146"/>
      <c r="P20" s="146"/>
      <c r="Q20" s="146"/>
    </row>
    <row r="21" spans="1:17" ht="15" customHeight="1">
      <c r="C21" s="149"/>
      <c r="D21" s="149"/>
      <c r="E21" s="149"/>
      <c r="F21" s="149"/>
      <c r="G21" s="149"/>
      <c r="H21" s="149"/>
      <c r="I21" s="149"/>
      <c r="K21" s="146"/>
      <c r="L21" s="146"/>
      <c r="M21" s="146"/>
      <c r="N21" s="146"/>
      <c r="O21" s="146"/>
      <c r="P21" s="146"/>
      <c r="Q21" s="146"/>
    </row>
    <row r="22" spans="1:17" s="90" customFormat="1" ht="15" customHeight="1">
      <c r="B22" s="33" t="s">
        <v>318</v>
      </c>
      <c r="C22" s="33">
        <f>C3</f>
        <v>2017</v>
      </c>
      <c r="D22" s="33">
        <f t="shared" ref="D22:I22" si="1">D3</f>
        <v>2018</v>
      </c>
      <c r="E22" s="33">
        <f t="shared" si="1"/>
        <v>2019</v>
      </c>
      <c r="F22" s="33">
        <f t="shared" si="1"/>
        <v>2020</v>
      </c>
      <c r="G22" s="33">
        <f t="shared" si="1"/>
        <v>2021</v>
      </c>
      <c r="H22" s="33">
        <f t="shared" si="1"/>
        <v>2022</v>
      </c>
      <c r="I22" s="33">
        <f t="shared" si="1"/>
        <v>2023</v>
      </c>
    </row>
    <row r="23" spans="1:17" s="90" customFormat="1" ht="15" customHeight="1">
      <c r="A23" s="90">
        <v>1</v>
      </c>
      <c r="B23" s="90" t="s">
        <v>110</v>
      </c>
      <c r="C23" s="142">
        <f>+C4/C$18*100</f>
        <v>0.89599676640025239</v>
      </c>
      <c r="D23" s="142">
        <f t="shared" ref="D23:I23" si="2">+D4/D$18*100</f>
        <v>0.910069856399503</v>
      </c>
      <c r="E23" s="142">
        <f t="shared" si="2"/>
        <v>0.92175646237338238</v>
      </c>
      <c r="F23" s="142">
        <f t="shared" si="2"/>
        <v>0.97456425206132247</v>
      </c>
      <c r="G23" s="142">
        <f t="shared" si="2"/>
        <v>1.014584827307901</v>
      </c>
      <c r="H23" s="142">
        <f t="shared" si="2"/>
        <v>1.0287138560981939</v>
      </c>
      <c r="I23" s="142">
        <f t="shared" si="2"/>
        <v>1.0160628072417526</v>
      </c>
    </row>
    <row r="24" spans="1:17" s="90" customFormat="1" ht="15" customHeight="1">
      <c r="A24" s="90">
        <v>2</v>
      </c>
      <c r="B24" s="90" t="s">
        <v>123</v>
      </c>
      <c r="C24" s="142">
        <f t="shared" ref="C24:C30" si="3">+C5/C$18*100</f>
        <v>0.65773258339851493</v>
      </c>
      <c r="D24" s="142">
        <f t="shared" ref="D24:I24" si="4">+D5/D$18*100</f>
        <v>0.57165688514187929</v>
      </c>
      <c r="E24" s="142">
        <f t="shared" si="4"/>
        <v>0.52207150177413408</v>
      </c>
      <c r="F24" s="142">
        <f t="shared" si="4"/>
        <v>0.51585384715844751</v>
      </c>
      <c r="G24" s="142">
        <f t="shared" si="4"/>
        <v>0.49970325007066563</v>
      </c>
      <c r="H24" s="142">
        <f t="shared" si="4"/>
        <v>0.5011944660780383</v>
      </c>
      <c r="I24" s="142">
        <f t="shared" si="4"/>
        <v>0.50149187082261115</v>
      </c>
    </row>
    <row r="25" spans="1:17" s="90" customFormat="1" ht="15" customHeight="1">
      <c r="A25" s="90">
        <v>3</v>
      </c>
      <c r="B25" s="90" t="s">
        <v>96</v>
      </c>
      <c r="C25" s="142">
        <f t="shared" si="3"/>
        <v>2.4065630457153389</v>
      </c>
      <c r="D25" s="142">
        <f t="shared" ref="D25:I25" si="5">+D6/D$18*100</f>
        <v>2.267458530622628</v>
      </c>
      <c r="E25" s="142">
        <f t="shared" si="5"/>
        <v>2.2610361130845842</v>
      </c>
      <c r="F25" s="142">
        <f t="shared" si="5"/>
        <v>2.7225859230965308</v>
      </c>
      <c r="G25" s="142">
        <f t="shared" si="5"/>
        <v>2.2902550595181292</v>
      </c>
      <c r="H25" s="142">
        <f t="shared" si="5"/>
        <v>2.2991284335430575</v>
      </c>
      <c r="I25" s="142">
        <f t="shared" si="5"/>
        <v>2.301368303750992</v>
      </c>
    </row>
    <row r="26" spans="1:17" s="90" customFormat="1" ht="15" customHeight="1">
      <c r="A26" s="90">
        <v>4</v>
      </c>
      <c r="B26" s="90" t="s">
        <v>323</v>
      </c>
      <c r="C26" s="142">
        <f t="shared" si="3"/>
        <v>1.5052616589705969</v>
      </c>
      <c r="D26" s="142">
        <f t="shared" ref="D26:I26" si="6">+D7/D$18*100</f>
        <v>1.6041065876000393</v>
      </c>
      <c r="E26" s="142">
        <f t="shared" si="6"/>
        <v>1.5055645310112604</v>
      </c>
      <c r="F26" s="142">
        <f t="shared" si="6"/>
        <v>1.4801965906867853</v>
      </c>
      <c r="G26" s="142">
        <f t="shared" si="6"/>
        <v>1.4397415867077841</v>
      </c>
      <c r="H26" s="142">
        <f t="shared" si="6"/>
        <v>1.3700263395083865</v>
      </c>
      <c r="I26" s="142">
        <f t="shared" si="6"/>
        <v>1.3854688845016347</v>
      </c>
    </row>
    <row r="27" spans="1:17" s="90" customFormat="1" ht="15" customHeight="1">
      <c r="A27" s="90">
        <v>5</v>
      </c>
      <c r="B27" s="90" t="s">
        <v>173</v>
      </c>
      <c r="C27" s="142">
        <f t="shared" si="3"/>
        <v>2.5321796826183118</v>
      </c>
      <c r="D27" s="142">
        <f t="shared" ref="D27:I27" si="7">+D8/D$18*100</f>
        <v>5.1487206168001727</v>
      </c>
      <c r="E27" s="142">
        <f t="shared" si="7"/>
        <v>2.5752243496698295</v>
      </c>
      <c r="F27" s="142">
        <f t="shared" si="7"/>
        <v>2.4340483658789869</v>
      </c>
      <c r="G27" s="142">
        <f t="shared" si="7"/>
        <v>2.2490463557018248</v>
      </c>
      <c r="H27" s="142">
        <f t="shared" si="7"/>
        <v>2.1751606476660506</v>
      </c>
      <c r="I27" s="142">
        <f t="shared" si="7"/>
        <v>2.1004760451532394</v>
      </c>
    </row>
    <row r="28" spans="1:17" s="90" customFormat="1" ht="15" customHeight="1">
      <c r="A28" s="90">
        <v>6</v>
      </c>
      <c r="B28" s="90" t="s">
        <v>174</v>
      </c>
      <c r="C28" s="142">
        <f t="shared" si="3"/>
        <v>6.1158440336736488</v>
      </c>
      <c r="D28" s="142">
        <f t="shared" ref="D28:I28" si="8">+D9/D$18*100</f>
        <v>6.163312778597394</v>
      </c>
      <c r="E28" s="142">
        <f t="shared" si="8"/>
        <v>6.5662787953817654</v>
      </c>
      <c r="F28" s="142">
        <f t="shared" si="8"/>
        <v>7.0165715982541164</v>
      </c>
      <c r="G28" s="142">
        <f t="shared" si="8"/>
        <v>7.2208119405264064</v>
      </c>
      <c r="H28" s="142">
        <f t="shared" si="8"/>
        <v>7.3342076708348998</v>
      </c>
      <c r="I28" s="142">
        <f t="shared" si="8"/>
        <v>7.145128193996289</v>
      </c>
    </row>
    <row r="29" spans="1:17" s="90" customFormat="1" ht="15" customHeight="1">
      <c r="A29" s="90">
        <v>7</v>
      </c>
      <c r="B29" s="90" t="s">
        <v>100</v>
      </c>
      <c r="C29" s="142">
        <f t="shared" si="3"/>
        <v>4.5542081775059087</v>
      </c>
      <c r="D29" s="142">
        <f t="shared" ref="D29:I29" si="9">+D10/D$18*100</f>
        <v>4.8880256746162054</v>
      </c>
      <c r="E29" s="142">
        <f t="shared" si="9"/>
        <v>5.5476526069437977</v>
      </c>
      <c r="F29" s="142">
        <f t="shared" si="9"/>
        <v>5.1420116036576831</v>
      </c>
      <c r="G29" s="142">
        <f t="shared" si="9"/>
        <v>4.896655587396717</v>
      </c>
      <c r="H29" s="142">
        <f t="shared" si="9"/>
        <v>4.5934622306617543</v>
      </c>
      <c r="I29" s="142">
        <f t="shared" si="9"/>
        <v>4.4826718798083123</v>
      </c>
    </row>
    <row r="30" spans="1:17" s="90" customFormat="1" ht="15" customHeight="1">
      <c r="A30" s="90">
        <v>8</v>
      </c>
      <c r="B30" s="90" t="s">
        <v>219</v>
      </c>
      <c r="C30" s="142">
        <f t="shared" si="3"/>
        <v>2.1026264526692726</v>
      </c>
      <c r="D30" s="142">
        <f t="shared" ref="D30:I30" si="10">+D11/D$18*100</f>
        <v>2.3558659326271281</v>
      </c>
      <c r="E30" s="142">
        <f t="shared" si="10"/>
        <v>2.1154508209116187</v>
      </c>
      <c r="F30" s="142">
        <f t="shared" si="10"/>
        <v>2.1987560657647185</v>
      </c>
      <c r="G30" s="142">
        <f t="shared" si="10"/>
        <v>2.2673512364883344</v>
      </c>
      <c r="H30" s="142">
        <f t="shared" si="10"/>
        <v>2.2461504356373831</v>
      </c>
      <c r="I30" s="142">
        <f t="shared" si="10"/>
        <v>2.1708330270302509</v>
      </c>
    </row>
    <row r="31" spans="1:17" s="90" customFormat="1" ht="15" customHeight="1">
      <c r="A31" s="90">
        <v>9</v>
      </c>
      <c r="B31" s="90" t="s">
        <v>107</v>
      </c>
      <c r="C31" s="142">
        <f t="shared" ref="C31:I31" si="11">+C12/C$18*100</f>
        <v>0.57550088322937221</v>
      </c>
      <c r="D31" s="142">
        <f t="shared" si="11"/>
        <v>0.5020951170944451</v>
      </c>
      <c r="E31" s="142">
        <f t="shared" si="11"/>
        <v>0.44351086022091518</v>
      </c>
      <c r="F31" s="142">
        <f t="shared" si="11"/>
        <v>0.42294410703087087</v>
      </c>
      <c r="G31" s="142">
        <f t="shared" si="11"/>
        <v>0.38267562097081315</v>
      </c>
      <c r="H31" s="142">
        <f t="shared" si="11"/>
        <v>0.36191301253387226</v>
      </c>
      <c r="I31" s="142">
        <f t="shared" si="11"/>
        <v>0.36212776878984715</v>
      </c>
    </row>
    <row r="32" spans="1:17" s="90" customFormat="1" ht="15" customHeight="1">
      <c r="A32" s="90">
        <v>10</v>
      </c>
      <c r="B32" s="90" t="s">
        <v>68</v>
      </c>
      <c r="C32" s="142">
        <f t="shared" ref="C32:I32" si="12">+C13/C$18*100</f>
        <v>0.4312273116547149</v>
      </c>
      <c r="D32" s="142">
        <f t="shared" si="12"/>
        <v>0.39663861439856729</v>
      </c>
      <c r="E32" s="142">
        <f t="shared" si="12"/>
        <v>0.38923556221838007</v>
      </c>
      <c r="F32" s="142">
        <f t="shared" si="12"/>
        <v>0.38877660399091513</v>
      </c>
      <c r="G32" s="142">
        <f t="shared" si="12"/>
        <v>0.39489099325336985</v>
      </c>
      <c r="H32" s="142">
        <f t="shared" si="12"/>
        <v>0.39042560328558379</v>
      </c>
      <c r="I32" s="142">
        <f t="shared" si="12"/>
        <v>0.38837710685596594</v>
      </c>
    </row>
    <row r="33" spans="1:9" s="90" customFormat="1" ht="15" customHeight="1">
      <c r="A33" s="90">
        <v>11</v>
      </c>
      <c r="B33" s="90" t="s">
        <v>220</v>
      </c>
      <c r="C33" s="142">
        <f t="shared" ref="C33:I33" si="13">+C14/C$18*100</f>
        <v>1.7189390275239202</v>
      </c>
      <c r="D33" s="142">
        <f t="shared" si="13"/>
        <v>1.5546120961303391</v>
      </c>
      <c r="E33" s="142">
        <f t="shared" si="13"/>
        <v>1.4263157141747269</v>
      </c>
      <c r="F33" s="142">
        <f t="shared" si="13"/>
        <v>1.378753956792659</v>
      </c>
      <c r="G33" s="142">
        <f t="shared" si="13"/>
        <v>1.3947155790531816</v>
      </c>
      <c r="H33" s="142">
        <f t="shared" si="13"/>
        <v>1.4015652026800374</v>
      </c>
      <c r="I33" s="142">
        <f t="shared" si="13"/>
        <v>1.4065741549272774</v>
      </c>
    </row>
    <row r="34" spans="1:9" s="90" customFormat="1" ht="15" customHeight="1">
      <c r="A34" s="90">
        <v>12</v>
      </c>
      <c r="B34" s="143" t="s">
        <v>221</v>
      </c>
      <c r="C34" s="142">
        <f t="shared" ref="C34:I34" si="14">+C15/C$18*100</f>
        <v>56.418288071945987</v>
      </c>
      <c r="D34" s="142">
        <f t="shared" si="14"/>
        <v>51.541407576627527</v>
      </c>
      <c r="E34" s="142">
        <f t="shared" si="14"/>
        <v>52.567971344381206</v>
      </c>
      <c r="F34" s="142">
        <f t="shared" si="14"/>
        <v>52.700355489336289</v>
      </c>
      <c r="G34" s="142">
        <f t="shared" si="14"/>
        <v>53.095660725305905</v>
      </c>
      <c r="H34" s="142">
        <f t="shared" si="14"/>
        <v>53.384885701701414</v>
      </c>
      <c r="I34" s="142">
        <f t="shared" si="14"/>
        <v>53.842317544754749</v>
      </c>
    </row>
    <row r="35" spans="1:9" s="90" customFormat="1" ht="15" customHeight="1">
      <c r="A35" s="90">
        <v>13</v>
      </c>
      <c r="B35" s="143" t="s">
        <v>223</v>
      </c>
      <c r="C35" s="142">
        <f t="shared" ref="C35:I35" si="15">+C16/C$18*100</f>
        <v>18.981222450766868</v>
      </c>
      <c r="D35" s="142">
        <f t="shared" si="15"/>
        <v>20.89034032807572</v>
      </c>
      <c r="E35" s="142">
        <f t="shared" si="15"/>
        <v>21.859561896748716</v>
      </c>
      <c r="F35" s="142">
        <f t="shared" si="15"/>
        <v>21.295857342950292</v>
      </c>
      <c r="G35" s="142">
        <f t="shared" si="15"/>
        <v>21.475733308611748</v>
      </c>
      <c r="H35" s="142">
        <f t="shared" si="15"/>
        <v>21.532657490133616</v>
      </c>
      <c r="I35" s="142">
        <f t="shared" si="15"/>
        <v>21.515774319902263</v>
      </c>
    </row>
    <row r="36" spans="1:9" s="90" customFormat="1" ht="15" customHeight="1">
      <c r="A36" s="90">
        <v>14</v>
      </c>
      <c r="B36" s="90" t="s">
        <v>54</v>
      </c>
      <c r="C36" s="142">
        <f t="shared" ref="C36:I36" si="16">+C17/C$18*100</f>
        <v>1.1044098539272951</v>
      </c>
      <c r="D36" s="142">
        <f t="shared" si="16"/>
        <v>1.2056894052684417</v>
      </c>
      <c r="E36" s="142">
        <f t="shared" si="16"/>
        <v>1.2983694411056876</v>
      </c>
      <c r="F36" s="142">
        <f t="shared" si="16"/>
        <v>1.328724253340358</v>
      </c>
      <c r="G36" s="142">
        <f t="shared" si="16"/>
        <v>1.378173929087219</v>
      </c>
      <c r="H36" s="142">
        <f t="shared" si="16"/>
        <v>1.380508909637693</v>
      </c>
      <c r="I36" s="142">
        <f t="shared" si="16"/>
        <v>1.3813280924647982</v>
      </c>
    </row>
    <row r="37" spans="1:9" s="33" customFormat="1" ht="15" customHeight="1">
      <c r="B37" s="33" t="s">
        <v>147</v>
      </c>
      <c r="C37" s="144">
        <f t="shared" ref="C37:I37" si="17">SUM(C23:C36)</f>
        <v>100</v>
      </c>
      <c r="D37" s="144">
        <f t="shared" si="17"/>
        <v>100</v>
      </c>
      <c r="E37" s="144">
        <f t="shared" si="17"/>
        <v>100.00000000000001</v>
      </c>
      <c r="F37" s="144">
        <f t="shared" si="17"/>
        <v>99.999999999999957</v>
      </c>
      <c r="G37" s="144">
        <f t="shared" si="17"/>
        <v>100</v>
      </c>
      <c r="H37" s="144">
        <f t="shared" si="17"/>
        <v>99.999999999999986</v>
      </c>
      <c r="I37" s="144">
        <f t="shared" si="17"/>
        <v>99.999999999999986</v>
      </c>
    </row>
    <row r="38" spans="1:9" s="90" customFormat="1" ht="15" customHeight="1"/>
    <row r="39" spans="1:9" s="90" customFormat="1" ht="15" customHeight="1"/>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Inhoud</vt:lpstr>
      <vt:lpstr>Toelichting</vt:lpstr>
      <vt:lpstr>Totaal</vt:lpstr>
      <vt:lpstr>R&amp;D</vt:lpstr>
      <vt:lpstr>Innovatie</vt:lpstr>
      <vt:lpstr>R&amp;D + Innovatie</vt:lpstr>
      <vt:lpstr>Fiscaal</vt:lpstr>
      <vt:lpstr>Type</vt:lpstr>
      <vt:lpstr>NABS 2007</vt:lpstr>
      <vt:lpstr>Fiscaal!Print_Area</vt:lpstr>
      <vt:lpstr>Inhoud!Print_Area</vt:lpstr>
      <vt:lpstr>Innovatie!Print_Area</vt:lpstr>
      <vt:lpstr>'R&amp;D'!Print_Area</vt:lpstr>
      <vt:lpstr>Toelichting!Print_Area</vt:lpstr>
      <vt:lpstr>Innovatie!Print_Titles</vt:lpstr>
      <vt:lpstr>'R&amp;D'!Print_Titles</vt:lpstr>
      <vt:lpstr>Type!Print_Titles</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Alexandra Vennekens</cp:lastModifiedBy>
  <cp:lastPrinted>2018-12-17T10:49:20Z</cp:lastPrinted>
  <dcterms:created xsi:type="dcterms:W3CDTF">2013-11-20T12:43:27Z</dcterms:created>
  <dcterms:modified xsi:type="dcterms:W3CDTF">2019-04-12T08:54:05Z</dcterms:modified>
</cp:coreProperties>
</file>