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Q:\Microdata\Factsheets en datapublicaties\1 - Geld\Achterliggende bestanden\"/>
    </mc:Choice>
  </mc:AlternateContent>
  <bookViews>
    <workbookView xWindow="11550" yWindow="-225" windowWidth="10080" windowHeight="9615" firstSheet="3" activeTab="4"/>
  </bookViews>
  <sheets>
    <sheet name="departementale kennisorg." sheetId="6" r:id="rId1"/>
    <sheet name="beleidsuitvoerende kennisorg." sheetId="2" r:id="rId2"/>
    <sheet name="TO2-instellingen" sheetId="3" r:id="rId3"/>
    <sheet name="sectorgeorienteerde stichtingen" sheetId="4" r:id="rId4"/>
    <sheet name="opleiding&amp;onderzoek" sheetId="5" r:id="rId5"/>
  </sheets>
  <calcPr calcId="162913"/>
</workbook>
</file>

<file path=xl/calcChain.xml><?xml version="1.0" encoding="utf-8"?>
<calcChain xmlns="http://schemas.openxmlformats.org/spreadsheetml/2006/main">
  <c r="B51" i="5" l="1"/>
  <c r="B35" i="5"/>
  <c r="B8" i="4"/>
  <c r="B9" i="4"/>
  <c r="B10" i="4"/>
  <c r="B11" i="4"/>
  <c r="B12" i="4"/>
  <c r="B13" i="4"/>
  <c r="B14" i="4"/>
  <c r="B7" i="4"/>
  <c r="B187" i="4"/>
  <c r="B186" i="4"/>
  <c r="B171" i="4"/>
  <c r="B155" i="4"/>
  <c r="B139" i="4"/>
  <c r="B123" i="4"/>
  <c r="B107" i="4"/>
  <c r="B91" i="4"/>
  <c r="B75" i="4"/>
  <c r="B59" i="4"/>
  <c r="B46" i="4"/>
  <c r="B30" i="4"/>
  <c r="B94" i="3"/>
  <c r="B78" i="3"/>
  <c r="B62" i="3"/>
  <c r="B46" i="3" l="1"/>
  <c r="B18" i="3"/>
  <c r="B18" i="2" l="1"/>
  <c r="B50" i="2"/>
  <c r="B66" i="2"/>
  <c r="B66" i="6"/>
  <c r="B50" i="6"/>
  <c r="B34" i="6"/>
  <c r="B18" i="6"/>
  <c r="B34" i="5" l="1"/>
  <c r="B45" i="4"/>
  <c r="B74" i="4"/>
  <c r="B90" i="4"/>
  <c r="B138" i="4"/>
  <c r="B166" i="4"/>
  <c r="B167" i="4"/>
  <c r="B168" i="4"/>
  <c r="B169" i="4"/>
  <c r="B170" i="4"/>
  <c r="B182" i="4"/>
  <c r="B183" i="4"/>
  <c r="B184" i="4"/>
  <c r="B52" i="4"/>
  <c r="B53" i="4"/>
  <c r="B54" i="4"/>
  <c r="B55" i="4"/>
  <c r="B56" i="4"/>
  <c r="B57" i="4"/>
  <c r="B58" i="4"/>
  <c r="B51" i="4"/>
  <c r="B75" i="3"/>
  <c r="B76" i="3"/>
  <c r="B59" i="3"/>
  <c r="B60" i="3"/>
  <c r="B61" i="3"/>
  <c r="B43" i="3"/>
  <c r="B44" i="3"/>
  <c r="B12" i="3"/>
  <c r="B13" i="3"/>
  <c r="B14" i="3"/>
  <c r="B15" i="3"/>
  <c r="B16" i="3"/>
  <c r="B78" i="2"/>
  <c r="B79" i="2"/>
  <c r="B80" i="2"/>
  <c r="B63" i="2"/>
  <c r="B64" i="2"/>
  <c r="B47" i="2"/>
  <c r="B48" i="2"/>
  <c r="B49" i="2"/>
  <c r="B14" i="2"/>
  <c r="B15" i="2"/>
  <c r="B16" i="2"/>
  <c r="B17" i="2"/>
  <c r="B61" i="6"/>
  <c r="B62" i="6"/>
  <c r="B63" i="6"/>
  <c r="B64" i="6"/>
  <c r="B65" i="6"/>
  <c r="B47" i="6"/>
  <c r="B48" i="6"/>
  <c r="B49" i="6"/>
  <c r="B50" i="5" l="1"/>
  <c r="B29" i="4"/>
  <c r="B106" i="4"/>
  <c r="B122" i="4"/>
  <c r="B154" i="4"/>
  <c r="B77" i="3"/>
  <c r="B45" i="3"/>
  <c r="B17" i="3"/>
  <c r="B81" i="2"/>
  <c r="B65" i="2"/>
  <c r="E185" i="4"/>
  <c r="B185" i="4" s="1"/>
  <c r="E44" i="3" l="1"/>
  <c r="D105" i="4" l="1"/>
  <c r="C33" i="5" l="1"/>
  <c r="B60" i="6" l="1"/>
  <c r="B59" i="6"/>
  <c r="B58" i="6"/>
  <c r="B57" i="6"/>
  <c r="B56" i="6"/>
  <c r="B55" i="6"/>
  <c r="B46" i="6"/>
  <c r="B45" i="6"/>
  <c r="B44" i="6"/>
  <c r="B43" i="6"/>
  <c r="B42" i="6"/>
  <c r="B41" i="6"/>
  <c r="B40" i="6"/>
  <c r="B39" i="6"/>
  <c r="B30" i="6"/>
  <c r="B29" i="6"/>
  <c r="B28" i="6"/>
  <c r="B27" i="6"/>
  <c r="B26" i="6"/>
  <c r="B25" i="6"/>
  <c r="B24" i="6"/>
  <c r="B23" i="6"/>
  <c r="B14" i="6"/>
  <c r="B13" i="6"/>
  <c r="B12" i="6"/>
  <c r="B11" i="6"/>
  <c r="B10" i="6"/>
  <c r="B9" i="6"/>
  <c r="B8" i="6"/>
  <c r="B7" i="6"/>
  <c r="B151" i="4" l="1"/>
  <c r="B135" i="4"/>
  <c r="B119" i="4"/>
  <c r="B103" i="4"/>
  <c r="B87" i="4"/>
  <c r="B71" i="4"/>
  <c r="B42" i="4"/>
  <c r="B26" i="4"/>
  <c r="B90" i="3"/>
  <c r="B74" i="3"/>
  <c r="B58" i="3"/>
  <c r="B42" i="3"/>
  <c r="B62" i="2"/>
  <c r="B46" i="2"/>
  <c r="B47" i="5"/>
  <c r="B31" i="5"/>
  <c r="B14" i="5"/>
  <c r="B46" i="5" l="1"/>
  <c r="B30" i="5"/>
  <c r="B13" i="5"/>
  <c r="B89" i="3"/>
  <c r="B57" i="3"/>
  <c r="B41" i="3"/>
  <c r="B29" i="3"/>
  <c r="B13" i="2"/>
  <c r="B150" i="4"/>
  <c r="B134" i="4"/>
  <c r="B118" i="4"/>
  <c r="B102" i="4"/>
  <c r="B86" i="4"/>
  <c r="B41" i="4"/>
  <c r="B70" i="4" l="1"/>
  <c r="B25" i="4"/>
  <c r="D77" i="2"/>
  <c r="B77" i="2" s="1"/>
  <c r="E61" i="2" l="1"/>
  <c r="D61" i="2"/>
  <c r="B61" i="2" s="1"/>
  <c r="B45" i="2"/>
  <c r="B41" i="5" l="1"/>
  <c r="B42" i="5"/>
  <c r="B43" i="5"/>
  <c r="B44" i="5"/>
  <c r="B45" i="5"/>
  <c r="B40" i="5"/>
  <c r="B25" i="5"/>
  <c r="B26" i="5"/>
  <c r="B27" i="5"/>
  <c r="B28" i="5"/>
  <c r="B24" i="5"/>
  <c r="C29" i="5"/>
  <c r="B29" i="5" s="1"/>
  <c r="C12" i="5"/>
  <c r="B12" i="5" s="1"/>
  <c r="C11" i="5"/>
  <c r="B11" i="5" s="1"/>
  <c r="C10" i="5"/>
  <c r="B10" i="5" s="1"/>
  <c r="C9" i="5"/>
  <c r="B9" i="5" s="1"/>
  <c r="C8" i="5"/>
  <c r="B8" i="5" s="1"/>
  <c r="C7" i="5"/>
  <c r="B7" i="5" s="1"/>
  <c r="B177" i="4"/>
  <c r="B178" i="4"/>
  <c r="B179" i="4"/>
  <c r="B180" i="4"/>
  <c r="B181" i="4"/>
  <c r="B176" i="4"/>
  <c r="E164" i="4"/>
  <c r="B164" i="4" s="1"/>
  <c r="B161" i="4"/>
  <c r="B162" i="4"/>
  <c r="B163" i="4"/>
  <c r="B165" i="4"/>
  <c r="B160" i="4"/>
  <c r="E131" i="4"/>
  <c r="E130" i="4"/>
  <c r="E129" i="4"/>
  <c r="E128" i="4"/>
  <c r="E101" i="4" l="1"/>
  <c r="B101" i="4" s="1"/>
  <c r="E99" i="4"/>
  <c r="E98" i="4"/>
  <c r="B98" i="4" s="1"/>
  <c r="E97" i="4"/>
  <c r="B97" i="4" s="1"/>
  <c r="E96" i="4"/>
  <c r="B96" i="4" s="1"/>
  <c r="B99" i="4"/>
  <c r="B149" i="4"/>
  <c r="B148" i="4"/>
  <c r="B147" i="4"/>
  <c r="B146" i="4"/>
  <c r="B145" i="4"/>
  <c r="B144" i="4"/>
  <c r="B133" i="4"/>
  <c r="B132" i="4"/>
  <c r="B131" i="4"/>
  <c r="B130" i="4"/>
  <c r="B129" i="4"/>
  <c r="B128" i="4"/>
  <c r="B117" i="4"/>
  <c r="B116" i="4"/>
  <c r="B115" i="4"/>
  <c r="B114" i="4"/>
  <c r="B113" i="4"/>
  <c r="B112" i="4"/>
  <c r="B100" i="4"/>
  <c r="B85" i="4"/>
  <c r="B84" i="4"/>
  <c r="B83" i="4"/>
  <c r="B82" i="4"/>
  <c r="B81" i="4"/>
  <c r="B80" i="4"/>
  <c r="B69" i="4"/>
  <c r="B68" i="4"/>
  <c r="B67" i="4"/>
  <c r="B66" i="4"/>
  <c r="B65" i="4"/>
  <c r="B64" i="4"/>
  <c r="B40" i="4"/>
  <c r="B39" i="4"/>
  <c r="B38" i="4"/>
  <c r="B37" i="4"/>
  <c r="B36" i="4"/>
  <c r="B35" i="4"/>
  <c r="B24" i="4"/>
  <c r="B23" i="4"/>
  <c r="B22" i="4"/>
  <c r="B21" i="4"/>
  <c r="B20" i="4"/>
  <c r="B19" i="4"/>
  <c r="B84" i="3"/>
  <c r="B85" i="3"/>
  <c r="B86" i="3"/>
  <c r="B87" i="3"/>
  <c r="B83" i="3"/>
  <c r="C88" i="3"/>
  <c r="B88" i="3" s="1"/>
  <c r="B68" i="3"/>
  <c r="B69" i="3"/>
  <c r="B70" i="3"/>
  <c r="B71" i="3"/>
  <c r="B72" i="3"/>
  <c r="B67" i="3"/>
  <c r="C56" i="3"/>
  <c r="B56" i="3" s="1"/>
  <c r="C55" i="3"/>
  <c r="B55" i="3" s="1"/>
  <c r="C54" i="3"/>
  <c r="B54" i="3" s="1"/>
  <c r="C53" i="3"/>
  <c r="B53" i="3" s="1"/>
  <c r="C52" i="3"/>
  <c r="B52" i="3" s="1"/>
  <c r="C51" i="3"/>
  <c r="B51" i="3" s="1"/>
  <c r="B36" i="3"/>
  <c r="B37" i="3"/>
  <c r="B38" i="3"/>
  <c r="B39" i="3"/>
  <c r="B40" i="3"/>
  <c r="B35" i="3"/>
  <c r="B24" i="3"/>
  <c r="B25" i="3"/>
  <c r="B26" i="3"/>
  <c r="B27" i="3"/>
  <c r="B28" i="3"/>
  <c r="B23" i="3"/>
  <c r="B8" i="3"/>
  <c r="B9" i="3"/>
  <c r="B10" i="3"/>
  <c r="B11" i="3"/>
  <c r="B7" i="3"/>
  <c r="D75" i="2"/>
  <c r="D74" i="2"/>
  <c r="D73" i="2"/>
  <c r="D72" i="2"/>
  <c r="D71" i="2"/>
  <c r="B76" i="2"/>
  <c r="C75" i="2"/>
  <c r="C74" i="2"/>
  <c r="C73" i="2"/>
  <c r="C72" i="2"/>
  <c r="C71" i="2"/>
  <c r="B71" i="2" l="1"/>
  <c r="B74" i="2"/>
  <c r="B72" i="2"/>
  <c r="B73" i="2"/>
  <c r="B75" i="2"/>
  <c r="B56" i="2" l="1"/>
  <c r="B57" i="2"/>
  <c r="B58" i="2"/>
  <c r="B59" i="2"/>
  <c r="B55" i="2"/>
  <c r="D60" i="2"/>
  <c r="B60" i="2" s="1"/>
  <c r="B8" i="2" l="1"/>
  <c r="B9" i="2"/>
  <c r="B10" i="2"/>
  <c r="B11" i="2"/>
  <c r="B12" i="2"/>
  <c r="B7" i="2"/>
  <c r="B42" i="2"/>
  <c r="B44" i="2"/>
  <c r="B39" i="2"/>
  <c r="B43" i="2"/>
  <c r="B40" i="2"/>
  <c r="B41" i="2"/>
  <c r="D92" i="3" l="1"/>
</calcChain>
</file>

<file path=xl/sharedStrings.xml><?xml version="1.0" encoding="utf-8"?>
<sst xmlns="http://schemas.openxmlformats.org/spreadsheetml/2006/main" count="163" uniqueCount="44">
  <si>
    <t>Institutionele financiering</t>
  </si>
  <si>
    <t>projectfinanciering</t>
  </si>
  <si>
    <t>Totaal</t>
  </si>
  <si>
    <t>Beleidsuitvoerende kennisorganisaties</t>
  </si>
  <si>
    <t>Centraal Bureau voor de Statistiek (CBS)</t>
  </si>
  <si>
    <t>Koninklijk Nederlands Meteorologisch Instituut (KNMI)</t>
  </si>
  <si>
    <t>Nederlands Forensisch Instituut (NFI)</t>
  </si>
  <si>
    <t>Rijksinstituut voor Volksgezondheid en Milieu (RIVM)</t>
  </si>
  <si>
    <t>TO2-instellingen</t>
  </si>
  <si>
    <t>Deltares</t>
  </si>
  <si>
    <t>Overige inkomsten</t>
  </si>
  <si>
    <t>Maritime Research Institute Netherlands (MARIN)</t>
  </si>
  <si>
    <t>Nederlands Lucht- en Ruimtevaartcentrum (NLR)</t>
  </si>
  <si>
    <t>Sectorgeoriënteerde stichtingen</t>
  </si>
  <si>
    <t>Boekmanstichting</t>
  </si>
  <si>
    <t>Geonovum</t>
  </si>
  <si>
    <t>Movisie</t>
  </si>
  <si>
    <t>Mulier instituut</t>
  </si>
  <si>
    <t>Nederlands Jeugdinstituut</t>
  </si>
  <si>
    <t>Stichting Wetenschappelijk Onderzoek Verkeersveiligheid (SWOV)</t>
  </si>
  <si>
    <t>Nederlands Instituut voor Onderzoek van de Gezondheidszorg (NIVEL)</t>
  </si>
  <si>
    <t>Trimbos-instituut</t>
  </si>
  <si>
    <t>VeiligheidNL</t>
  </si>
  <si>
    <t>Vilans</t>
  </si>
  <si>
    <t>Kennisorganisaties met een opleidingsdoelstelling</t>
  </si>
  <si>
    <t>Clingendael Instituut</t>
  </si>
  <si>
    <t>Faculteit Militaire Wetenschappen - Nederlandse Defensieacademie (FMW-NLDA)</t>
  </si>
  <si>
    <t>Politieacademie</t>
  </si>
  <si>
    <t>Nederlandse Organisatie voor Toegepast Natuurwetenschappelijk Onderzoek (TNO)</t>
  </si>
  <si>
    <t>Wageningen Research</t>
  </si>
  <si>
    <r>
      <t xml:space="preserve">Energieonderzoek Centrum Nederland (ECN) (Per april 2018 verder gegaan als onderdeel van TNO als </t>
    </r>
    <r>
      <rPr>
        <b/>
        <i/>
        <sz val="10"/>
        <color theme="1"/>
        <rFont val="Arial"/>
        <family val="2"/>
      </rPr>
      <t>ECN part of TNO</t>
    </r>
    <r>
      <rPr>
        <b/>
        <sz val="10"/>
        <color theme="1"/>
        <rFont val="Arial"/>
        <family val="2"/>
      </rPr>
      <t>)</t>
    </r>
  </si>
  <si>
    <t>Departementale kennisorganisaties</t>
  </si>
  <si>
    <t>Centraal Planbureau (CPB)</t>
  </si>
  <si>
    <t>Planbureau voor de leefomgeving (PBL)</t>
  </si>
  <si>
    <t>Sociaal en Cultureel Planbureau (SCP)</t>
  </si>
  <si>
    <t>Wetenschappelijk Onderzoek- en Documentatiecentrum (WODC)</t>
  </si>
  <si>
    <t>Landelijk Kennisinstituut Cultuureducatie en Amateurkunst (LKCA)</t>
  </si>
  <si>
    <t>Inkomsten 2010-2021 (realisatie, x 1.000)</t>
  </si>
  <si>
    <t>Inkomsten 2010-2021 (x 1.000)</t>
  </si>
  <si>
    <t>Nederlands Instituut Publieke Veiligheid (NIPV)</t>
  </si>
  <si>
    <t>Verdeling tussen institutionele financiering, projectfinanciering en overig voor de jaren 2012, 2018 en 2021 is berekend op basis van verdeling omliggende jaren.</t>
  </si>
  <si>
    <t>2021 gelijk gesteld aan 2020 i.v.m. ontbrekende data</t>
  </si>
  <si>
    <t>2021 gelijk gesteld aan 2020 i.v.m. ontbrekende data.</t>
  </si>
  <si>
    <t>Stichting ARQ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</si>
</sst>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sz val="10"/>
      <name val="Arial"/>
      <family val="2"/>
    </font>
    <font>
      <i/>
      <sz val="10"/>
      <color theme="1"/>
      <name val="Arial"/>
      <family val="2"/>
    </font>
    <font>
      <i/>
      <sz val="10"/>
      <color theme="1" tint="0.499984740745262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3" fontId="0" fillId="0" borderId="0" xfId="0" applyNumberFormat="1"/>
    <xf numFmtId="3" fontId="0" fillId="0" borderId="0" xfId="0" applyNumberFormat="1" applyFill="1"/>
    <xf numFmtId="3" fontId="0" fillId="0" borderId="0" xfId="0" applyNumberFormat="1" applyFont="1"/>
    <xf numFmtId="0" fontId="0" fillId="0" borderId="0" xfId="0" applyFill="1"/>
    <xf numFmtId="3" fontId="0" fillId="0" borderId="0" xfId="0" applyNumberFormat="1" applyFont="1" applyFill="1"/>
    <xf numFmtId="0" fontId="0" fillId="0" borderId="0" xfId="0" applyFont="1"/>
    <xf numFmtId="0" fontId="3" fillId="0" borderId="0" xfId="0" applyFont="1"/>
    <xf numFmtId="3" fontId="3" fillId="0" borderId="0" xfId="0" applyNumberFormat="1" applyFont="1"/>
    <xf numFmtId="0" fontId="0" fillId="0" borderId="0" xfId="0" applyNumberFormat="1"/>
    <xf numFmtId="3" fontId="0" fillId="0" borderId="0" xfId="0" applyNumberFormat="1" applyBorder="1"/>
    <xf numFmtId="2" fontId="0" fillId="0" borderId="0" xfId="0" applyNumberFormat="1"/>
    <xf numFmtId="1" fontId="0" fillId="0" borderId="0" xfId="0" applyNumberFormat="1"/>
    <xf numFmtId="0" fontId="4" fillId="0" borderId="0" xfId="0" applyFont="1"/>
    <xf numFmtId="3" fontId="5" fillId="0" borderId="0" xfId="0" applyNumberFormat="1" applyFont="1"/>
    <xf numFmtId="3" fontId="5" fillId="0" borderId="0" xfId="0" applyNumberFormat="1" applyFont="1" applyFill="1"/>
    <xf numFmtId="0" fontId="5" fillId="0" borderId="0" xfId="0" applyFont="1"/>
    <xf numFmtId="0" fontId="0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5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wodc.nl/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www.wodc.nl/" TargetMode="External"/><Relationship Id="rId1" Type="http://schemas.openxmlformats.org/officeDocument/2006/relationships/hyperlink" Target="http://www.nederlandsforensischinstituut.nl/" TargetMode="External"/><Relationship Id="rId6" Type="http://schemas.openxmlformats.org/officeDocument/2006/relationships/hyperlink" Target="http://www.nederlandsforensischinstituut.nl/" TargetMode="External"/><Relationship Id="rId5" Type="http://schemas.openxmlformats.org/officeDocument/2006/relationships/hyperlink" Target="http://www.nederlandsforensischinstituut.nl/" TargetMode="External"/><Relationship Id="rId4" Type="http://schemas.openxmlformats.org/officeDocument/2006/relationships/hyperlink" Target="http://www.nederlandsforensischinstituut.nl/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rijksbegroting.nl/2010/verantwoording/jaarverslag,kst156088_19.html" TargetMode="External"/><Relationship Id="rId3" Type="http://schemas.openxmlformats.org/officeDocument/2006/relationships/hyperlink" Target="http://www.rijksbegroting.nl/2010/verantwoording/jaarverslag,kst156088_19.html" TargetMode="External"/><Relationship Id="rId7" Type="http://schemas.openxmlformats.org/officeDocument/2006/relationships/hyperlink" Target="http://www.rijksbegroting.nl/2011/verantwoording/jaarverslag,kst169969_22.html" TargetMode="External"/><Relationship Id="rId2" Type="http://schemas.openxmlformats.org/officeDocument/2006/relationships/hyperlink" Target="http://www.rijksbegroting.nl/2011/verantwoording/jaarverslag,kst169969_22.html" TargetMode="External"/><Relationship Id="rId1" Type="http://schemas.openxmlformats.org/officeDocument/2006/relationships/hyperlink" Target="http://www.nederlandsforensischinstituut.nl/" TargetMode="External"/><Relationship Id="rId6" Type="http://schemas.openxmlformats.org/officeDocument/2006/relationships/hyperlink" Target="http://www.rijksbegroting.nl/2010/verantwoording/jaarverslag,kst156088_19.html" TargetMode="External"/><Relationship Id="rId11" Type="http://schemas.openxmlformats.org/officeDocument/2006/relationships/printerSettings" Target="../printerSettings/printerSettings2.bin"/><Relationship Id="rId5" Type="http://schemas.openxmlformats.org/officeDocument/2006/relationships/hyperlink" Target="http://www.rijksbegroting.nl/2011/verantwoording/jaarverslag,kst169969_22.html" TargetMode="External"/><Relationship Id="rId10" Type="http://schemas.openxmlformats.org/officeDocument/2006/relationships/hyperlink" Target="http://www.rivm.nl/" TargetMode="External"/><Relationship Id="rId4" Type="http://schemas.openxmlformats.org/officeDocument/2006/relationships/hyperlink" Target="http://www.nederlandsforensischinstituut.nl/" TargetMode="External"/><Relationship Id="rId9" Type="http://schemas.openxmlformats.org/officeDocument/2006/relationships/hyperlink" Target="mailto:info@rivm.nl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6"/>
  <sheetViews>
    <sheetView topLeftCell="A43" zoomScaleNormal="100" workbookViewId="0">
      <selection activeCell="D6" sqref="D6"/>
    </sheetView>
  </sheetViews>
  <sheetFormatPr defaultRowHeight="12.75" x14ac:dyDescent="0.2"/>
  <cols>
    <col min="3" max="3" width="17.85546875" customWidth="1"/>
    <col min="4" max="4" width="20.85546875" customWidth="1"/>
    <col min="5" max="5" width="20.5703125" customWidth="1"/>
    <col min="6" max="6" width="17.5703125" customWidth="1"/>
  </cols>
  <sheetData>
    <row r="1" spans="1:5" x14ac:dyDescent="0.2">
      <c r="A1" s="1" t="s">
        <v>31</v>
      </c>
    </row>
    <row r="2" spans="1:5" x14ac:dyDescent="0.2">
      <c r="A2" s="1" t="s">
        <v>37</v>
      </c>
    </row>
    <row r="4" spans="1:5" x14ac:dyDescent="0.2">
      <c r="A4" s="1" t="s">
        <v>32</v>
      </c>
    </row>
    <row r="6" spans="1:5" ht="25.5" x14ac:dyDescent="0.2">
      <c r="B6" s="3" t="s">
        <v>2</v>
      </c>
      <c r="C6" s="3" t="s">
        <v>0</v>
      </c>
      <c r="D6" s="3" t="s">
        <v>1</v>
      </c>
      <c r="E6" s="3" t="s">
        <v>10</v>
      </c>
    </row>
    <row r="7" spans="1:5" x14ac:dyDescent="0.2">
      <c r="A7">
        <v>2010</v>
      </c>
      <c r="B7" s="4">
        <f>SUM(C7:E7)</f>
        <v>14931</v>
      </c>
      <c r="C7" s="4">
        <v>12858</v>
      </c>
      <c r="D7" s="4">
        <v>2073</v>
      </c>
      <c r="E7">
        <v>0</v>
      </c>
    </row>
    <row r="8" spans="1:5" x14ac:dyDescent="0.2">
      <c r="A8">
        <v>2011</v>
      </c>
      <c r="B8" s="4">
        <f t="shared" ref="B8:B14" si="0">SUM(C8:E8)</f>
        <v>13963</v>
      </c>
      <c r="C8" s="4">
        <v>11707</v>
      </c>
      <c r="D8" s="4">
        <v>2256</v>
      </c>
      <c r="E8">
        <v>0</v>
      </c>
    </row>
    <row r="9" spans="1:5" x14ac:dyDescent="0.2">
      <c r="A9">
        <v>2012</v>
      </c>
      <c r="B9" s="4">
        <f t="shared" si="0"/>
        <v>13739</v>
      </c>
      <c r="C9" s="4">
        <v>11567</v>
      </c>
      <c r="D9" s="4">
        <v>2172</v>
      </c>
      <c r="E9">
        <v>0</v>
      </c>
    </row>
    <row r="10" spans="1:5" x14ac:dyDescent="0.2">
      <c r="A10">
        <v>2013</v>
      </c>
      <c r="B10" s="4">
        <f t="shared" si="0"/>
        <v>13547</v>
      </c>
      <c r="C10" s="4">
        <v>10278</v>
      </c>
      <c r="D10" s="4">
        <v>3269</v>
      </c>
      <c r="E10">
        <v>0</v>
      </c>
    </row>
    <row r="11" spans="1:5" x14ac:dyDescent="0.2">
      <c r="A11">
        <v>2014</v>
      </c>
      <c r="B11" s="4">
        <f t="shared" si="0"/>
        <v>14846</v>
      </c>
      <c r="C11" s="4">
        <v>11851</v>
      </c>
      <c r="D11" s="4">
        <v>2995</v>
      </c>
      <c r="E11">
        <v>0</v>
      </c>
    </row>
    <row r="12" spans="1:5" x14ac:dyDescent="0.2">
      <c r="A12">
        <v>2015</v>
      </c>
      <c r="B12" s="4">
        <f t="shared" si="0"/>
        <v>14870</v>
      </c>
      <c r="C12" s="4">
        <v>12157</v>
      </c>
      <c r="D12" s="4">
        <v>2713</v>
      </c>
      <c r="E12">
        <v>0</v>
      </c>
    </row>
    <row r="13" spans="1:5" x14ac:dyDescent="0.2">
      <c r="A13">
        <v>2016</v>
      </c>
      <c r="B13" s="4">
        <f t="shared" si="0"/>
        <v>17662</v>
      </c>
      <c r="C13" s="4">
        <v>14737</v>
      </c>
      <c r="D13" s="4">
        <v>2925</v>
      </c>
      <c r="E13">
        <v>0</v>
      </c>
    </row>
    <row r="14" spans="1:5" x14ac:dyDescent="0.2">
      <c r="A14">
        <v>2017</v>
      </c>
      <c r="B14" s="4">
        <f t="shared" si="0"/>
        <v>15977</v>
      </c>
      <c r="C14" s="4">
        <v>13024</v>
      </c>
      <c r="D14" s="4">
        <v>2935</v>
      </c>
      <c r="E14" s="4">
        <v>18</v>
      </c>
    </row>
    <row r="15" spans="1:5" x14ac:dyDescent="0.2">
      <c r="A15">
        <v>2018</v>
      </c>
      <c r="B15" s="4">
        <v>16576</v>
      </c>
      <c r="C15" s="4">
        <v>13947</v>
      </c>
      <c r="D15" s="4">
        <v>2518</v>
      </c>
      <c r="E15" s="4">
        <v>111</v>
      </c>
    </row>
    <row r="16" spans="1:5" x14ac:dyDescent="0.2">
      <c r="A16">
        <v>2019</v>
      </c>
      <c r="B16" s="4">
        <v>17275</v>
      </c>
      <c r="C16" s="4">
        <v>14841</v>
      </c>
      <c r="D16" s="4">
        <v>2427</v>
      </c>
      <c r="E16" s="4">
        <v>7</v>
      </c>
    </row>
    <row r="17" spans="1:13" x14ac:dyDescent="0.2">
      <c r="A17">
        <v>2020</v>
      </c>
      <c r="B17" s="4">
        <v>17318</v>
      </c>
      <c r="C17" s="4">
        <v>14924</v>
      </c>
      <c r="D17" s="4">
        <v>2381</v>
      </c>
      <c r="E17">
        <v>13</v>
      </c>
    </row>
    <row r="18" spans="1:13" x14ac:dyDescent="0.2">
      <c r="A18">
        <v>2021</v>
      </c>
      <c r="B18" s="4">
        <f>SUM(C18:E18)</f>
        <v>16595</v>
      </c>
      <c r="C18" s="4">
        <v>14488</v>
      </c>
      <c r="D18" s="4">
        <v>2064</v>
      </c>
      <c r="E18" s="4">
        <v>43</v>
      </c>
    </row>
    <row r="20" spans="1:13" x14ac:dyDescent="0.2">
      <c r="A20" s="1" t="s">
        <v>33</v>
      </c>
    </row>
    <row r="22" spans="1:13" ht="25.5" x14ac:dyDescent="0.2">
      <c r="B22" s="3" t="s">
        <v>2</v>
      </c>
      <c r="C22" s="3" t="s">
        <v>0</v>
      </c>
      <c r="D22" s="3" t="s">
        <v>1</v>
      </c>
      <c r="E22" s="3" t="s">
        <v>10</v>
      </c>
    </row>
    <row r="23" spans="1:13" x14ac:dyDescent="0.2">
      <c r="A23">
        <v>2010</v>
      </c>
      <c r="B23" s="4">
        <f>SUM(C23:E23)</f>
        <v>38500</v>
      </c>
      <c r="C23" s="4">
        <v>32900</v>
      </c>
      <c r="D23" s="4">
        <v>5600</v>
      </c>
      <c r="E23">
        <v>0</v>
      </c>
    </row>
    <row r="24" spans="1:13" x14ac:dyDescent="0.2">
      <c r="A24">
        <v>2011</v>
      </c>
      <c r="B24" s="4">
        <f t="shared" ref="B24:B30" si="1">SUM(C24:E24)</f>
        <v>34800</v>
      </c>
      <c r="C24" s="4">
        <v>31400</v>
      </c>
      <c r="D24" s="4">
        <v>3400</v>
      </c>
      <c r="E24">
        <v>0</v>
      </c>
    </row>
    <row r="25" spans="1:13" x14ac:dyDescent="0.2">
      <c r="A25">
        <v>2012</v>
      </c>
      <c r="B25" s="4">
        <f t="shared" si="1"/>
        <v>30600</v>
      </c>
      <c r="C25" s="4">
        <v>27100</v>
      </c>
      <c r="D25" s="4">
        <v>3500</v>
      </c>
      <c r="E25">
        <v>0</v>
      </c>
    </row>
    <row r="26" spans="1:13" x14ac:dyDescent="0.2">
      <c r="A26">
        <v>2013</v>
      </c>
      <c r="B26" s="4">
        <f t="shared" si="1"/>
        <v>28500</v>
      </c>
      <c r="C26" s="4">
        <v>27600</v>
      </c>
      <c r="D26" s="4">
        <v>900</v>
      </c>
      <c r="E26">
        <v>0</v>
      </c>
    </row>
    <row r="27" spans="1:13" x14ac:dyDescent="0.2">
      <c r="A27">
        <v>2014</v>
      </c>
      <c r="B27" s="4">
        <f t="shared" si="1"/>
        <v>30200</v>
      </c>
      <c r="C27" s="4">
        <v>27500</v>
      </c>
      <c r="D27" s="4">
        <v>2700</v>
      </c>
      <c r="E27">
        <v>0</v>
      </c>
    </row>
    <row r="28" spans="1:13" x14ac:dyDescent="0.2">
      <c r="A28">
        <v>2015</v>
      </c>
      <c r="B28" s="4">
        <f t="shared" si="1"/>
        <v>30719</v>
      </c>
      <c r="C28" s="4">
        <v>27910</v>
      </c>
      <c r="D28" s="4">
        <v>3371</v>
      </c>
      <c r="E28">
        <v>-562</v>
      </c>
    </row>
    <row r="29" spans="1:13" x14ac:dyDescent="0.2">
      <c r="A29">
        <v>2016</v>
      </c>
      <c r="B29" s="4">
        <f t="shared" si="1"/>
        <v>31690</v>
      </c>
      <c r="C29" s="4">
        <v>26947</v>
      </c>
      <c r="D29" s="4">
        <v>4688</v>
      </c>
      <c r="E29">
        <v>55</v>
      </c>
    </row>
    <row r="30" spans="1:13" x14ac:dyDescent="0.2">
      <c r="A30">
        <v>2017</v>
      </c>
      <c r="B30" s="4">
        <f t="shared" si="1"/>
        <v>30990</v>
      </c>
      <c r="C30" s="4">
        <v>26826</v>
      </c>
      <c r="D30" s="4">
        <v>4164</v>
      </c>
      <c r="E30" s="4">
        <v>0</v>
      </c>
    </row>
    <row r="31" spans="1:13" x14ac:dyDescent="0.2">
      <c r="A31">
        <v>2018</v>
      </c>
      <c r="B31" s="4">
        <v>33178</v>
      </c>
      <c r="C31" s="4">
        <v>25576</v>
      </c>
      <c r="D31" s="4">
        <v>7027</v>
      </c>
      <c r="E31" s="12">
        <v>575</v>
      </c>
    </row>
    <row r="32" spans="1:13" x14ac:dyDescent="0.2">
      <c r="A32">
        <v>2019</v>
      </c>
      <c r="B32" s="4">
        <v>35472</v>
      </c>
      <c r="C32" s="4">
        <v>25656.502680000001</v>
      </c>
      <c r="D32" s="4">
        <v>9435.8160000000007</v>
      </c>
      <c r="E32" s="4">
        <v>380</v>
      </c>
      <c r="F32" s="4"/>
      <c r="G32" s="4"/>
      <c r="M32" s="4"/>
    </row>
    <row r="33" spans="1:13" x14ac:dyDescent="0.2">
      <c r="A33">
        <v>2020</v>
      </c>
      <c r="B33" s="4">
        <v>36693</v>
      </c>
      <c r="C33" s="4">
        <v>26417</v>
      </c>
      <c r="D33" s="4">
        <v>10207</v>
      </c>
      <c r="E33" s="4">
        <v>69</v>
      </c>
      <c r="F33" s="4"/>
      <c r="G33" s="4"/>
      <c r="M33" s="4"/>
    </row>
    <row r="34" spans="1:13" x14ac:dyDescent="0.2">
      <c r="A34">
        <v>2021</v>
      </c>
      <c r="B34" s="4">
        <f>SUM(C34:E34)</f>
        <v>36096</v>
      </c>
      <c r="C34" s="4">
        <v>28194</v>
      </c>
      <c r="D34" s="4">
        <v>7902</v>
      </c>
      <c r="E34" s="4"/>
      <c r="F34" s="4"/>
      <c r="G34" s="4"/>
      <c r="M34" s="4"/>
    </row>
    <row r="35" spans="1:13" x14ac:dyDescent="0.2">
      <c r="F35" s="4"/>
    </row>
    <row r="36" spans="1:13" x14ac:dyDescent="0.2">
      <c r="A36" s="1" t="s">
        <v>34</v>
      </c>
    </row>
    <row r="38" spans="1:13" ht="25.5" x14ac:dyDescent="0.2">
      <c r="B38" s="3" t="s">
        <v>2</v>
      </c>
      <c r="C38" s="3" t="s">
        <v>0</v>
      </c>
      <c r="D38" s="3" t="s">
        <v>1</v>
      </c>
      <c r="E38" s="3" t="s">
        <v>10</v>
      </c>
    </row>
    <row r="39" spans="1:13" x14ac:dyDescent="0.2">
      <c r="A39">
        <v>2010</v>
      </c>
      <c r="B39" s="4">
        <f>SUM(C39:E39)</f>
        <v>11985</v>
      </c>
      <c r="C39" s="4">
        <v>6149</v>
      </c>
      <c r="D39" s="4">
        <v>5836</v>
      </c>
      <c r="E39">
        <v>0</v>
      </c>
    </row>
    <row r="40" spans="1:13" x14ac:dyDescent="0.2">
      <c r="A40">
        <v>2011</v>
      </c>
      <c r="B40" s="4">
        <f t="shared" ref="B40:B49" si="2">SUM(C40:E40)</f>
        <v>11560.981</v>
      </c>
      <c r="C40" s="4">
        <v>5798</v>
      </c>
      <c r="D40" s="4">
        <v>5762.9809999999998</v>
      </c>
      <c r="E40">
        <v>0</v>
      </c>
    </row>
    <row r="41" spans="1:13" x14ac:dyDescent="0.2">
      <c r="A41">
        <v>2012</v>
      </c>
      <c r="B41" s="4">
        <f t="shared" si="2"/>
        <v>11292.138999999999</v>
      </c>
      <c r="C41" s="4">
        <v>5813</v>
      </c>
      <c r="D41" s="4">
        <v>5479.1390000000001</v>
      </c>
      <c r="E41">
        <v>0</v>
      </c>
    </row>
    <row r="42" spans="1:13" x14ac:dyDescent="0.2">
      <c r="A42">
        <v>2013</v>
      </c>
      <c r="B42" s="4">
        <f t="shared" si="2"/>
        <v>10983.220000000001</v>
      </c>
      <c r="C42" s="4">
        <v>5746</v>
      </c>
      <c r="D42" s="4">
        <v>5237.22</v>
      </c>
      <c r="E42">
        <v>0</v>
      </c>
    </row>
    <row r="43" spans="1:13" x14ac:dyDescent="0.2">
      <c r="A43">
        <v>2014</v>
      </c>
      <c r="B43" s="4">
        <f t="shared" si="2"/>
        <v>11132.884</v>
      </c>
      <c r="C43" s="4">
        <v>5494</v>
      </c>
      <c r="D43" s="4">
        <v>5638.884</v>
      </c>
      <c r="E43">
        <v>0</v>
      </c>
    </row>
    <row r="44" spans="1:13" x14ac:dyDescent="0.2">
      <c r="A44">
        <v>2015</v>
      </c>
      <c r="B44" s="4">
        <f t="shared" si="2"/>
        <v>11550.722</v>
      </c>
      <c r="C44" s="4">
        <v>4414</v>
      </c>
      <c r="D44" s="4">
        <v>7136.7219999999998</v>
      </c>
      <c r="E44">
        <v>0</v>
      </c>
    </row>
    <row r="45" spans="1:13" x14ac:dyDescent="0.2">
      <c r="A45">
        <v>2016</v>
      </c>
      <c r="B45" s="4">
        <f t="shared" si="2"/>
        <v>13347.275</v>
      </c>
      <c r="C45" s="4">
        <v>6063</v>
      </c>
      <c r="D45" s="4">
        <v>7284.2749999999996</v>
      </c>
      <c r="E45" s="4">
        <v>0</v>
      </c>
    </row>
    <row r="46" spans="1:13" x14ac:dyDescent="0.2">
      <c r="A46">
        <v>2017</v>
      </c>
      <c r="B46" s="4">
        <f t="shared" si="2"/>
        <v>14808</v>
      </c>
      <c r="C46" s="4">
        <v>12000</v>
      </c>
      <c r="D46" s="4">
        <v>2808</v>
      </c>
      <c r="E46" s="4">
        <v>0</v>
      </c>
    </row>
    <row r="47" spans="1:13" x14ac:dyDescent="0.2">
      <c r="A47">
        <v>2018</v>
      </c>
      <c r="B47" s="4">
        <f t="shared" si="2"/>
        <v>13985</v>
      </c>
      <c r="C47" s="4">
        <v>12388</v>
      </c>
      <c r="D47" s="4">
        <v>1535</v>
      </c>
      <c r="E47" s="4">
        <v>62</v>
      </c>
    </row>
    <row r="48" spans="1:13" x14ac:dyDescent="0.2">
      <c r="A48">
        <v>2019</v>
      </c>
      <c r="B48" s="4">
        <f t="shared" si="2"/>
        <v>15416</v>
      </c>
      <c r="C48" s="13">
        <v>12981</v>
      </c>
      <c r="D48" s="13">
        <v>2310</v>
      </c>
      <c r="E48" s="4">
        <v>125</v>
      </c>
    </row>
    <row r="49" spans="1:5" x14ac:dyDescent="0.2">
      <c r="A49">
        <v>2020</v>
      </c>
      <c r="B49" s="4">
        <f t="shared" si="2"/>
        <v>15282</v>
      </c>
      <c r="C49" s="13">
        <v>12623</v>
      </c>
      <c r="D49" s="13">
        <v>2659</v>
      </c>
      <c r="E49" s="4"/>
    </row>
    <row r="50" spans="1:5" x14ac:dyDescent="0.2">
      <c r="A50">
        <v>2021</v>
      </c>
      <c r="B50" s="4">
        <f>SUM(C50:E50)</f>
        <v>14896</v>
      </c>
      <c r="C50" s="13">
        <v>14447</v>
      </c>
      <c r="D50" s="13">
        <v>449</v>
      </c>
      <c r="E50" s="4"/>
    </row>
    <row r="52" spans="1:5" x14ac:dyDescent="0.2">
      <c r="A52" s="1" t="s">
        <v>35</v>
      </c>
    </row>
    <row r="53" spans="1:5" x14ac:dyDescent="0.2">
      <c r="A53" s="16" t="s">
        <v>41</v>
      </c>
    </row>
    <row r="54" spans="1:5" ht="25.5" x14ac:dyDescent="0.2">
      <c r="B54" s="3" t="s">
        <v>2</v>
      </c>
      <c r="C54" s="3" t="s">
        <v>0</v>
      </c>
      <c r="D54" s="3" t="s">
        <v>1</v>
      </c>
      <c r="E54" s="3" t="s">
        <v>10</v>
      </c>
    </row>
    <row r="55" spans="1:5" x14ac:dyDescent="0.2">
      <c r="A55">
        <v>2010</v>
      </c>
      <c r="B55" s="4">
        <f>SUM(C55:E55)</f>
        <v>9550</v>
      </c>
      <c r="C55" s="4">
        <v>9410</v>
      </c>
      <c r="D55">
        <v>140</v>
      </c>
      <c r="E55">
        <v>0</v>
      </c>
    </row>
    <row r="56" spans="1:5" x14ac:dyDescent="0.2">
      <c r="A56">
        <v>2011</v>
      </c>
      <c r="B56" s="4">
        <f t="shared" ref="B56:B65" si="3">SUM(C56:E56)</f>
        <v>11000</v>
      </c>
      <c r="C56" s="4">
        <v>10990</v>
      </c>
      <c r="D56">
        <v>10</v>
      </c>
      <c r="E56">
        <v>0</v>
      </c>
    </row>
    <row r="57" spans="1:5" x14ac:dyDescent="0.2">
      <c r="A57">
        <v>2012</v>
      </c>
      <c r="B57" s="4">
        <f t="shared" si="3"/>
        <v>12129</v>
      </c>
      <c r="C57" s="4">
        <v>12042</v>
      </c>
      <c r="D57">
        <v>87</v>
      </c>
      <c r="E57">
        <v>0</v>
      </c>
    </row>
    <row r="58" spans="1:5" x14ac:dyDescent="0.2">
      <c r="A58">
        <v>2013</v>
      </c>
      <c r="B58" s="4">
        <f t="shared" si="3"/>
        <v>11886</v>
      </c>
      <c r="C58" s="4">
        <v>11677</v>
      </c>
      <c r="D58" s="4">
        <v>209</v>
      </c>
      <c r="E58">
        <v>0</v>
      </c>
    </row>
    <row r="59" spans="1:5" x14ac:dyDescent="0.2">
      <c r="A59">
        <v>2014</v>
      </c>
      <c r="B59" s="4">
        <f t="shared" si="3"/>
        <v>11536</v>
      </c>
      <c r="C59" s="4">
        <v>11387</v>
      </c>
      <c r="D59" s="4">
        <v>149</v>
      </c>
      <c r="E59">
        <v>0</v>
      </c>
    </row>
    <row r="60" spans="1:5" x14ac:dyDescent="0.2">
      <c r="A60">
        <v>2015</v>
      </c>
      <c r="B60" s="4">
        <f t="shared" si="3"/>
        <v>11806</v>
      </c>
      <c r="C60" s="4">
        <v>11806</v>
      </c>
      <c r="D60">
        <v>0</v>
      </c>
      <c r="E60">
        <v>0</v>
      </c>
    </row>
    <row r="61" spans="1:5" x14ac:dyDescent="0.2">
      <c r="A61">
        <v>2016</v>
      </c>
      <c r="B61" s="4">
        <f t="shared" si="3"/>
        <v>11337</v>
      </c>
      <c r="C61" s="4">
        <v>11337</v>
      </c>
      <c r="D61">
        <v>0</v>
      </c>
      <c r="E61">
        <v>0</v>
      </c>
    </row>
    <row r="62" spans="1:5" x14ac:dyDescent="0.2">
      <c r="A62">
        <v>2017</v>
      </c>
      <c r="B62" s="4">
        <f t="shared" si="3"/>
        <v>11900</v>
      </c>
      <c r="C62" s="4">
        <v>11900</v>
      </c>
      <c r="D62">
        <v>0</v>
      </c>
      <c r="E62">
        <v>0</v>
      </c>
    </row>
    <row r="63" spans="1:5" x14ac:dyDescent="0.2">
      <c r="A63">
        <v>2018</v>
      </c>
      <c r="B63" s="4">
        <f t="shared" si="3"/>
        <v>10828</v>
      </c>
      <c r="C63" s="4">
        <v>10828</v>
      </c>
      <c r="D63">
        <v>0</v>
      </c>
      <c r="E63">
        <v>0</v>
      </c>
    </row>
    <row r="64" spans="1:5" x14ac:dyDescent="0.2">
      <c r="A64">
        <v>2019</v>
      </c>
      <c r="B64" s="4">
        <f t="shared" si="3"/>
        <v>10769</v>
      </c>
      <c r="C64" s="13">
        <v>10769</v>
      </c>
      <c r="D64">
        <v>0</v>
      </c>
      <c r="E64">
        <v>0</v>
      </c>
    </row>
    <row r="65" spans="1:5" x14ac:dyDescent="0.2">
      <c r="A65">
        <v>2020</v>
      </c>
      <c r="B65" s="4">
        <f t="shared" si="3"/>
        <v>11724</v>
      </c>
      <c r="C65" s="4">
        <v>11724</v>
      </c>
      <c r="D65">
        <v>0</v>
      </c>
      <c r="E65">
        <v>0</v>
      </c>
    </row>
    <row r="66" spans="1:5" x14ac:dyDescent="0.2">
      <c r="A66" s="19">
        <v>2021</v>
      </c>
      <c r="B66" s="17">
        <f>SUM(C66:E66)</f>
        <v>11724</v>
      </c>
      <c r="C66" s="17">
        <v>11724</v>
      </c>
      <c r="D66" s="19">
        <v>0</v>
      </c>
      <c r="E66" s="19">
        <v>0</v>
      </c>
    </row>
  </sheetData>
  <hyperlinks>
    <hyperlink ref="A11" r:id="rId1" display="http://www.nederlandsforensischinstituut.nl/"/>
    <hyperlink ref="B12" r:id="rId2" display="http://www.wodc.nl/"/>
    <hyperlink ref="B13" r:id="rId3" display="http://www.wodc.nl/"/>
    <hyperlink ref="A27" r:id="rId4" display="http://www.nederlandsforensischinstituut.nl/"/>
    <hyperlink ref="A43" r:id="rId5" display="http://www.nederlandsforensischinstituut.nl/"/>
    <hyperlink ref="A59" r:id="rId6" display="http://www.nederlandsforensischinstituut.nl/"/>
  </hyperlinks>
  <pageMargins left="0.7" right="0.7" top="0.75" bottom="0.75" header="0.3" footer="0.3"/>
  <pageSetup orientation="portrait" horizontalDpi="1200" verticalDpi="1200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6"/>
  <sheetViews>
    <sheetView zoomScaleNormal="100" workbookViewId="0">
      <selection activeCell="D6" sqref="D6"/>
    </sheetView>
  </sheetViews>
  <sheetFormatPr defaultRowHeight="12.75" x14ac:dyDescent="0.2"/>
  <cols>
    <col min="2" max="4" width="12.7109375" customWidth="1"/>
    <col min="5" max="5" width="12.85546875" customWidth="1"/>
  </cols>
  <sheetData>
    <row r="1" spans="1:5" x14ac:dyDescent="0.2">
      <c r="A1" s="1" t="s">
        <v>3</v>
      </c>
    </row>
    <row r="2" spans="1:5" x14ac:dyDescent="0.2">
      <c r="A2" s="1" t="s">
        <v>37</v>
      </c>
    </row>
    <row r="4" spans="1:5" x14ac:dyDescent="0.2">
      <c r="A4" s="1" t="s">
        <v>4</v>
      </c>
    </row>
    <row r="6" spans="1:5" ht="25.5" x14ac:dyDescent="0.2">
      <c r="B6" s="3" t="s">
        <v>2</v>
      </c>
      <c r="C6" s="3" t="s">
        <v>0</v>
      </c>
      <c r="D6" s="3" t="s">
        <v>1</v>
      </c>
      <c r="E6" s="3" t="s">
        <v>10</v>
      </c>
    </row>
    <row r="7" spans="1:5" x14ac:dyDescent="0.2">
      <c r="A7">
        <v>2010</v>
      </c>
      <c r="B7" s="4">
        <f>SUM(C7:E7)</f>
        <v>209566</v>
      </c>
      <c r="C7" s="4">
        <v>188958</v>
      </c>
      <c r="D7" s="4">
        <v>19667</v>
      </c>
      <c r="E7" s="4">
        <v>941</v>
      </c>
    </row>
    <row r="8" spans="1:5" x14ac:dyDescent="0.2">
      <c r="A8">
        <v>2011</v>
      </c>
      <c r="B8" s="4">
        <f t="shared" ref="B8:B18" si="0">SUM(C8:E8)</f>
        <v>210005</v>
      </c>
      <c r="C8" s="4">
        <v>188659</v>
      </c>
      <c r="D8" s="4">
        <v>19611</v>
      </c>
      <c r="E8" s="4">
        <v>1735</v>
      </c>
    </row>
    <row r="9" spans="1:5" x14ac:dyDescent="0.2">
      <c r="A9">
        <v>2012</v>
      </c>
      <c r="B9" s="4">
        <f t="shared" si="0"/>
        <v>206567</v>
      </c>
      <c r="C9" s="4">
        <v>182928</v>
      </c>
      <c r="D9" s="4">
        <v>22256</v>
      </c>
      <c r="E9" s="4">
        <v>1383</v>
      </c>
    </row>
    <row r="10" spans="1:5" x14ac:dyDescent="0.2">
      <c r="A10">
        <v>2013</v>
      </c>
      <c r="B10" s="4">
        <f t="shared" si="0"/>
        <v>199047</v>
      </c>
      <c r="C10" s="4">
        <v>177294</v>
      </c>
      <c r="D10" s="4">
        <v>20020</v>
      </c>
      <c r="E10" s="4">
        <v>1733</v>
      </c>
    </row>
    <row r="11" spans="1:5" x14ac:dyDescent="0.2">
      <c r="A11">
        <v>2014</v>
      </c>
      <c r="B11" s="4">
        <f t="shared" si="0"/>
        <v>176593</v>
      </c>
      <c r="C11" s="4">
        <v>153934</v>
      </c>
      <c r="D11" s="4">
        <v>20681</v>
      </c>
      <c r="E11" s="4">
        <v>1978</v>
      </c>
    </row>
    <row r="12" spans="1:5" x14ac:dyDescent="0.2">
      <c r="A12">
        <v>2015</v>
      </c>
      <c r="B12" s="4">
        <f t="shared" si="0"/>
        <v>179086</v>
      </c>
      <c r="C12" s="4">
        <v>151402</v>
      </c>
      <c r="D12" s="4">
        <v>27143</v>
      </c>
      <c r="E12" s="4">
        <v>541</v>
      </c>
    </row>
    <row r="13" spans="1:5" x14ac:dyDescent="0.2">
      <c r="A13">
        <v>2016</v>
      </c>
      <c r="B13" s="4">
        <f t="shared" si="0"/>
        <v>182709</v>
      </c>
      <c r="C13" s="4">
        <v>153181</v>
      </c>
      <c r="D13" s="4">
        <v>29021</v>
      </c>
      <c r="E13" s="4">
        <v>507</v>
      </c>
    </row>
    <row r="14" spans="1:5" x14ac:dyDescent="0.2">
      <c r="A14">
        <v>2017</v>
      </c>
      <c r="B14" s="4">
        <f t="shared" si="0"/>
        <v>190278</v>
      </c>
      <c r="C14" s="4">
        <v>151067</v>
      </c>
      <c r="D14" s="4">
        <v>38620</v>
      </c>
      <c r="E14" s="4">
        <v>591</v>
      </c>
    </row>
    <row r="15" spans="1:5" x14ac:dyDescent="0.2">
      <c r="A15">
        <v>2018</v>
      </c>
      <c r="B15" s="4">
        <f t="shared" si="0"/>
        <v>187889</v>
      </c>
      <c r="C15" s="6">
        <v>146457</v>
      </c>
      <c r="D15" s="4">
        <v>40830</v>
      </c>
      <c r="E15" s="6">
        <v>602</v>
      </c>
    </row>
    <row r="16" spans="1:5" x14ac:dyDescent="0.2">
      <c r="A16">
        <v>2019</v>
      </c>
      <c r="B16" s="4">
        <f t="shared" si="0"/>
        <v>194982</v>
      </c>
      <c r="C16" s="6">
        <v>149391</v>
      </c>
      <c r="D16" s="4">
        <v>44604</v>
      </c>
      <c r="E16" s="6">
        <v>987</v>
      </c>
    </row>
    <row r="17" spans="1:5" x14ac:dyDescent="0.2">
      <c r="A17">
        <v>2020</v>
      </c>
      <c r="B17" s="4">
        <f t="shared" si="0"/>
        <v>201370</v>
      </c>
      <c r="C17" s="4">
        <v>153283</v>
      </c>
      <c r="D17" s="4">
        <v>47627</v>
      </c>
      <c r="E17" s="6">
        <v>460</v>
      </c>
    </row>
    <row r="18" spans="1:5" x14ac:dyDescent="0.2">
      <c r="A18">
        <v>2021</v>
      </c>
      <c r="B18" s="4">
        <f t="shared" si="0"/>
        <v>209619</v>
      </c>
      <c r="C18" s="4">
        <v>159070</v>
      </c>
      <c r="D18" s="4">
        <v>49448</v>
      </c>
      <c r="E18" s="6">
        <v>1101</v>
      </c>
    </row>
    <row r="20" spans="1:5" x14ac:dyDescent="0.2">
      <c r="A20" s="1" t="s">
        <v>39</v>
      </c>
    </row>
    <row r="21" spans="1:5" x14ac:dyDescent="0.2">
      <c r="A21" s="16" t="s">
        <v>40</v>
      </c>
      <c r="C21" s="4"/>
      <c r="D21" s="4"/>
      <c r="E21" s="4"/>
    </row>
    <row r="22" spans="1:5" ht="25.5" x14ac:dyDescent="0.2">
      <c r="B22" s="3" t="s">
        <v>2</v>
      </c>
      <c r="C22" s="3" t="s">
        <v>0</v>
      </c>
      <c r="D22" s="3" t="s">
        <v>1</v>
      </c>
      <c r="E22" s="3" t="s">
        <v>10</v>
      </c>
    </row>
    <row r="23" spans="1:5" x14ac:dyDescent="0.2">
      <c r="A23">
        <v>2010</v>
      </c>
      <c r="B23" s="20">
        <v>36373</v>
      </c>
      <c r="C23" s="20">
        <v>6907</v>
      </c>
      <c r="D23" s="20">
        <v>29466</v>
      </c>
      <c r="E23" s="20">
        <v>0</v>
      </c>
    </row>
    <row r="24" spans="1:5" x14ac:dyDescent="0.2">
      <c r="A24">
        <v>2011</v>
      </c>
      <c r="B24" s="20">
        <v>38677</v>
      </c>
      <c r="C24" s="20">
        <v>12894</v>
      </c>
      <c r="D24" s="20">
        <v>25783</v>
      </c>
      <c r="E24" s="20">
        <v>0</v>
      </c>
    </row>
    <row r="25" spans="1:5" x14ac:dyDescent="0.2">
      <c r="A25">
        <v>2012</v>
      </c>
      <c r="B25" s="20">
        <v>40981</v>
      </c>
      <c r="C25" s="21">
        <v>13662</v>
      </c>
      <c r="D25" s="21">
        <v>27319</v>
      </c>
      <c r="E25" s="21">
        <v>0</v>
      </c>
    </row>
    <row r="26" spans="1:5" x14ac:dyDescent="0.2">
      <c r="A26">
        <v>2013</v>
      </c>
      <c r="B26" s="20">
        <v>61836</v>
      </c>
      <c r="C26" s="20">
        <v>20502</v>
      </c>
      <c r="D26" s="20">
        <v>25586</v>
      </c>
      <c r="E26" s="20">
        <v>15748</v>
      </c>
    </row>
    <row r="27" spans="1:5" x14ac:dyDescent="0.2">
      <c r="A27">
        <v>2014</v>
      </c>
      <c r="B27" s="20">
        <v>62530</v>
      </c>
      <c r="C27" s="20">
        <v>26862</v>
      </c>
      <c r="D27" s="20">
        <v>23834</v>
      </c>
      <c r="E27" s="20">
        <v>11834</v>
      </c>
    </row>
    <row r="28" spans="1:5" x14ac:dyDescent="0.2">
      <c r="A28">
        <v>2015</v>
      </c>
      <c r="B28" s="20">
        <v>55100</v>
      </c>
      <c r="C28" s="20">
        <v>22436</v>
      </c>
      <c r="D28" s="20">
        <v>19831</v>
      </c>
      <c r="E28" s="20">
        <v>12833</v>
      </c>
    </row>
    <row r="29" spans="1:5" x14ac:dyDescent="0.2">
      <c r="A29">
        <v>2016</v>
      </c>
      <c r="B29" s="20">
        <v>49718</v>
      </c>
      <c r="C29" s="20">
        <v>37867</v>
      </c>
      <c r="D29" s="20">
        <v>8300</v>
      </c>
      <c r="E29" s="20">
        <v>3551</v>
      </c>
    </row>
    <row r="30" spans="1:5" x14ac:dyDescent="0.2">
      <c r="A30">
        <v>2017</v>
      </c>
      <c r="B30" s="20">
        <v>52870</v>
      </c>
      <c r="C30" s="20">
        <v>40730</v>
      </c>
      <c r="D30" s="20">
        <v>9646</v>
      </c>
      <c r="E30" s="20">
        <v>2494</v>
      </c>
    </row>
    <row r="31" spans="1:5" x14ac:dyDescent="0.2">
      <c r="A31">
        <v>2018</v>
      </c>
      <c r="B31" s="20">
        <v>53550</v>
      </c>
      <c r="C31" s="22">
        <v>40698</v>
      </c>
      <c r="D31" s="22">
        <v>9639</v>
      </c>
      <c r="E31" s="22">
        <v>3213</v>
      </c>
    </row>
    <row r="32" spans="1:5" x14ac:dyDescent="0.2">
      <c r="A32">
        <v>2019</v>
      </c>
      <c r="B32" s="20">
        <v>56146</v>
      </c>
      <c r="C32" s="20">
        <v>45502</v>
      </c>
      <c r="D32" s="20">
        <v>10215</v>
      </c>
      <c r="E32" s="20">
        <v>429</v>
      </c>
    </row>
    <row r="33" spans="1:5" x14ac:dyDescent="0.2">
      <c r="A33">
        <v>2020</v>
      </c>
      <c r="B33" s="20">
        <v>54017</v>
      </c>
      <c r="C33" s="20">
        <v>39044</v>
      </c>
      <c r="D33" s="20">
        <v>10486</v>
      </c>
      <c r="E33" s="20">
        <v>4487</v>
      </c>
    </row>
    <row r="34" spans="1:5" x14ac:dyDescent="0.2">
      <c r="A34">
        <v>2021</v>
      </c>
      <c r="B34" s="20">
        <v>86763</v>
      </c>
      <c r="C34" s="22">
        <v>65940</v>
      </c>
      <c r="D34" s="22">
        <v>15617</v>
      </c>
      <c r="E34" s="22">
        <v>5206</v>
      </c>
    </row>
    <row r="36" spans="1:5" x14ac:dyDescent="0.2">
      <c r="A36" s="1" t="s">
        <v>5</v>
      </c>
    </row>
    <row r="38" spans="1:5" ht="25.5" x14ac:dyDescent="0.2">
      <c r="B38" s="3" t="s">
        <v>2</v>
      </c>
      <c r="C38" s="3" t="s">
        <v>0</v>
      </c>
      <c r="D38" s="3" t="s">
        <v>1</v>
      </c>
      <c r="E38" s="3" t="s">
        <v>10</v>
      </c>
    </row>
    <row r="39" spans="1:5" x14ac:dyDescent="0.2">
      <c r="A39">
        <v>2010</v>
      </c>
      <c r="B39" s="4">
        <f>SUM(C39:E39)</f>
        <v>58079</v>
      </c>
      <c r="C39" s="4">
        <v>38089</v>
      </c>
      <c r="D39" s="4">
        <v>19765</v>
      </c>
      <c r="E39" s="6">
        <v>225</v>
      </c>
    </row>
    <row r="40" spans="1:5" x14ac:dyDescent="0.2">
      <c r="A40">
        <v>2011</v>
      </c>
      <c r="B40" s="4">
        <f t="shared" ref="B40:B50" si="1">SUM(C40:E40)</f>
        <v>58746</v>
      </c>
      <c r="C40" s="4">
        <v>39488</v>
      </c>
      <c r="D40" s="4">
        <v>19181</v>
      </c>
      <c r="E40" s="4">
        <v>77</v>
      </c>
    </row>
    <row r="41" spans="1:5" x14ac:dyDescent="0.2">
      <c r="A41">
        <v>2012</v>
      </c>
      <c r="B41" s="4">
        <f t="shared" si="1"/>
        <v>64219</v>
      </c>
      <c r="C41" s="4">
        <v>42814</v>
      </c>
      <c r="D41" s="4">
        <v>21405</v>
      </c>
      <c r="E41" s="4">
        <v>0</v>
      </c>
    </row>
    <row r="42" spans="1:5" x14ac:dyDescent="0.2">
      <c r="A42">
        <v>2013</v>
      </c>
      <c r="B42" s="4">
        <f t="shared" si="1"/>
        <v>59774</v>
      </c>
      <c r="C42" s="4">
        <v>38571</v>
      </c>
      <c r="D42" s="4">
        <v>20462</v>
      </c>
      <c r="E42" s="4">
        <v>741</v>
      </c>
    </row>
    <row r="43" spans="1:5" x14ac:dyDescent="0.2">
      <c r="A43">
        <v>2014</v>
      </c>
      <c r="B43" s="4">
        <f t="shared" si="1"/>
        <v>58953</v>
      </c>
      <c r="C43" s="4">
        <v>39587</v>
      </c>
      <c r="D43" s="4">
        <v>19133</v>
      </c>
      <c r="E43" s="4">
        <v>233</v>
      </c>
    </row>
    <row r="44" spans="1:5" x14ac:dyDescent="0.2">
      <c r="A44">
        <v>2015</v>
      </c>
      <c r="B44" s="4">
        <f t="shared" si="1"/>
        <v>66717</v>
      </c>
      <c r="C44" s="4">
        <v>46668</v>
      </c>
      <c r="D44" s="4">
        <v>19417</v>
      </c>
      <c r="E44" s="4">
        <v>632</v>
      </c>
    </row>
    <row r="45" spans="1:5" x14ac:dyDescent="0.2">
      <c r="A45">
        <v>2016</v>
      </c>
      <c r="B45" s="4">
        <f t="shared" si="1"/>
        <v>73959</v>
      </c>
      <c r="C45" s="4">
        <v>50919</v>
      </c>
      <c r="D45" s="4">
        <v>23039</v>
      </c>
      <c r="E45" s="4">
        <v>1</v>
      </c>
    </row>
    <row r="46" spans="1:5" x14ac:dyDescent="0.2">
      <c r="A46">
        <v>2017</v>
      </c>
      <c r="B46" s="4">
        <f t="shared" si="1"/>
        <v>77754</v>
      </c>
      <c r="C46" s="4">
        <v>54309</v>
      </c>
      <c r="D46" s="4">
        <v>23445</v>
      </c>
      <c r="E46" s="4">
        <v>0</v>
      </c>
    </row>
    <row r="47" spans="1:5" x14ac:dyDescent="0.2">
      <c r="A47">
        <v>2018</v>
      </c>
      <c r="B47" s="4">
        <f t="shared" si="1"/>
        <v>83207</v>
      </c>
      <c r="C47" s="6">
        <v>57766</v>
      </c>
      <c r="D47" s="4">
        <v>25368</v>
      </c>
      <c r="E47" s="6">
        <v>73</v>
      </c>
    </row>
    <row r="48" spans="1:5" x14ac:dyDescent="0.2">
      <c r="A48">
        <v>2019</v>
      </c>
      <c r="B48" s="4">
        <f t="shared" si="1"/>
        <v>85227</v>
      </c>
      <c r="C48" s="6">
        <v>57918</v>
      </c>
      <c r="D48" s="4">
        <v>28032</v>
      </c>
      <c r="E48" s="8">
        <v>-723</v>
      </c>
    </row>
    <row r="49" spans="1:5" x14ac:dyDescent="0.2">
      <c r="A49">
        <v>2020</v>
      </c>
      <c r="B49" s="4">
        <f t="shared" si="1"/>
        <v>88487</v>
      </c>
      <c r="C49" s="4">
        <v>57356</v>
      </c>
      <c r="D49" s="4">
        <v>31127</v>
      </c>
      <c r="E49" s="4">
        <v>4</v>
      </c>
    </row>
    <row r="50" spans="1:5" x14ac:dyDescent="0.2">
      <c r="A50">
        <v>2021</v>
      </c>
      <c r="B50" s="4">
        <f t="shared" si="1"/>
        <v>95568</v>
      </c>
      <c r="C50" s="4">
        <v>63582</v>
      </c>
      <c r="D50" s="4">
        <v>31982</v>
      </c>
      <c r="E50" s="4">
        <v>4</v>
      </c>
    </row>
    <row r="52" spans="1:5" x14ac:dyDescent="0.2">
      <c r="A52" s="1" t="s">
        <v>6</v>
      </c>
    </row>
    <row r="54" spans="1:5" ht="25.5" x14ac:dyDescent="0.2">
      <c r="B54" s="3" t="s">
        <v>2</v>
      </c>
      <c r="C54" s="3" t="s">
        <v>0</v>
      </c>
      <c r="D54" s="3" t="s">
        <v>1</v>
      </c>
      <c r="E54" s="3" t="s">
        <v>10</v>
      </c>
    </row>
    <row r="55" spans="1:5" x14ac:dyDescent="0.2">
      <c r="A55">
        <v>2010</v>
      </c>
      <c r="B55" s="4">
        <f>SUM(C55:E55)</f>
        <v>70569</v>
      </c>
      <c r="C55" s="4">
        <v>66311</v>
      </c>
      <c r="D55" s="4">
        <v>4258</v>
      </c>
      <c r="E55" s="4">
        <v>0</v>
      </c>
    </row>
    <row r="56" spans="1:5" x14ac:dyDescent="0.2">
      <c r="A56">
        <v>2011</v>
      </c>
      <c r="B56" s="4">
        <f t="shared" ref="B56:B66" si="2">SUM(C56:E56)</f>
        <v>78804</v>
      </c>
      <c r="C56" s="4">
        <v>73386</v>
      </c>
      <c r="D56" s="4">
        <v>5418</v>
      </c>
      <c r="E56" s="4">
        <v>0</v>
      </c>
    </row>
    <row r="57" spans="1:5" x14ac:dyDescent="0.2">
      <c r="A57">
        <v>2012</v>
      </c>
      <c r="B57" s="4">
        <f t="shared" si="2"/>
        <v>79027</v>
      </c>
      <c r="C57" s="4">
        <v>70587</v>
      </c>
      <c r="D57" s="4">
        <v>8440</v>
      </c>
      <c r="E57" s="4">
        <v>0</v>
      </c>
    </row>
    <row r="58" spans="1:5" x14ac:dyDescent="0.2">
      <c r="A58">
        <v>2013</v>
      </c>
      <c r="B58" s="4">
        <f t="shared" si="2"/>
        <v>77014</v>
      </c>
      <c r="C58" s="4">
        <v>68273</v>
      </c>
      <c r="D58" s="4">
        <v>8741</v>
      </c>
      <c r="E58" s="4">
        <v>0</v>
      </c>
    </row>
    <row r="59" spans="1:5" x14ac:dyDescent="0.2">
      <c r="A59">
        <v>2014</v>
      </c>
      <c r="B59" s="4">
        <f t="shared" si="2"/>
        <v>75335</v>
      </c>
      <c r="C59" s="4">
        <v>67123</v>
      </c>
      <c r="D59" s="4">
        <v>8148</v>
      </c>
      <c r="E59" s="4">
        <v>64</v>
      </c>
    </row>
    <row r="60" spans="1:5" x14ac:dyDescent="0.2">
      <c r="A60">
        <v>2015</v>
      </c>
      <c r="B60" s="4">
        <f t="shared" si="2"/>
        <v>80930</v>
      </c>
      <c r="C60" s="4">
        <v>71525</v>
      </c>
      <c r="D60" s="4">
        <f>7711+887</f>
        <v>8598</v>
      </c>
      <c r="E60" s="4">
        <v>807</v>
      </c>
    </row>
    <row r="61" spans="1:5" x14ac:dyDescent="0.2">
      <c r="A61">
        <v>2016</v>
      </c>
      <c r="B61" s="4">
        <f t="shared" si="2"/>
        <v>98153</v>
      </c>
      <c r="C61" s="4">
        <v>89975</v>
      </c>
      <c r="D61" s="4">
        <f>5094+388</f>
        <v>5482</v>
      </c>
      <c r="E61" s="4">
        <f>2671+25</f>
        <v>2696</v>
      </c>
    </row>
    <row r="62" spans="1:5" x14ac:dyDescent="0.2">
      <c r="A62">
        <v>2017</v>
      </c>
      <c r="B62" s="4">
        <f t="shared" si="2"/>
        <v>77026</v>
      </c>
      <c r="C62" s="4">
        <v>70785</v>
      </c>
      <c r="D62" s="4">
        <v>5406</v>
      </c>
      <c r="E62" s="4">
        <v>835</v>
      </c>
    </row>
    <row r="63" spans="1:5" x14ac:dyDescent="0.2">
      <c r="A63">
        <v>2018</v>
      </c>
      <c r="B63" s="4">
        <f t="shared" si="2"/>
        <v>79367</v>
      </c>
      <c r="C63" s="6">
        <v>72213</v>
      </c>
      <c r="D63" s="4">
        <v>6321</v>
      </c>
      <c r="E63" s="6">
        <v>833</v>
      </c>
    </row>
    <row r="64" spans="1:5" x14ac:dyDescent="0.2">
      <c r="A64">
        <v>2019</v>
      </c>
      <c r="B64" s="4">
        <f t="shared" si="2"/>
        <v>84368</v>
      </c>
      <c r="C64" s="6">
        <v>76578</v>
      </c>
      <c r="D64" s="4">
        <v>6655</v>
      </c>
      <c r="E64" s="6">
        <v>1135</v>
      </c>
    </row>
    <row r="65" spans="1:5" x14ac:dyDescent="0.2">
      <c r="A65">
        <v>2020</v>
      </c>
      <c r="B65" s="4">
        <f t="shared" si="2"/>
        <v>87391</v>
      </c>
      <c r="C65" s="6">
        <v>76563</v>
      </c>
      <c r="D65" s="4">
        <v>9777</v>
      </c>
      <c r="E65" s="6">
        <v>1051</v>
      </c>
    </row>
    <row r="66" spans="1:5" x14ac:dyDescent="0.2">
      <c r="A66">
        <v>2021</v>
      </c>
      <c r="B66" s="4">
        <f t="shared" si="2"/>
        <v>92172</v>
      </c>
      <c r="C66" s="6">
        <v>80127</v>
      </c>
      <c r="D66" s="4">
        <v>11619</v>
      </c>
      <c r="E66" s="6">
        <v>426</v>
      </c>
    </row>
    <row r="68" spans="1:5" x14ac:dyDescent="0.2">
      <c r="A68" s="1" t="s">
        <v>7</v>
      </c>
    </row>
    <row r="70" spans="1:5" ht="25.5" x14ac:dyDescent="0.2">
      <c r="B70" s="3" t="s">
        <v>2</v>
      </c>
      <c r="C70" s="3" t="s">
        <v>0</v>
      </c>
      <c r="D70" s="3" t="s">
        <v>1</v>
      </c>
      <c r="E70" s="3" t="s">
        <v>10</v>
      </c>
    </row>
    <row r="71" spans="1:5" x14ac:dyDescent="0.2">
      <c r="A71">
        <v>2010</v>
      </c>
      <c r="B71" s="4">
        <f>(SUM(C71:E71))</f>
        <v>358784</v>
      </c>
      <c r="C71" s="4">
        <f>20886+110428+105083</f>
        <v>236397</v>
      </c>
      <c r="D71" s="4">
        <f>224309-105083</f>
        <v>119226</v>
      </c>
      <c r="E71" s="4">
        <v>3161</v>
      </c>
    </row>
    <row r="72" spans="1:5" x14ac:dyDescent="0.2">
      <c r="A72">
        <v>2011</v>
      </c>
      <c r="B72" s="4">
        <f t="shared" ref="B72:B81" si="3">(SUM(C72:E72))</f>
        <v>390367</v>
      </c>
      <c r="C72" s="4">
        <f>29759+130301+102613</f>
        <v>262673</v>
      </c>
      <c r="D72" s="4">
        <f>228317-102613</f>
        <v>125704</v>
      </c>
      <c r="E72" s="4">
        <v>1990</v>
      </c>
    </row>
    <row r="73" spans="1:5" x14ac:dyDescent="0.2">
      <c r="A73">
        <v>2012</v>
      </c>
      <c r="B73" s="4">
        <f t="shared" si="3"/>
        <v>370466</v>
      </c>
      <c r="C73" s="4">
        <f>32873+142633+93733</f>
        <v>269239</v>
      </c>
      <c r="D73" s="4">
        <f>192043-93733</f>
        <v>98310</v>
      </c>
      <c r="E73" s="4">
        <v>2917</v>
      </c>
    </row>
    <row r="74" spans="1:5" x14ac:dyDescent="0.2">
      <c r="A74">
        <v>2013</v>
      </c>
      <c r="B74" s="4">
        <f t="shared" si="3"/>
        <v>340902</v>
      </c>
      <c r="C74" s="4">
        <f>151730+98143</f>
        <v>249873</v>
      </c>
      <c r="D74" s="4">
        <f>183672-98143</f>
        <v>85529</v>
      </c>
      <c r="E74" s="4">
        <v>5500</v>
      </c>
    </row>
    <row r="75" spans="1:5" x14ac:dyDescent="0.2">
      <c r="A75">
        <v>2014</v>
      </c>
      <c r="B75" s="4">
        <f t="shared" si="3"/>
        <v>339365</v>
      </c>
      <c r="C75" s="4">
        <f>159026+93845</f>
        <v>252871</v>
      </c>
      <c r="D75" s="4">
        <f>179599-93845</f>
        <v>85754</v>
      </c>
      <c r="E75" s="4">
        <v>740</v>
      </c>
    </row>
    <row r="76" spans="1:5" x14ac:dyDescent="0.2">
      <c r="A76">
        <v>2015</v>
      </c>
      <c r="B76" s="4">
        <f t="shared" si="3"/>
        <v>336837</v>
      </c>
      <c r="C76" s="4">
        <v>245963</v>
      </c>
      <c r="D76" s="4">
        <v>89961</v>
      </c>
      <c r="E76" s="4">
        <v>913</v>
      </c>
    </row>
    <row r="77" spans="1:5" x14ac:dyDescent="0.2">
      <c r="A77">
        <v>2016</v>
      </c>
      <c r="B77" s="4">
        <f t="shared" si="3"/>
        <v>351806</v>
      </c>
      <c r="C77" s="4">
        <v>247393</v>
      </c>
      <c r="D77" s="4">
        <f>80471+21478</f>
        <v>101949</v>
      </c>
      <c r="E77" s="4">
        <v>2464</v>
      </c>
    </row>
    <row r="78" spans="1:5" x14ac:dyDescent="0.2">
      <c r="A78">
        <v>2017</v>
      </c>
      <c r="B78" s="4">
        <f t="shared" si="3"/>
        <v>324299</v>
      </c>
      <c r="C78" s="6">
        <v>222037</v>
      </c>
      <c r="D78" s="4">
        <v>101560</v>
      </c>
      <c r="E78" s="4">
        <v>702</v>
      </c>
    </row>
    <row r="79" spans="1:5" x14ac:dyDescent="0.2">
      <c r="A79">
        <v>2018</v>
      </c>
      <c r="B79" s="4">
        <f t="shared" si="3"/>
        <v>332850</v>
      </c>
      <c r="C79" s="8">
        <v>224768</v>
      </c>
      <c r="D79" s="4">
        <v>106896</v>
      </c>
      <c r="E79" s="6">
        <v>1186</v>
      </c>
    </row>
    <row r="80" spans="1:5" x14ac:dyDescent="0.2">
      <c r="A80">
        <v>2019</v>
      </c>
      <c r="B80" s="4">
        <f t="shared" si="3"/>
        <v>379419</v>
      </c>
      <c r="C80" s="4">
        <v>264282</v>
      </c>
      <c r="D80" s="4">
        <v>112827</v>
      </c>
      <c r="E80" s="4">
        <v>2310</v>
      </c>
    </row>
    <row r="81" spans="1:5" x14ac:dyDescent="0.2">
      <c r="A81">
        <v>2020</v>
      </c>
      <c r="B81" s="4">
        <f t="shared" si="3"/>
        <v>475609</v>
      </c>
      <c r="C81" s="4">
        <v>352491</v>
      </c>
      <c r="D81" s="4">
        <v>122960</v>
      </c>
      <c r="E81" s="4">
        <v>158</v>
      </c>
    </row>
    <row r="82" spans="1:5" x14ac:dyDescent="0.2">
      <c r="B82" s="4"/>
      <c r="C82" s="4"/>
      <c r="D82" s="4"/>
      <c r="E82" s="4"/>
    </row>
    <row r="83" spans="1:5" x14ac:dyDescent="0.2">
      <c r="B83" s="4"/>
      <c r="C83" s="4"/>
      <c r="D83" s="4"/>
      <c r="E83" s="4"/>
    </row>
    <row r="84" spans="1:5" x14ac:dyDescent="0.2">
      <c r="B84" s="4"/>
      <c r="C84" s="4"/>
      <c r="D84" s="4"/>
      <c r="E84" s="4"/>
    </row>
    <row r="85" spans="1:5" x14ac:dyDescent="0.2">
      <c r="B85" s="4"/>
      <c r="C85" s="4"/>
      <c r="D85" s="4"/>
      <c r="E85" s="4"/>
    </row>
    <row r="86" spans="1:5" x14ac:dyDescent="0.2">
      <c r="B86" s="4"/>
      <c r="C86" s="4"/>
      <c r="D86" s="4"/>
      <c r="E86" s="4"/>
    </row>
  </sheetData>
  <hyperlinks>
    <hyperlink ref="B11" r:id="rId1" display="http://www.nederlandsforensischinstituut.nl/"/>
    <hyperlink ref="U36" r:id="rId2" display="http://www.rijksbegroting.nl/2011/verantwoording/jaarverslag,kst169969_22.html"/>
    <hyperlink ref="U35" r:id="rId3" display="http://www.rijksbegroting.nl/2010/verantwoording/jaarverslag,kst156088_19.html"/>
    <hyperlink ref="A11" r:id="rId4" display="http://www.nederlandsforensischinstituut.nl/"/>
    <hyperlink ref="T36" r:id="rId5" display="http://www.rijksbegroting.nl/2011/verantwoording/jaarverslag,kst169969_22.html"/>
    <hyperlink ref="T35" r:id="rId6" display="http://www.rijksbegroting.nl/2010/verantwoording/jaarverslag,kst156088_19.html"/>
    <hyperlink ref="R36" r:id="rId7" display="http://www.rijksbegroting.nl/2011/verantwoording/jaarverslag,kst169969_22.html"/>
    <hyperlink ref="R35" r:id="rId8" display="http://www.rijksbegroting.nl/2010/verantwoording/jaarverslag,kst156088_19.html"/>
    <hyperlink ref="A43" r:id="rId9" display="info@rivm.nl"/>
    <hyperlink ref="A42" r:id="rId10" display="http://www.rivm.nl/"/>
  </hyperlinks>
  <pageMargins left="0.7" right="0.7" top="0.75" bottom="0.75" header="0.3" footer="0.3"/>
  <pageSetup paperSize="9" orientation="portrait" verticalDpi="0" r:id="rId1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4"/>
  <sheetViews>
    <sheetView zoomScaleNormal="100" workbookViewId="0">
      <selection activeCell="A34" sqref="A34"/>
    </sheetView>
  </sheetViews>
  <sheetFormatPr defaultRowHeight="12.75" x14ac:dyDescent="0.2"/>
  <cols>
    <col min="2" max="5" width="12.7109375" customWidth="1"/>
  </cols>
  <sheetData>
    <row r="1" spans="1:7" x14ac:dyDescent="0.2">
      <c r="A1" s="1" t="s">
        <v>8</v>
      </c>
    </row>
    <row r="2" spans="1:7" x14ac:dyDescent="0.2">
      <c r="A2" s="1" t="s">
        <v>38</v>
      </c>
    </row>
    <row r="4" spans="1:7" x14ac:dyDescent="0.2">
      <c r="A4" s="1" t="s">
        <v>9</v>
      </c>
    </row>
    <row r="6" spans="1:7" ht="25.5" x14ac:dyDescent="0.2">
      <c r="A6" s="2"/>
      <c r="B6" s="3" t="s">
        <v>2</v>
      </c>
      <c r="C6" s="3" t="s">
        <v>0</v>
      </c>
      <c r="D6" s="3" t="s">
        <v>1</v>
      </c>
      <c r="E6" s="3" t="s">
        <v>10</v>
      </c>
    </row>
    <row r="7" spans="1:7" x14ac:dyDescent="0.2">
      <c r="A7">
        <v>2010</v>
      </c>
      <c r="B7" s="4">
        <f>SUM(C7:E7)</f>
        <v>112900</v>
      </c>
      <c r="C7" s="4">
        <v>14100</v>
      </c>
      <c r="D7" s="4">
        <v>98800</v>
      </c>
      <c r="E7">
        <v>0</v>
      </c>
    </row>
    <row r="8" spans="1:7" x14ac:dyDescent="0.2">
      <c r="A8">
        <v>2011</v>
      </c>
      <c r="B8" s="4">
        <f t="shared" ref="B8:B18" si="0">SUM(C8:E8)</f>
        <v>112100</v>
      </c>
      <c r="C8" s="4">
        <v>13300</v>
      </c>
      <c r="D8" s="4">
        <v>98800</v>
      </c>
      <c r="E8">
        <v>0</v>
      </c>
    </row>
    <row r="9" spans="1:7" x14ac:dyDescent="0.2">
      <c r="A9">
        <v>2012</v>
      </c>
      <c r="B9" s="4">
        <f t="shared" si="0"/>
        <v>110900</v>
      </c>
      <c r="C9" s="4">
        <v>12200</v>
      </c>
      <c r="D9" s="4">
        <v>98700</v>
      </c>
      <c r="E9">
        <v>0</v>
      </c>
    </row>
    <row r="10" spans="1:7" x14ac:dyDescent="0.2">
      <c r="A10">
        <v>2013</v>
      </c>
      <c r="B10" s="4">
        <f t="shared" si="0"/>
        <v>106000</v>
      </c>
      <c r="C10" s="4">
        <v>12100</v>
      </c>
      <c r="D10" s="4">
        <v>93900</v>
      </c>
      <c r="E10">
        <v>0</v>
      </c>
    </row>
    <row r="11" spans="1:7" x14ac:dyDescent="0.2">
      <c r="A11">
        <v>2014</v>
      </c>
      <c r="B11" s="4">
        <f t="shared" si="0"/>
        <v>104100</v>
      </c>
      <c r="C11" s="4">
        <v>11300</v>
      </c>
      <c r="D11" s="4">
        <v>92800</v>
      </c>
      <c r="E11">
        <v>0</v>
      </c>
    </row>
    <row r="12" spans="1:7" x14ac:dyDescent="0.2">
      <c r="A12">
        <v>2015</v>
      </c>
      <c r="B12" s="4">
        <f t="shared" si="0"/>
        <v>107971</v>
      </c>
      <c r="C12" s="4">
        <v>11067</v>
      </c>
      <c r="D12" s="4">
        <v>96904</v>
      </c>
      <c r="E12">
        <v>0</v>
      </c>
    </row>
    <row r="13" spans="1:7" x14ac:dyDescent="0.2">
      <c r="A13" s="7">
        <v>2016</v>
      </c>
      <c r="B13" s="4">
        <f t="shared" si="0"/>
        <v>109000</v>
      </c>
      <c r="C13" s="5">
        <v>9810</v>
      </c>
      <c r="D13" s="4">
        <v>99190</v>
      </c>
      <c r="E13" s="7">
        <v>0</v>
      </c>
    </row>
    <row r="14" spans="1:7" x14ac:dyDescent="0.2">
      <c r="A14" s="7">
        <v>2017</v>
      </c>
      <c r="B14" s="4">
        <f t="shared" si="0"/>
        <v>109000</v>
      </c>
      <c r="C14" s="5">
        <v>9810</v>
      </c>
      <c r="D14" s="4">
        <v>99190</v>
      </c>
      <c r="E14" s="7">
        <v>0</v>
      </c>
    </row>
    <row r="15" spans="1:7" x14ac:dyDescent="0.2">
      <c r="A15" s="7">
        <v>2018</v>
      </c>
      <c r="B15" s="4">
        <f t="shared" si="0"/>
        <v>114466</v>
      </c>
      <c r="C15" s="4">
        <v>14493</v>
      </c>
      <c r="D15" s="4">
        <v>99973</v>
      </c>
      <c r="E15" s="7">
        <v>0</v>
      </c>
    </row>
    <row r="16" spans="1:7" x14ac:dyDescent="0.2">
      <c r="A16" s="7">
        <v>2019</v>
      </c>
      <c r="B16" s="4">
        <f t="shared" si="0"/>
        <v>118754</v>
      </c>
      <c r="C16" s="4">
        <v>19179</v>
      </c>
      <c r="D16" s="4">
        <v>99575</v>
      </c>
      <c r="E16" s="5">
        <v>0</v>
      </c>
      <c r="G16" s="4"/>
    </row>
    <row r="17" spans="1:7" x14ac:dyDescent="0.2">
      <c r="A17" s="9">
        <v>2020</v>
      </c>
      <c r="B17" s="4">
        <f t="shared" si="0"/>
        <v>112797</v>
      </c>
      <c r="C17" s="4">
        <v>19376</v>
      </c>
      <c r="D17" s="4">
        <v>93421</v>
      </c>
      <c r="E17" s="5">
        <v>0</v>
      </c>
      <c r="G17" s="4"/>
    </row>
    <row r="18" spans="1:7" x14ac:dyDescent="0.2">
      <c r="A18" s="7">
        <v>2021</v>
      </c>
      <c r="B18" s="4">
        <f t="shared" si="0"/>
        <v>115028</v>
      </c>
      <c r="C18" s="4">
        <v>21137</v>
      </c>
      <c r="D18" s="4">
        <v>93891</v>
      </c>
      <c r="E18" s="5">
        <v>0</v>
      </c>
      <c r="G18" s="4"/>
    </row>
    <row r="20" spans="1:7" x14ac:dyDescent="0.2">
      <c r="A20" s="1" t="s">
        <v>30</v>
      </c>
    </row>
    <row r="22" spans="1:7" ht="25.5" x14ac:dyDescent="0.2">
      <c r="A22" s="2"/>
      <c r="B22" s="3" t="s">
        <v>2</v>
      </c>
      <c r="C22" s="3" t="s">
        <v>0</v>
      </c>
      <c r="D22" s="3" t="s">
        <v>1</v>
      </c>
      <c r="E22" s="3" t="s">
        <v>10</v>
      </c>
    </row>
    <row r="23" spans="1:7" x14ac:dyDescent="0.2">
      <c r="A23">
        <v>2010</v>
      </c>
      <c r="B23" s="4">
        <f>SUM(C23:E23)</f>
        <v>83569</v>
      </c>
      <c r="C23" s="4">
        <v>33436</v>
      </c>
      <c r="D23" s="4">
        <v>46511</v>
      </c>
      <c r="E23" s="4">
        <v>3622</v>
      </c>
      <c r="F23" s="4"/>
    </row>
    <row r="24" spans="1:7" x14ac:dyDescent="0.2">
      <c r="A24">
        <v>2011</v>
      </c>
      <c r="B24" s="4">
        <f t="shared" ref="B24:B29" si="1">SUM(C24:E24)</f>
        <v>74748</v>
      </c>
      <c r="C24" s="4">
        <v>29442</v>
      </c>
      <c r="D24" s="4">
        <v>42018</v>
      </c>
      <c r="E24" s="4">
        <v>3288</v>
      </c>
      <c r="F24" s="4"/>
    </row>
    <row r="25" spans="1:7" x14ac:dyDescent="0.2">
      <c r="A25">
        <v>2012</v>
      </c>
      <c r="B25" s="4">
        <f t="shared" si="1"/>
        <v>75616</v>
      </c>
      <c r="C25" s="4">
        <v>25307</v>
      </c>
      <c r="D25" s="4">
        <v>46627</v>
      </c>
      <c r="E25" s="4">
        <v>3682</v>
      </c>
      <c r="F25" s="4"/>
    </row>
    <row r="26" spans="1:7" x14ac:dyDescent="0.2">
      <c r="A26">
        <v>2013</v>
      </c>
      <c r="B26" s="4">
        <f t="shared" si="1"/>
        <v>80710</v>
      </c>
      <c r="C26" s="4">
        <v>25583</v>
      </c>
      <c r="D26" s="4">
        <v>53037</v>
      </c>
      <c r="E26" s="4">
        <v>2090</v>
      </c>
      <c r="F26" s="4"/>
    </row>
    <row r="27" spans="1:7" x14ac:dyDescent="0.2">
      <c r="A27">
        <v>2014</v>
      </c>
      <c r="B27" s="4">
        <f t="shared" si="1"/>
        <v>76164</v>
      </c>
      <c r="C27" s="4">
        <v>23512</v>
      </c>
      <c r="D27" s="4">
        <v>50690</v>
      </c>
      <c r="E27" s="4">
        <v>1962</v>
      </c>
      <c r="F27" s="4"/>
    </row>
    <row r="28" spans="1:7" x14ac:dyDescent="0.2">
      <c r="A28">
        <v>2015</v>
      </c>
      <c r="B28" s="4">
        <f t="shared" si="1"/>
        <v>70445</v>
      </c>
      <c r="C28" s="4">
        <v>23106</v>
      </c>
      <c r="D28" s="4">
        <v>46774</v>
      </c>
      <c r="E28" s="4">
        <v>565</v>
      </c>
      <c r="F28" s="4"/>
    </row>
    <row r="29" spans="1:7" x14ac:dyDescent="0.2">
      <c r="A29">
        <v>2016</v>
      </c>
      <c r="B29" s="4">
        <f t="shared" si="1"/>
        <v>66543</v>
      </c>
      <c r="C29" s="4">
        <v>22273</v>
      </c>
      <c r="D29" s="4">
        <v>44035</v>
      </c>
      <c r="E29" s="4">
        <v>235</v>
      </c>
      <c r="F29" s="4"/>
    </row>
    <row r="30" spans="1:7" x14ac:dyDescent="0.2">
      <c r="A30">
        <v>2017</v>
      </c>
      <c r="B30" s="4">
        <v>69816</v>
      </c>
      <c r="C30" s="4">
        <v>21866</v>
      </c>
      <c r="D30" s="4">
        <v>46526</v>
      </c>
      <c r="E30" s="4">
        <v>1424</v>
      </c>
      <c r="F30" s="4"/>
    </row>
    <row r="32" spans="1:7" x14ac:dyDescent="0.2">
      <c r="A32" s="1" t="s">
        <v>11</v>
      </c>
    </row>
    <row r="33" spans="1:5" x14ac:dyDescent="0.2">
      <c r="A33" s="16" t="s">
        <v>42</v>
      </c>
    </row>
    <row r="34" spans="1:5" ht="25.5" x14ac:dyDescent="0.2">
      <c r="A34" s="2"/>
      <c r="B34" s="3" t="s">
        <v>2</v>
      </c>
      <c r="C34" s="3" t="s">
        <v>0</v>
      </c>
      <c r="D34" s="3" t="s">
        <v>1</v>
      </c>
      <c r="E34" s="3" t="s">
        <v>10</v>
      </c>
    </row>
    <row r="35" spans="1:5" x14ac:dyDescent="0.2">
      <c r="A35">
        <v>2010</v>
      </c>
      <c r="B35" s="4">
        <f>SUM(C35:E35)</f>
        <v>39578</v>
      </c>
      <c r="C35" s="5">
        <v>4312</v>
      </c>
      <c r="D35" s="5">
        <v>35269</v>
      </c>
      <c r="E35">
        <v>-3</v>
      </c>
    </row>
    <row r="36" spans="1:5" x14ac:dyDescent="0.2">
      <c r="A36">
        <v>2011</v>
      </c>
      <c r="B36" s="4">
        <f t="shared" ref="B36:B46" si="2">SUM(C36:E36)</f>
        <v>38245</v>
      </c>
      <c r="C36" s="5">
        <v>4065</v>
      </c>
      <c r="D36" s="5">
        <v>34182</v>
      </c>
      <c r="E36">
        <v>-2</v>
      </c>
    </row>
    <row r="37" spans="1:5" x14ac:dyDescent="0.2">
      <c r="A37">
        <v>2012</v>
      </c>
      <c r="B37" s="4">
        <f t="shared" si="2"/>
        <v>42262</v>
      </c>
      <c r="C37" s="5">
        <v>4886</v>
      </c>
      <c r="D37" s="5">
        <v>37376</v>
      </c>
      <c r="E37">
        <v>0</v>
      </c>
    </row>
    <row r="38" spans="1:5" x14ac:dyDescent="0.2">
      <c r="A38">
        <v>2013</v>
      </c>
      <c r="B38" s="4">
        <f t="shared" si="2"/>
        <v>43129</v>
      </c>
      <c r="C38" s="5">
        <v>4708</v>
      </c>
      <c r="D38" s="5">
        <v>38411</v>
      </c>
      <c r="E38">
        <v>10</v>
      </c>
    </row>
    <row r="39" spans="1:5" x14ac:dyDescent="0.2">
      <c r="A39">
        <v>2014</v>
      </c>
      <c r="B39" s="4">
        <f t="shared" si="2"/>
        <v>42720</v>
      </c>
      <c r="C39" s="5">
        <v>4672</v>
      </c>
      <c r="D39" s="5">
        <v>38048</v>
      </c>
      <c r="E39">
        <v>0</v>
      </c>
    </row>
    <row r="40" spans="1:5" x14ac:dyDescent="0.2">
      <c r="A40">
        <v>2015</v>
      </c>
      <c r="B40" s="4">
        <f t="shared" si="2"/>
        <v>45100</v>
      </c>
      <c r="C40" s="5">
        <v>4100</v>
      </c>
      <c r="D40" s="5">
        <v>41000</v>
      </c>
      <c r="E40">
        <v>0</v>
      </c>
    </row>
    <row r="41" spans="1:5" x14ac:dyDescent="0.2">
      <c r="A41">
        <v>2016</v>
      </c>
      <c r="B41" s="4">
        <f t="shared" si="2"/>
        <v>42919</v>
      </c>
      <c r="C41" s="5">
        <v>4803</v>
      </c>
      <c r="D41" s="5">
        <v>38116</v>
      </c>
      <c r="E41">
        <v>0</v>
      </c>
    </row>
    <row r="42" spans="1:5" x14ac:dyDescent="0.2">
      <c r="A42">
        <v>2017</v>
      </c>
      <c r="B42" s="4">
        <f t="shared" si="2"/>
        <v>39547</v>
      </c>
      <c r="C42" s="5">
        <v>4049</v>
      </c>
      <c r="D42" s="5">
        <v>35498</v>
      </c>
      <c r="E42" s="5">
        <v>0</v>
      </c>
    </row>
    <row r="43" spans="1:5" x14ac:dyDescent="0.2">
      <c r="A43">
        <v>2018</v>
      </c>
      <c r="B43" s="4">
        <f t="shared" si="2"/>
        <v>47275</v>
      </c>
      <c r="C43" s="4">
        <v>7287</v>
      </c>
      <c r="D43" s="5">
        <v>39988</v>
      </c>
      <c r="E43" s="5">
        <v>0</v>
      </c>
    </row>
    <row r="44" spans="1:5" x14ac:dyDescent="0.2">
      <c r="A44">
        <v>2019</v>
      </c>
      <c r="B44" s="4">
        <f t="shared" si="2"/>
        <v>51007</v>
      </c>
      <c r="C44" s="4">
        <v>8290</v>
      </c>
      <c r="D44" s="4">
        <v>42670</v>
      </c>
      <c r="E44" s="5">
        <f>54+(-7)</f>
        <v>47</v>
      </c>
    </row>
    <row r="45" spans="1:5" x14ac:dyDescent="0.2">
      <c r="A45" s="9">
        <v>2020</v>
      </c>
      <c r="B45" s="4">
        <f t="shared" si="2"/>
        <v>47265</v>
      </c>
      <c r="C45" s="4">
        <v>9087</v>
      </c>
      <c r="D45" s="4">
        <v>38178</v>
      </c>
      <c r="E45" s="5">
        <v>0</v>
      </c>
    </row>
    <row r="46" spans="1:5" x14ac:dyDescent="0.2">
      <c r="A46" s="19">
        <v>2021</v>
      </c>
      <c r="B46" s="17">
        <f t="shared" si="2"/>
        <v>47265</v>
      </c>
      <c r="C46" s="17">
        <v>9087</v>
      </c>
      <c r="D46" s="17">
        <v>38178</v>
      </c>
      <c r="E46" s="18">
        <v>0</v>
      </c>
    </row>
    <row r="48" spans="1:5" x14ac:dyDescent="0.2">
      <c r="A48" s="1" t="s">
        <v>12</v>
      </c>
    </row>
    <row r="50" spans="1:5" ht="25.5" x14ac:dyDescent="0.2">
      <c r="A50" s="2"/>
      <c r="B50" s="3" t="s">
        <v>2</v>
      </c>
      <c r="C50" s="3" t="s">
        <v>0</v>
      </c>
      <c r="D50" s="3" t="s">
        <v>1</v>
      </c>
      <c r="E50" s="3" t="s">
        <v>10</v>
      </c>
    </row>
    <row r="51" spans="1:5" x14ac:dyDescent="0.2">
      <c r="A51">
        <v>2010</v>
      </c>
      <c r="B51" s="4">
        <f>SUM(C51:E51)</f>
        <v>80705</v>
      </c>
      <c r="C51" s="4">
        <f>19607+5354</f>
        <v>24961</v>
      </c>
      <c r="D51" s="4">
        <v>55744</v>
      </c>
      <c r="E51">
        <v>0</v>
      </c>
    </row>
    <row r="52" spans="1:5" x14ac:dyDescent="0.2">
      <c r="A52">
        <v>2011</v>
      </c>
      <c r="B52" s="4">
        <f t="shared" ref="B52:B62" si="3">SUM(C52:E52)</f>
        <v>79608</v>
      </c>
      <c r="C52" s="4">
        <f>19750+5931</f>
        <v>25681</v>
      </c>
      <c r="D52" s="4">
        <v>53927</v>
      </c>
      <c r="E52">
        <v>0</v>
      </c>
    </row>
    <row r="53" spans="1:5" x14ac:dyDescent="0.2">
      <c r="A53">
        <v>2012</v>
      </c>
      <c r="B53" s="4">
        <f t="shared" si="3"/>
        <v>79030</v>
      </c>
      <c r="C53" s="4">
        <f>18313+5768</f>
        <v>24081</v>
      </c>
      <c r="D53" s="4">
        <v>54949</v>
      </c>
      <c r="E53">
        <v>0</v>
      </c>
    </row>
    <row r="54" spans="1:5" x14ac:dyDescent="0.2">
      <c r="A54">
        <v>2013</v>
      </c>
      <c r="B54" s="4">
        <f t="shared" si="3"/>
        <v>79089</v>
      </c>
      <c r="C54" s="4">
        <f>18067+6736</f>
        <v>24803</v>
      </c>
      <c r="D54" s="4">
        <v>54286</v>
      </c>
      <c r="E54">
        <v>0</v>
      </c>
    </row>
    <row r="55" spans="1:5" x14ac:dyDescent="0.2">
      <c r="A55">
        <v>2014</v>
      </c>
      <c r="B55" s="4">
        <f t="shared" si="3"/>
        <v>80153</v>
      </c>
      <c r="C55" s="4">
        <f>17489+7197</f>
        <v>24686</v>
      </c>
      <c r="D55" s="4">
        <v>55467</v>
      </c>
      <c r="E55">
        <v>0</v>
      </c>
    </row>
    <row r="56" spans="1:5" x14ac:dyDescent="0.2">
      <c r="A56">
        <v>2015</v>
      </c>
      <c r="B56" s="4">
        <f t="shared" si="3"/>
        <v>81181</v>
      </c>
      <c r="C56" s="4">
        <f>17136+5711</f>
        <v>22847</v>
      </c>
      <c r="D56" s="4">
        <v>58334</v>
      </c>
      <c r="E56">
        <v>0</v>
      </c>
    </row>
    <row r="57" spans="1:5" x14ac:dyDescent="0.2">
      <c r="A57">
        <v>2016</v>
      </c>
      <c r="B57" s="4">
        <f t="shared" si="3"/>
        <v>80725</v>
      </c>
      <c r="C57" s="4">
        <v>22391</v>
      </c>
      <c r="D57" s="4">
        <v>58334</v>
      </c>
      <c r="E57" s="4">
        <v>0</v>
      </c>
    </row>
    <row r="58" spans="1:5" x14ac:dyDescent="0.2">
      <c r="A58">
        <v>2017</v>
      </c>
      <c r="B58" s="4">
        <f t="shared" si="3"/>
        <v>82730</v>
      </c>
      <c r="C58" s="4">
        <v>21191</v>
      </c>
      <c r="D58" s="4">
        <v>61539</v>
      </c>
      <c r="E58" s="4">
        <v>0</v>
      </c>
    </row>
    <row r="59" spans="1:5" x14ac:dyDescent="0.2">
      <c r="A59">
        <v>2018</v>
      </c>
      <c r="B59" s="4">
        <f t="shared" si="3"/>
        <v>88218</v>
      </c>
      <c r="C59" s="4">
        <v>22578</v>
      </c>
      <c r="D59" s="4">
        <v>65640</v>
      </c>
      <c r="E59" s="4">
        <v>0</v>
      </c>
    </row>
    <row r="60" spans="1:5" x14ac:dyDescent="0.2">
      <c r="A60">
        <v>2019</v>
      </c>
      <c r="B60" s="4">
        <f t="shared" si="3"/>
        <v>93195</v>
      </c>
      <c r="C60" s="4">
        <v>25761</v>
      </c>
      <c r="D60" s="4">
        <v>67434</v>
      </c>
      <c r="E60" s="4">
        <v>0</v>
      </c>
    </row>
    <row r="61" spans="1:5" x14ac:dyDescent="0.2">
      <c r="A61" s="9">
        <v>2020</v>
      </c>
      <c r="B61" s="4">
        <f t="shared" si="3"/>
        <v>96543</v>
      </c>
      <c r="C61" s="4">
        <v>28513</v>
      </c>
      <c r="D61" s="4">
        <v>68030</v>
      </c>
      <c r="E61" s="4">
        <v>0</v>
      </c>
    </row>
    <row r="62" spans="1:5" x14ac:dyDescent="0.2">
      <c r="A62">
        <v>2021</v>
      </c>
      <c r="B62" s="4">
        <f t="shared" si="3"/>
        <v>97036</v>
      </c>
      <c r="C62" s="4">
        <v>28081</v>
      </c>
      <c r="D62" s="4">
        <v>68955</v>
      </c>
      <c r="E62" s="4"/>
    </row>
    <row r="63" spans="1:5" x14ac:dyDescent="0.2">
      <c r="C63" s="4"/>
    </row>
    <row r="64" spans="1:5" x14ac:dyDescent="0.2">
      <c r="A64" s="1" t="s">
        <v>28</v>
      </c>
    </row>
    <row r="65" spans="1:5" x14ac:dyDescent="0.2">
      <c r="C65" s="4"/>
      <c r="D65" s="4"/>
    </row>
    <row r="66" spans="1:5" ht="25.5" x14ac:dyDescent="0.2">
      <c r="A66" s="2"/>
      <c r="B66" s="3" t="s">
        <v>2</v>
      </c>
      <c r="C66" s="3" t="s">
        <v>0</v>
      </c>
      <c r="D66" s="3" t="s">
        <v>1</v>
      </c>
      <c r="E66" s="3" t="s">
        <v>10</v>
      </c>
    </row>
    <row r="67" spans="1:5" x14ac:dyDescent="0.2">
      <c r="A67">
        <v>2010</v>
      </c>
      <c r="B67" s="4">
        <f t="shared" ref="B67:B72" si="4">SUM(C67:E67)</f>
        <v>508421</v>
      </c>
      <c r="C67" s="4">
        <v>194761</v>
      </c>
      <c r="D67" s="4">
        <v>297229</v>
      </c>
      <c r="E67">
        <v>16431</v>
      </c>
    </row>
    <row r="68" spans="1:5" x14ac:dyDescent="0.2">
      <c r="A68">
        <v>2011</v>
      </c>
      <c r="B68" s="4">
        <f t="shared" si="4"/>
        <v>500901</v>
      </c>
      <c r="C68" s="4">
        <v>188922</v>
      </c>
      <c r="D68" s="4">
        <v>289184</v>
      </c>
      <c r="E68" s="4">
        <v>22795</v>
      </c>
    </row>
    <row r="69" spans="1:5" x14ac:dyDescent="0.2">
      <c r="A69">
        <v>2012</v>
      </c>
      <c r="B69" s="4">
        <f t="shared" si="4"/>
        <v>505656</v>
      </c>
      <c r="C69" s="4">
        <v>192266</v>
      </c>
      <c r="D69" s="4">
        <v>289748</v>
      </c>
      <c r="E69" s="4">
        <v>23642</v>
      </c>
    </row>
    <row r="70" spans="1:5" x14ac:dyDescent="0.2">
      <c r="A70">
        <v>2013</v>
      </c>
      <c r="B70" s="4">
        <f t="shared" si="4"/>
        <v>478564</v>
      </c>
      <c r="C70" s="4">
        <v>180479</v>
      </c>
      <c r="D70" s="4">
        <v>276064</v>
      </c>
      <c r="E70">
        <v>22021</v>
      </c>
    </row>
    <row r="71" spans="1:5" x14ac:dyDescent="0.2">
      <c r="A71">
        <v>2014</v>
      </c>
      <c r="B71" s="4">
        <f t="shared" si="4"/>
        <v>447019</v>
      </c>
      <c r="C71" s="4">
        <v>171172</v>
      </c>
      <c r="D71" s="4">
        <v>253020</v>
      </c>
      <c r="E71">
        <v>22827</v>
      </c>
    </row>
    <row r="72" spans="1:5" x14ac:dyDescent="0.2">
      <c r="A72">
        <v>2015</v>
      </c>
      <c r="B72" s="4">
        <f t="shared" si="4"/>
        <v>440943</v>
      </c>
      <c r="C72" s="4">
        <v>167934</v>
      </c>
      <c r="D72" s="4">
        <v>248196</v>
      </c>
      <c r="E72">
        <v>24813</v>
      </c>
    </row>
    <row r="73" spans="1:5" x14ac:dyDescent="0.2">
      <c r="A73">
        <v>2016</v>
      </c>
      <c r="B73" s="4">
        <v>453182</v>
      </c>
      <c r="C73" s="4">
        <v>176257</v>
      </c>
      <c r="D73" s="4">
        <v>254420</v>
      </c>
      <c r="E73" s="4">
        <v>22505</v>
      </c>
    </row>
    <row r="74" spans="1:5" x14ac:dyDescent="0.2">
      <c r="A74">
        <v>2017</v>
      </c>
      <c r="B74" s="4">
        <f>SUM(C74:E74)</f>
        <v>443110</v>
      </c>
      <c r="C74" s="4">
        <v>176493</v>
      </c>
      <c r="D74" s="4">
        <v>249118</v>
      </c>
      <c r="E74" s="4">
        <v>17499</v>
      </c>
    </row>
    <row r="75" spans="1:5" x14ac:dyDescent="0.2">
      <c r="A75" s="9">
        <v>2018</v>
      </c>
      <c r="B75" s="4">
        <f>SUM(C75:E75)</f>
        <v>503897</v>
      </c>
      <c r="C75" s="6">
        <v>216323</v>
      </c>
      <c r="D75" s="6">
        <v>265914</v>
      </c>
      <c r="E75" s="6">
        <v>21660</v>
      </c>
    </row>
    <row r="76" spans="1:5" x14ac:dyDescent="0.2">
      <c r="A76" s="9">
        <v>2019</v>
      </c>
      <c r="B76" s="4">
        <f>SUM(C76:E76)</f>
        <v>553080</v>
      </c>
      <c r="C76" s="6">
        <v>242646</v>
      </c>
      <c r="D76" s="6">
        <v>291927</v>
      </c>
      <c r="E76" s="6">
        <v>18507</v>
      </c>
    </row>
    <row r="77" spans="1:5" x14ac:dyDescent="0.2">
      <c r="A77" s="9">
        <v>2020</v>
      </c>
      <c r="B77" s="4">
        <f>SUM(C77:E77)</f>
        <v>552412</v>
      </c>
      <c r="C77" s="6">
        <v>258764</v>
      </c>
      <c r="D77" s="6">
        <v>281293</v>
      </c>
      <c r="E77" s="6">
        <v>12355</v>
      </c>
    </row>
    <row r="78" spans="1:5" x14ac:dyDescent="0.2">
      <c r="A78" s="9">
        <v>2021</v>
      </c>
      <c r="B78" s="4">
        <f>SUM(C78:E78)</f>
        <v>572450</v>
      </c>
      <c r="C78" s="6">
        <v>268707</v>
      </c>
      <c r="D78" s="6">
        <v>291144</v>
      </c>
      <c r="E78" s="6">
        <v>12599</v>
      </c>
    </row>
    <row r="79" spans="1:5" x14ac:dyDescent="0.2">
      <c r="D79" s="4"/>
    </row>
    <row r="80" spans="1:5" x14ac:dyDescent="0.2">
      <c r="A80" s="1" t="s">
        <v>29</v>
      </c>
      <c r="C80" s="4"/>
      <c r="D80" s="4"/>
      <c r="E80" s="4"/>
    </row>
    <row r="81" spans="1:5" x14ac:dyDescent="0.2">
      <c r="C81" s="4"/>
      <c r="D81" s="4"/>
      <c r="E81" s="4"/>
    </row>
    <row r="82" spans="1:5" ht="25.5" x14ac:dyDescent="0.2">
      <c r="A82" s="2"/>
      <c r="B82" s="3" t="s">
        <v>2</v>
      </c>
      <c r="C82" s="3" t="s">
        <v>0</v>
      </c>
      <c r="D82" s="3" t="s">
        <v>1</v>
      </c>
      <c r="E82" s="3" t="s">
        <v>10</v>
      </c>
    </row>
    <row r="83" spans="1:5" x14ac:dyDescent="0.2">
      <c r="A83">
        <v>2010</v>
      </c>
      <c r="B83" s="4">
        <f>SUM(C83:E83)</f>
        <v>357702</v>
      </c>
      <c r="C83" s="4">
        <v>155436</v>
      </c>
      <c r="D83" s="4">
        <v>146863</v>
      </c>
      <c r="E83" s="4">
        <v>55403</v>
      </c>
    </row>
    <row r="84" spans="1:5" x14ac:dyDescent="0.2">
      <c r="A84">
        <v>2011</v>
      </c>
      <c r="B84" s="4">
        <f t="shared" ref="B84:B90" si="5">SUM(C84:E84)</f>
        <v>352537</v>
      </c>
      <c r="C84" s="4">
        <v>143679</v>
      </c>
      <c r="D84" s="4">
        <v>151805</v>
      </c>
      <c r="E84" s="4">
        <v>57053</v>
      </c>
    </row>
    <row r="85" spans="1:5" x14ac:dyDescent="0.2">
      <c r="A85">
        <v>2012</v>
      </c>
      <c r="B85" s="4">
        <f t="shared" si="5"/>
        <v>343373</v>
      </c>
      <c r="C85" s="4">
        <v>136490</v>
      </c>
      <c r="D85" s="4">
        <v>155456</v>
      </c>
      <c r="E85" s="4">
        <v>51427</v>
      </c>
    </row>
    <row r="86" spans="1:5" x14ac:dyDescent="0.2">
      <c r="A86">
        <v>2013</v>
      </c>
      <c r="B86" s="4">
        <f t="shared" si="5"/>
        <v>333672</v>
      </c>
      <c r="C86" s="4">
        <v>134218</v>
      </c>
      <c r="D86" s="4">
        <v>143261</v>
      </c>
      <c r="E86" s="4">
        <v>56193</v>
      </c>
    </row>
    <row r="87" spans="1:5" x14ac:dyDescent="0.2">
      <c r="A87">
        <v>2014</v>
      </c>
      <c r="B87" s="4">
        <f t="shared" si="5"/>
        <v>330061</v>
      </c>
      <c r="C87" s="4">
        <v>131142</v>
      </c>
      <c r="D87" s="4">
        <v>149947</v>
      </c>
      <c r="E87" s="4">
        <v>48972</v>
      </c>
    </row>
    <row r="88" spans="1:5" x14ac:dyDescent="0.2">
      <c r="A88">
        <v>2015</v>
      </c>
      <c r="B88" s="4">
        <f t="shared" si="5"/>
        <v>314413</v>
      </c>
      <c r="C88" s="4">
        <f>13075+71692-933+38+41251</f>
        <v>125123</v>
      </c>
      <c r="D88" s="4">
        <v>140200</v>
      </c>
      <c r="E88" s="4">
        <v>49090</v>
      </c>
    </row>
    <row r="89" spans="1:5" x14ac:dyDescent="0.2">
      <c r="A89">
        <v>2016</v>
      </c>
      <c r="B89" s="4">
        <f t="shared" si="5"/>
        <v>299154</v>
      </c>
      <c r="C89" s="4">
        <v>120859</v>
      </c>
      <c r="D89" s="4">
        <v>138452</v>
      </c>
      <c r="E89" s="4">
        <v>39843</v>
      </c>
    </row>
    <row r="90" spans="1:5" x14ac:dyDescent="0.2">
      <c r="A90">
        <v>2017</v>
      </c>
      <c r="B90" s="4">
        <f t="shared" si="5"/>
        <v>299414</v>
      </c>
      <c r="C90" s="4">
        <v>114111</v>
      </c>
      <c r="D90" s="4">
        <v>143068</v>
      </c>
      <c r="E90" s="4">
        <v>42235</v>
      </c>
    </row>
    <row r="91" spans="1:5" x14ac:dyDescent="0.2">
      <c r="A91" s="10">
        <v>2018</v>
      </c>
      <c r="B91" s="11">
        <v>323128</v>
      </c>
      <c r="C91" s="11">
        <v>136903</v>
      </c>
      <c r="D91" s="11">
        <v>143320</v>
      </c>
      <c r="E91" s="11">
        <v>42905</v>
      </c>
    </row>
    <row r="92" spans="1:5" x14ac:dyDescent="0.2">
      <c r="A92" s="9">
        <v>2019</v>
      </c>
      <c r="B92" s="6">
        <v>343953</v>
      </c>
      <c r="C92" s="4">
        <v>149208</v>
      </c>
      <c r="D92" s="11">
        <f>B92-C92-E92</f>
        <v>153950</v>
      </c>
      <c r="E92" s="11">
        <v>40795</v>
      </c>
    </row>
    <row r="93" spans="1:5" x14ac:dyDescent="0.2">
      <c r="A93" s="9">
        <v>2020</v>
      </c>
      <c r="B93" s="6">
        <v>343953</v>
      </c>
      <c r="C93" s="4">
        <v>154350</v>
      </c>
      <c r="D93" s="11">
        <v>151547</v>
      </c>
      <c r="E93" s="11">
        <v>49159</v>
      </c>
    </row>
    <row r="94" spans="1:5" x14ac:dyDescent="0.2">
      <c r="A94">
        <v>2021</v>
      </c>
      <c r="B94" s="6">
        <f>SUM(C94:E94)</f>
        <v>372149</v>
      </c>
      <c r="C94" s="4">
        <v>162314</v>
      </c>
      <c r="D94" s="11">
        <v>171251</v>
      </c>
      <c r="E94" s="11">
        <v>38584</v>
      </c>
    </row>
  </sheetData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7"/>
  <sheetViews>
    <sheetView zoomScaleNormal="100" workbookViewId="0">
      <selection activeCell="C165" sqref="C165"/>
    </sheetView>
  </sheetViews>
  <sheetFormatPr defaultRowHeight="12.75" x14ac:dyDescent="0.2"/>
  <cols>
    <col min="2" max="5" width="12.7109375" customWidth="1"/>
  </cols>
  <sheetData>
    <row r="1" spans="1:5" x14ac:dyDescent="0.2">
      <c r="A1" s="1" t="s">
        <v>13</v>
      </c>
    </row>
    <row r="2" spans="1:5" x14ac:dyDescent="0.2">
      <c r="A2" s="1" t="s">
        <v>37</v>
      </c>
    </row>
    <row r="4" spans="1:5" x14ac:dyDescent="0.2">
      <c r="A4" s="1" t="s">
        <v>43</v>
      </c>
    </row>
    <row r="6" spans="1:5" ht="25.5" x14ac:dyDescent="0.2">
      <c r="A6" s="2"/>
      <c r="B6" s="3" t="s">
        <v>2</v>
      </c>
      <c r="C6" s="3" t="s">
        <v>0</v>
      </c>
      <c r="D6" s="3" t="s">
        <v>1</v>
      </c>
      <c r="E6" s="3" t="s">
        <v>10</v>
      </c>
    </row>
    <row r="7" spans="1:5" x14ac:dyDescent="0.2">
      <c r="A7">
        <v>2014</v>
      </c>
      <c r="B7" s="4">
        <f>SUM(C7:E7)</f>
        <v>5176.9210000000003</v>
      </c>
      <c r="C7" s="4">
        <v>3918.9270000000001</v>
      </c>
      <c r="D7" s="4">
        <v>720.19200000000001</v>
      </c>
      <c r="E7" s="4">
        <v>537.80200000000002</v>
      </c>
    </row>
    <row r="8" spans="1:5" x14ac:dyDescent="0.2">
      <c r="A8">
        <v>2015</v>
      </c>
      <c r="B8" s="4">
        <f t="shared" ref="B8:B14" si="0">SUM(C8:E8)</f>
        <v>5381.7620000000006</v>
      </c>
      <c r="C8" s="4">
        <v>3904.09</v>
      </c>
      <c r="D8" s="4">
        <v>945.54499999999996</v>
      </c>
      <c r="E8" s="4">
        <v>532.12699999999995</v>
      </c>
    </row>
    <row r="9" spans="1:5" x14ac:dyDescent="0.2">
      <c r="A9">
        <v>2016</v>
      </c>
      <c r="B9" s="4">
        <f t="shared" si="0"/>
        <v>4382.5920000000006</v>
      </c>
      <c r="C9" s="4">
        <v>2908.9140000000002</v>
      </c>
      <c r="D9" s="4">
        <v>560.51400000000001</v>
      </c>
      <c r="E9" s="4">
        <v>913.16399999999999</v>
      </c>
    </row>
    <row r="10" spans="1:5" x14ac:dyDescent="0.2">
      <c r="A10">
        <v>2017</v>
      </c>
      <c r="B10" s="4">
        <f t="shared" si="0"/>
        <v>4243.6769999999997</v>
      </c>
      <c r="C10" s="4">
        <v>3239.4110000000001</v>
      </c>
      <c r="D10" s="4">
        <v>428.48399999999998</v>
      </c>
      <c r="E10" s="4">
        <v>575.78200000000004</v>
      </c>
    </row>
    <row r="11" spans="1:5" x14ac:dyDescent="0.2">
      <c r="A11" s="7">
        <v>2018</v>
      </c>
      <c r="B11" s="4">
        <f t="shared" si="0"/>
        <v>5149.6010000000006</v>
      </c>
      <c r="C11" s="8">
        <v>3105.0970000000002</v>
      </c>
      <c r="D11" s="8">
        <v>1692.136</v>
      </c>
      <c r="E11" s="8">
        <v>352.36799999999999</v>
      </c>
    </row>
    <row r="12" spans="1:5" x14ac:dyDescent="0.2">
      <c r="A12" s="7">
        <v>2019</v>
      </c>
      <c r="B12" s="4">
        <f t="shared" si="0"/>
        <v>5159.5559999999996</v>
      </c>
      <c r="C12" s="8">
        <v>3027.0030000000002</v>
      </c>
      <c r="D12" s="8">
        <v>1860.742</v>
      </c>
      <c r="E12" s="8">
        <v>271.81099999999998</v>
      </c>
    </row>
    <row r="13" spans="1:5" x14ac:dyDescent="0.2">
      <c r="A13" s="7">
        <v>2020</v>
      </c>
      <c r="B13" s="4">
        <f t="shared" si="0"/>
        <v>5742.5830000000005</v>
      </c>
      <c r="C13" s="8">
        <v>2922.259</v>
      </c>
      <c r="D13" s="8">
        <v>2113.1970000000001</v>
      </c>
      <c r="E13" s="8">
        <v>707.12699999999995</v>
      </c>
    </row>
    <row r="14" spans="1:5" x14ac:dyDescent="0.2">
      <c r="A14" s="7">
        <v>2021</v>
      </c>
      <c r="B14" s="4">
        <f t="shared" si="0"/>
        <v>5668.6350000000002</v>
      </c>
      <c r="C14" s="8">
        <v>2831</v>
      </c>
      <c r="D14" s="8">
        <v>2106.9189999999999</v>
      </c>
      <c r="E14" s="8">
        <v>730.71600000000001</v>
      </c>
    </row>
    <row r="16" spans="1:5" x14ac:dyDescent="0.2">
      <c r="A16" s="1" t="s">
        <v>14</v>
      </c>
    </row>
    <row r="18" spans="1:5" s="2" customFormat="1" ht="25.5" x14ac:dyDescent="0.2">
      <c r="B18" s="3" t="s">
        <v>2</v>
      </c>
      <c r="C18" s="3" t="s">
        <v>0</v>
      </c>
      <c r="D18" s="3" t="s">
        <v>1</v>
      </c>
      <c r="E18" s="3" t="s">
        <v>10</v>
      </c>
    </row>
    <row r="19" spans="1:5" x14ac:dyDescent="0.2">
      <c r="A19">
        <v>2010</v>
      </c>
      <c r="B19" s="4">
        <f>SUM(C19:E19)</f>
        <v>1220.8780000000002</v>
      </c>
      <c r="C19" s="4">
        <v>996.87800000000004</v>
      </c>
      <c r="D19" s="4">
        <v>224</v>
      </c>
      <c r="E19" s="4">
        <v>0</v>
      </c>
    </row>
    <row r="20" spans="1:5" x14ac:dyDescent="0.2">
      <c r="A20">
        <v>2011</v>
      </c>
      <c r="B20" s="4">
        <f t="shared" ref="B20:B26" si="1">SUM(C20:E20)</f>
        <v>1345.211</v>
      </c>
      <c r="C20" s="4">
        <v>1003.776</v>
      </c>
      <c r="D20" s="4">
        <v>237.43600000000001</v>
      </c>
      <c r="E20" s="4">
        <v>103.999</v>
      </c>
    </row>
    <row r="21" spans="1:5" x14ac:dyDescent="0.2">
      <c r="A21">
        <v>2012</v>
      </c>
      <c r="B21" s="4">
        <f t="shared" si="1"/>
        <v>1307.0040000000001</v>
      </c>
      <c r="C21" s="4">
        <v>987.20699999999999</v>
      </c>
      <c r="D21" s="4">
        <v>221.99</v>
      </c>
      <c r="E21" s="4">
        <v>97.806999999999988</v>
      </c>
    </row>
    <row r="22" spans="1:5" x14ac:dyDescent="0.2">
      <c r="A22">
        <v>2013</v>
      </c>
      <c r="B22" s="4">
        <f t="shared" si="1"/>
        <v>1193.346</v>
      </c>
      <c r="C22" s="4">
        <v>724.17</v>
      </c>
      <c r="D22" s="4">
        <v>339.97699999999998</v>
      </c>
      <c r="E22" s="4">
        <v>129.19899999999998</v>
      </c>
    </row>
    <row r="23" spans="1:5" x14ac:dyDescent="0.2">
      <c r="A23">
        <v>2014</v>
      </c>
      <c r="B23" s="4">
        <f t="shared" si="1"/>
        <v>1167.7370000000001</v>
      </c>
      <c r="C23" s="4">
        <v>726.5</v>
      </c>
      <c r="D23" s="4">
        <v>319</v>
      </c>
      <c r="E23" s="4">
        <v>122.23699999999999</v>
      </c>
    </row>
    <row r="24" spans="1:5" x14ac:dyDescent="0.2">
      <c r="A24">
        <v>2015</v>
      </c>
      <c r="B24" s="4">
        <f t="shared" si="1"/>
        <v>1151.1590000000001</v>
      </c>
      <c r="C24" s="4">
        <v>727.49599999999998</v>
      </c>
      <c r="D24" s="4">
        <v>307</v>
      </c>
      <c r="E24" s="4">
        <v>116.663</v>
      </c>
    </row>
    <row r="25" spans="1:5" x14ac:dyDescent="0.2">
      <c r="A25">
        <v>2016</v>
      </c>
      <c r="B25" s="4">
        <f t="shared" si="1"/>
        <v>1068.213</v>
      </c>
      <c r="C25" s="4">
        <v>737.24400000000003</v>
      </c>
      <c r="D25" s="4">
        <v>218.554</v>
      </c>
      <c r="E25" s="4">
        <v>112.41500000000001</v>
      </c>
    </row>
    <row r="26" spans="1:5" x14ac:dyDescent="0.2">
      <c r="A26">
        <v>2017</v>
      </c>
      <c r="B26" s="4">
        <f t="shared" si="1"/>
        <v>1147.3719999999998</v>
      </c>
      <c r="C26" s="4">
        <v>744.30399999999997</v>
      </c>
      <c r="D26" s="4">
        <v>295.09199999999998</v>
      </c>
      <c r="E26" s="4">
        <v>107.976</v>
      </c>
    </row>
    <row r="27" spans="1:5" x14ac:dyDescent="0.2">
      <c r="A27" s="7">
        <v>2018</v>
      </c>
      <c r="B27" s="8">
        <v>1331.7249999999999</v>
      </c>
      <c r="C27" s="8">
        <v>761.70299999999997</v>
      </c>
      <c r="D27" s="8">
        <v>499.05799999999999</v>
      </c>
      <c r="E27" s="8">
        <v>70.963999999999999</v>
      </c>
    </row>
    <row r="28" spans="1:5" x14ac:dyDescent="0.2">
      <c r="A28" s="7">
        <v>2019</v>
      </c>
      <c r="B28" s="5">
        <v>1248.018</v>
      </c>
      <c r="C28" s="8">
        <v>782.26900000000001</v>
      </c>
      <c r="D28" s="8">
        <v>383.18599999999998</v>
      </c>
      <c r="E28" s="8">
        <v>82.563000000000002</v>
      </c>
    </row>
    <row r="29" spans="1:5" x14ac:dyDescent="0.2">
      <c r="A29" s="7">
        <v>2020</v>
      </c>
      <c r="B29" s="5">
        <f>SUM(C29:E29)</f>
        <v>1644.395</v>
      </c>
      <c r="C29" s="8">
        <v>804.88599999999997</v>
      </c>
      <c r="D29" s="8">
        <v>764.92100000000005</v>
      </c>
      <c r="E29" s="8">
        <v>74.587999999999994</v>
      </c>
    </row>
    <row r="30" spans="1:5" x14ac:dyDescent="0.2">
      <c r="A30" s="7">
        <v>2021</v>
      </c>
      <c r="B30" s="5">
        <f>SUM(C30:E30)</f>
        <v>1623.6510000000001</v>
      </c>
      <c r="C30" s="8">
        <v>1361</v>
      </c>
      <c r="D30" s="8">
        <v>262.65100000000001</v>
      </c>
      <c r="E30" s="8">
        <v>0</v>
      </c>
    </row>
    <row r="32" spans="1:5" x14ac:dyDescent="0.2">
      <c r="A32" s="1" t="s">
        <v>15</v>
      </c>
    </row>
    <row r="34" spans="1:5" ht="25.5" x14ac:dyDescent="0.2">
      <c r="A34" s="2"/>
      <c r="B34" s="3" t="s">
        <v>2</v>
      </c>
      <c r="C34" s="3" t="s">
        <v>0</v>
      </c>
      <c r="D34" s="3" t="s">
        <v>1</v>
      </c>
      <c r="E34" s="3" t="s">
        <v>10</v>
      </c>
    </row>
    <row r="35" spans="1:5" x14ac:dyDescent="0.2">
      <c r="A35">
        <v>2010</v>
      </c>
      <c r="B35" s="4">
        <f>SUM(C35:E35)</f>
        <v>5428.924</v>
      </c>
      <c r="C35" s="5">
        <v>718.06700000000001</v>
      </c>
      <c r="D35" s="5">
        <v>4710.857</v>
      </c>
      <c r="E35">
        <v>0</v>
      </c>
    </row>
    <row r="36" spans="1:5" x14ac:dyDescent="0.2">
      <c r="A36">
        <v>2011</v>
      </c>
      <c r="B36" s="4">
        <f t="shared" ref="B36:B42" si="2">SUM(C36:E36)</f>
        <v>2860.1590000000001</v>
      </c>
      <c r="C36" s="5">
        <v>718.06700000000001</v>
      </c>
      <c r="D36" s="5">
        <v>2142.0920000000001</v>
      </c>
      <c r="E36">
        <v>0</v>
      </c>
    </row>
    <row r="37" spans="1:5" x14ac:dyDescent="0.2">
      <c r="A37">
        <v>2012</v>
      </c>
      <c r="B37" s="4">
        <f t="shared" si="2"/>
        <v>3331.6030000000001</v>
      </c>
      <c r="C37" s="5">
        <v>718.06700000000001</v>
      </c>
      <c r="D37" s="5">
        <v>2613.5360000000001</v>
      </c>
      <c r="E37">
        <v>0</v>
      </c>
    </row>
    <row r="38" spans="1:5" x14ac:dyDescent="0.2">
      <c r="A38">
        <v>2013</v>
      </c>
      <c r="B38" s="4">
        <f t="shared" si="2"/>
        <v>3460.6390000000001</v>
      </c>
      <c r="C38" s="5">
        <v>715.28899999999999</v>
      </c>
      <c r="D38" s="5">
        <v>2745.35</v>
      </c>
      <c r="E38">
        <v>0</v>
      </c>
    </row>
    <row r="39" spans="1:5" x14ac:dyDescent="0.2">
      <c r="A39">
        <v>2014</v>
      </c>
      <c r="B39" s="4">
        <f t="shared" si="2"/>
        <v>4149.8429999999998</v>
      </c>
      <c r="C39" s="5">
        <v>695.28899999999999</v>
      </c>
      <c r="D39" s="5">
        <v>3454.5540000000001</v>
      </c>
      <c r="E39">
        <v>0</v>
      </c>
    </row>
    <row r="40" spans="1:5" x14ac:dyDescent="0.2">
      <c r="A40">
        <v>2015</v>
      </c>
      <c r="B40" s="4">
        <f t="shared" si="2"/>
        <v>3854.4619999999995</v>
      </c>
      <c r="C40" s="5">
        <v>695.28899999999999</v>
      </c>
      <c r="D40" s="5">
        <v>3159.1729999999998</v>
      </c>
      <c r="E40">
        <v>0</v>
      </c>
    </row>
    <row r="41" spans="1:5" x14ac:dyDescent="0.2">
      <c r="A41">
        <v>2016</v>
      </c>
      <c r="B41" s="4">
        <f t="shared" si="2"/>
        <v>4389.2420000000002</v>
      </c>
      <c r="C41" s="5">
        <v>695.28899999999999</v>
      </c>
      <c r="D41" s="5">
        <v>3693.953</v>
      </c>
      <c r="E41" s="5">
        <v>0</v>
      </c>
    </row>
    <row r="42" spans="1:5" x14ac:dyDescent="0.2">
      <c r="A42">
        <v>2017</v>
      </c>
      <c r="B42" s="4">
        <f t="shared" si="2"/>
        <v>5814.0630000000001</v>
      </c>
      <c r="C42" s="5">
        <v>695.28899999999999</v>
      </c>
      <c r="D42" s="5">
        <v>5118.7740000000003</v>
      </c>
      <c r="E42" s="5">
        <v>0</v>
      </c>
    </row>
    <row r="43" spans="1:5" x14ac:dyDescent="0.2">
      <c r="A43" s="9">
        <v>2018</v>
      </c>
      <c r="B43" s="6">
        <v>5904.5879999999997</v>
      </c>
      <c r="C43" s="8">
        <v>595.28899999999999</v>
      </c>
      <c r="D43" s="8">
        <v>5309.299</v>
      </c>
      <c r="E43" s="8">
        <v>0</v>
      </c>
    </row>
    <row r="44" spans="1:5" x14ac:dyDescent="0.2">
      <c r="A44" s="9">
        <v>2019</v>
      </c>
      <c r="B44" s="6">
        <v>6850.5230000000001</v>
      </c>
      <c r="C44" s="8">
        <v>595.28899999999999</v>
      </c>
      <c r="D44" s="8">
        <v>6255.2340000000004</v>
      </c>
      <c r="E44">
        <v>0</v>
      </c>
    </row>
    <row r="45" spans="1:5" x14ac:dyDescent="0.2">
      <c r="A45" s="9">
        <v>2020</v>
      </c>
      <c r="B45" s="6">
        <f>SUM(C45:E45)</f>
        <v>7361.8270000000002</v>
      </c>
      <c r="C45" s="8">
        <v>685.197</v>
      </c>
      <c r="D45" s="8">
        <v>6676.63</v>
      </c>
      <c r="E45">
        <v>0</v>
      </c>
    </row>
    <row r="46" spans="1:5" x14ac:dyDescent="0.2">
      <c r="A46" s="9">
        <v>2021</v>
      </c>
      <c r="B46" s="6">
        <f>SUM(C46:E46)</f>
        <v>6960</v>
      </c>
      <c r="C46" s="8">
        <v>595</v>
      </c>
      <c r="D46" s="8">
        <v>6358</v>
      </c>
      <c r="E46" s="8">
        <v>7</v>
      </c>
    </row>
    <row r="47" spans="1:5" x14ac:dyDescent="0.2">
      <c r="D47" s="4"/>
    </row>
    <row r="48" spans="1:5" x14ac:dyDescent="0.2">
      <c r="A48" s="1" t="s">
        <v>36</v>
      </c>
    </row>
    <row r="49" spans="1:9" x14ac:dyDescent="0.2">
      <c r="A49" s="1"/>
    </row>
    <row r="50" spans="1:9" ht="25.5" x14ac:dyDescent="0.2">
      <c r="B50" s="3" t="s">
        <v>2</v>
      </c>
      <c r="C50" s="3" t="s">
        <v>0</v>
      </c>
      <c r="D50" s="3" t="s">
        <v>1</v>
      </c>
      <c r="E50" s="3" t="s">
        <v>10</v>
      </c>
    </row>
    <row r="51" spans="1:9" x14ac:dyDescent="0.2">
      <c r="A51">
        <v>2013</v>
      </c>
      <c r="B51" s="15">
        <f>SUM(C51:E51)</f>
        <v>5484.9479999999994</v>
      </c>
      <c r="C51" s="15">
        <v>5045.4989999999998</v>
      </c>
      <c r="D51" s="15">
        <v>61.673000000000002</v>
      </c>
      <c r="E51" s="14">
        <v>377.77600000000001</v>
      </c>
    </row>
    <row r="52" spans="1:9" x14ac:dyDescent="0.2">
      <c r="A52">
        <v>2014</v>
      </c>
      <c r="B52" s="15">
        <f t="shared" ref="B52:B59" si="3">SUM(C52:E52)</f>
        <v>5955.625</v>
      </c>
      <c r="C52" s="15">
        <v>5061.7460000000001</v>
      </c>
      <c r="D52" s="15">
        <v>263.89999999999998</v>
      </c>
      <c r="E52" s="14">
        <v>629.97900000000004</v>
      </c>
    </row>
    <row r="53" spans="1:9" x14ac:dyDescent="0.2">
      <c r="A53">
        <v>2015</v>
      </c>
      <c r="B53" s="15">
        <f t="shared" si="3"/>
        <v>8193.8389999999999</v>
      </c>
      <c r="C53" s="15">
        <v>5068.6909999999998</v>
      </c>
      <c r="D53" s="15">
        <v>401.00199999999995</v>
      </c>
      <c r="E53" s="14">
        <v>2724.1460000000002</v>
      </c>
    </row>
    <row r="54" spans="1:9" x14ac:dyDescent="0.2">
      <c r="A54">
        <v>2016</v>
      </c>
      <c r="B54" s="15">
        <f t="shared" si="3"/>
        <v>5745.9089999999997</v>
      </c>
      <c r="C54" s="15">
        <v>5136.607</v>
      </c>
      <c r="D54" s="15">
        <v>159.86199999999999</v>
      </c>
      <c r="E54" s="14">
        <v>449.44000000000005</v>
      </c>
    </row>
    <row r="55" spans="1:9" x14ac:dyDescent="0.2">
      <c r="A55">
        <v>2017</v>
      </c>
      <c r="B55" s="15">
        <f t="shared" si="3"/>
        <v>5634.4490000000005</v>
      </c>
      <c r="C55" s="15">
        <v>5230.8059999999996</v>
      </c>
      <c r="D55" s="15">
        <v>69.971000000000004</v>
      </c>
      <c r="E55" s="14">
        <v>333.67200000000003</v>
      </c>
    </row>
    <row r="56" spans="1:9" x14ac:dyDescent="0.2">
      <c r="A56">
        <v>2018</v>
      </c>
      <c r="B56" s="15">
        <f t="shared" si="3"/>
        <v>5822.4870000000001</v>
      </c>
      <c r="C56" s="15">
        <v>5353.0810000000001</v>
      </c>
      <c r="D56" s="15">
        <v>147.227</v>
      </c>
      <c r="E56" s="14">
        <v>322.17899999999997</v>
      </c>
    </row>
    <row r="57" spans="1:9" x14ac:dyDescent="0.2">
      <c r="A57">
        <v>2019</v>
      </c>
      <c r="B57" s="15">
        <f t="shared" si="3"/>
        <v>6172.0969999999998</v>
      </c>
      <c r="C57" s="15">
        <v>5497.6139999999996</v>
      </c>
      <c r="D57" s="15">
        <v>389.88799999999998</v>
      </c>
      <c r="E57" s="14">
        <v>284.59500000000003</v>
      </c>
    </row>
    <row r="58" spans="1:9" x14ac:dyDescent="0.2">
      <c r="A58">
        <v>2020</v>
      </c>
      <c r="B58" s="15">
        <f t="shared" si="3"/>
        <v>6396.2049999999999</v>
      </c>
      <c r="C58" s="15">
        <v>5656.5609999999997</v>
      </c>
      <c r="D58" s="15">
        <v>643.39800000000002</v>
      </c>
      <c r="E58" s="14">
        <v>96.246000000000009</v>
      </c>
    </row>
    <row r="59" spans="1:9" x14ac:dyDescent="0.2">
      <c r="A59">
        <v>2021</v>
      </c>
      <c r="B59" s="15">
        <f t="shared" si="3"/>
        <v>6173</v>
      </c>
      <c r="C59" s="15">
        <v>5504</v>
      </c>
      <c r="D59" s="15">
        <v>589</v>
      </c>
      <c r="E59" s="14">
        <v>80</v>
      </c>
    </row>
    <row r="60" spans="1:9" x14ac:dyDescent="0.2">
      <c r="B60" s="15"/>
      <c r="C60" s="15"/>
      <c r="D60" s="15"/>
      <c r="E60" s="14"/>
    </row>
    <row r="61" spans="1:9" x14ac:dyDescent="0.2">
      <c r="A61" s="1" t="s">
        <v>16</v>
      </c>
    </row>
    <row r="63" spans="1:9" ht="25.5" x14ac:dyDescent="0.2">
      <c r="A63" s="2"/>
      <c r="B63" s="3" t="s">
        <v>2</v>
      </c>
      <c r="C63" s="3" t="s">
        <v>0</v>
      </c>
      <c r="D63" s="3" t="s">
        <v>1</v>
      </c>
      <c r="E63" s="3" t="s">
        <v>10</v>
      </c>
    </row>
    <row r="64" spans="1:9" x14ac:dyDescent="0.2">
      <c r="A64">
        <v>2010</v>
      </c>
      <c r="B64" s="4">
        <f>SUM(C64:E64)</f>
        <v>20184.827000000001</v>
      </c>
      <c r="C64" s="5">
        <v>10937.181000000002</v>
      </c>
      <c r="D64" s="5">
        <v>7791.558</v>
      </c>
      <c r="E64" s="5">
        <v>1456.0880000000002</v>
      </c>
      <c r="G64" s="4"/>
      <c r="H64" s="4"/>
      <c r="I64" s="4"/>
    </row>
    <row r="65" spans="1:9" x14ac:dyDescent="0.2">
      <c r="A65">
        <v>2011</v>
      </c>
      <c r="B65" s="4">
        <f t="shared" ref="B65:B71" si="4">SUM(C65:E65)</f>
        <v>19963.535000000003</v>
      </c>
      <c r="C65" s="5">
        <v>9879.9189999999999</v>
      </c>
      <c r="D65" s="5">
        <v>8720.4700000000012</v>
      </c>
      <c r="E65" s="5">
        <v>1363.146</v>
      </c>
      <c r="G65" s="4"/>
      <c r="H65" s="4"/>
      <c r="I65" s="4"/>
    </row>
    <row r="66" spans="1:9" x14ac:dyDescent="0.2">
      <c r="A66">
        <v>2012</v>
      </c>
      <c r="B66" s="4">
        <f t="shared" si="4"/>
        <v>16293.83</v>
      </c>
      <c r="C66" s="5">
        <v>8414.9789999999994</v>
      </c>
      <c r="D66" s="5">
        <v>6154.3919999999998</v>
      </c>
      <c r="E66" s="5">
        <v>1724.4590000000001</v>
      </c>
      <c r="G66" s="4"/>
      <c r="H66" s="4"/>
      <c r="I66" s="4"/>
    </row>
    <row r="67" spans="1:9" x14ac:dyDescent="0.2">
      <c r="A67">
        <v>2013</v>
      </c>
      <c r="B67" s="4">
        <f t="shared" si="4"/>
        <v>14220.535999999998</v>
      </c>
      <c r="C67" s="5">
        <v>8106.3530000000001</v>
      </c>
      <c r="D67" s="5">
        <v>4651.8379999999997</v>
      </c>
      <c r="E67" s="5">
        <v>1462.345</v>
      </c>
      <c r="G67" s="4"/>
      <c r="H67" s="4"/>
      <c r="I67" s="4"/>
    </row>
    <row r="68" spans="1:9" x14ac:dyDescent="0.2">
      <c r="A68">
        <v>2014</v>
      </c>
      <c r="B68" s="4">
        <f t="shared" si="4"/>
        <v>14441.113000000001</v>
      </c>
      <c r="C68" s="5">
        <v>8198.0190000000002</v>
      </c>
      <c r="D68" s="5">
        <v>4877.1260000000002</v>
      </c>
      <c r="E68" s="5">
        <v>1365.9680000000001</v>
      </c>
      <c r="G68" s="4"/>
      <c r="H68" s="4"/>
      <c r="I68" s="4"/>
    </row>
    <row r="69" spans="1:9" x14ac:dyDescent="0.2">
      <c r="A69">
        <v>2015</v>
      </c>
      <c r="B69" s="4">
        <f t="shared" si="4"/>
        <v>15207.305</v>
      </c>
      <c r="C69" s="5">
        <v>8203.6959999999999</v>
      </c>
      <c r="D69" s="5">
        <v>5767.4030000000002</v>
      </c>
      <c r="E69" s="5">
        <v>1236.2060000000001</v>
      </c>
      <c r="G69" s="4"/>
      <c r="H69" s="4"/>
      <c r="I69" s="4"/>
    </row>
    <row r="70" spans="1:9" x14ac:dyDescent="0.2">
      <c r="A70">
        <v>2016</v>
      </c>
      <c r="B70" s="4">
        <f t="shared" si="4"/>
        <v>13507.517999999998</v>
      </c>
      <c r="C70" s="4">
        <v>7312.5749999999998</v>
      </c>
      <c r="D70" s="5">
        <v>5124.8119999999999</v>
      </c>
      <c r="E70" s="5">
        <v>1070.1310000000001</v>
      </c>
      <c r="G70" s="4"/>
      <c r="H70" s="4"/>
      <c r="I70" s="4"/>
    </row>
    <row r="71" spans="1:9" x14ac:dyDescent="0.2">
      <c r="A71">
        <v>2017</v>
      </c>
      <c r="B71" s="4">
        <f t="shared" si="4"/>
        <v>13520.851999999999</v>
      </c>
      <c r="C71" s="4">
        <v>7528.4719999999998</v>
      </c>
      <c r="D71" s="5">
        <v>5153.884</v>
      </c>
      <c r="E71" s="5">
        <v>838.49599999999998</v>
      </c>
      <c r="G71" s="4"/>
      <c r="H71" s="4"/>
      <c r="I71" s="4"/>
    </row>
    <row r="72" spans="1:9" x14ac:dyDescent="0.2">
      <c r="A72" s="9">
        <v>2018</v>
      </c>
      <c r="B72" s="6">
        <v>14251.920999999998</v>
      </c>
      <c r="C72" s="6">
        <v>7568.9709999999995</v>
      </c>
      <c r="D72" s="8">
        <v>5906.3549999999996</v>
      </c>
      <c r="E72" s="8">
        <v>776.59500000000003</v>
      </c>
      <c r="G72" s="4"/>
      <c r="H72" s="4"/>
      <c r="I72" s="4"/>
    </row>
    <row r="73" spans="1:9" x14ac:dyDescent="0.2">
      <c r="A73" s="9">
        <v>2019</v>
      </c>
      <c r="B73" s="6">
        <v>14823.62</v>
      </c>
      <c r="C73" s="6">
        <v>7862.192</v>
      </c>
      <c r="D73" s="8">
        <v>6657.509</v>
      </c>
      <c r="E73" s="8">
        <v>303.91899999999998</v>
      </c>
      <c r="G73" s="4"/>
      <c r="H73" s="4"/>
      <c r="I73" s="4"/>
    </row>
    <row r="74" spans="1:9" x14ac:dyDescent="0.2">
      <c r="A74" s="9">
        <v>2020</v>
      </c>
      <c r="B74" s="6">
        <f>SUM(C74:E74)</f>
        <v>14306</v>
      </c>
      <c r="C74" s="6">
        <v>7263</v>
      </c>
      <c r="D74" s="8">
        <v>7004</v>
      </c>
      <c r="E74" s="8">
        <v>39</v>
      </c>
      <c r="G74" s="4"/>
      <c r="H74" s="4"/>
      <c r="I74" s="4"/>
    </row>
    <row r="75" spans="1:9" x14ac:dyDescent="0.2">
      <c r="A75" s="9">
        <v>2021</v>
      </c>
      <c r="B75" s="6">
        <f>SUM(C75:E75)</f>
        <v>14759</v>
      </c>
      <c r="C75" s="6">
        <v>7908</v>
      </c>
      <c r="D75" s="8">
        <v>6845</v>
      </c>
      <c r="E75" s="8">
        <v>6</v>
      </c>
      <c r="G75" s="4"/>
      <c r="H75" s="4"/>
      <c r="I75" s="4"/>
    </row>
    <row r="77" spans="1:9" x14ac:dyDescent="0.2">
      <c r="A77" s="1" t="s">
        <v>17</v>
      </c>
    </row>
    <row r="79" spans="1:9" ht="25.5" x14ac:dyDescent="0.2">
      <c r="A79" s="2"/>
      <c r="B79" s="3" t="s">
        <v>2</v>
      </c>
      <c r="C79" s="3" t="s">
        <v>0</v>
      </c>
      <c r="D79" s="3" t="s">
        <v>1</v>
      </c>
      <c r="E79" s="3" t="s">
        <v>10</v>
      </c>
    </row>
    <row r="80" spans="1:9" x14ac:dyDescent="0.2">
      <c r="A80">
        <v>2010</v>
      </c>
      <c r="B80" s="4">
        <f>SUM(C80:E80)</f>
        <v>1948</v>
      </c>
      <c r="C80" s="5">
        <v>874</v>
      </c>
      <c r="D80" s="5">
        <v>1074</v>
      </c>
      <c r="E80">
        <v>0</v>
      </c>
      <c r="G80" s="4"/>
      <c r="H80" s="4"/>
      <c r="I80" s="4"/>
    </row>
    <row r="81" spans="1:9" x14ac:dyDescent="0.2">
      <c r="A81">
        <v>2011</v>
      </c>
      <c r="B81" s="4">
        <f t="shared" ref="B81:B87" si="5">SUM(C81:E81)</f>
        <v>1814</v>
      </c>
      <c r="C81" s="5">
        <v>645</v>
      </c>
      <c r="D81" s="5">
        <v>1169</v>
      </c>
      <c r="E81">
        <v>0</v>
      </c>
      <c r="G81" s="4"/>
      <c r="H81" s="4"/>
      <c r="I81" s="4"/>
    </row>
    <row r="82" spans="1:9" x14ac:dyDescent="0.2">
      <c r="A82">
        <v>2012</v>
      </c>
      <c r="B82" s="4">
        <f t="shared" si="5"/>
        <v>2049</v>
      </c>
      <c r="C82" s="5">
        <v>769</v>
      </c>
      <c r="D82" s="5">
        <v>1280</v>
      </c>
      <c r="E82">
        <v>0</v>
      </c>
      <c r="G82" s="4"/>
      <c r="H82" s="4"/>
      <c r="I82" s="4"/>
    </row>
    <row r="83" spans="1:9" x14ac:dyDescent="0.2">
      <c r="A83">
        <v>2013</v>
      </c>
      <c r="B83" s="4">
        <f t="shared" si="5"/>
        <v>2042</v>
      </c>
      <c r="C83" s="5">
        <v>1155</v>
      </c>
      <c r="D83" s="5">
        <v>887</v>
      </c>
      <c r="E83">
        <v>0</v>
      </c>
      <c r="G83" s="4"/>
      <c r="H83" s="4"/>
      <c r="I83" s="4"/>
    </row>
    <row r="84" spans="1:9" x14ac:dyDescent="0.2">
      <c r="A84">
        <v>2014</v>
      </c>
      <c r="B84" s="4">
        <f t="shared" si="5"/>
        <v>1946</v>
      </c>
      <c r="C84" s="5">
        <v>875</v>
      </c>
      <c r="D84" s="5">
        <v>1071</v>
      </c>
      <c r="E84">
        <v>0</v>
      </c>
      <c r="G84" s="4"/>
      <c r="H84" s="4"/>
      <c r="I84" s="4"/>
    </row>
    <row r="85" spans="1:9" x14ac:dyDescent="0.2">
      <c r="A85">
        <v>2015</v>
      </c>
      <c r="B85" s="4">
        <f t="shared" si="5"/>
        <v>1962</v>
      </c>
      <c r="C85" s="5">
        <v>1087</v>
      </c>
      <c r="D85" s="5">
        <v>875</v>
      </c>
      <c r="E85">
        <v>0</v>
      </c>
    </row>
    <row r="86" spans="1:9" x14ac:dyDescent="0.2">
      <c r="A86">
        <v>2016</v>
      </c>
      <c r="B86" s="4">
        <f t="shared" si="5"/>
        <v>2186</v>
      </c>
      <c r="C86" s="5">
        <v>1252</v>
      </c>
      <c r="D86" s="5">
        <v>934</v>
      </c>
      <c r="E86" s="5">
        <v>0</v>
      </c>
    </row>
    <row r="87" spans="1:9" x14ac:dyDescent="0.2">
      <c r="A87">
        <v>2017</v>
      </c>
      <c r="B87" s="4">
        <f t="shared" si="5"/>
        <v>2439.9809999999998</v>
      </c>
      <c r="C87" s="5">
        <v>1341.99</v>
      </c>
      <c r="D87" s="5">
        <v>1097.991</v>
      </c>
      <c r="E87" s="5">
        <v>0</v>
      </c>
    </row>
    <row r="88" spans="1:9" x14ac:dyDescent="0.2">
      <c r="A88" s="9">
        <v>2018</v>
      </c>
      <c r="B88" s="6">
        <v>2445.61</v>
      </c>
      <c r="C88" s="8">
        <v>1345.0855000000001</v>
      </c>
      <c r="D88" s="8">
        <v>1100.5245</v>
      </c>
      <c r="E88" s="8">
        <v>0</v>
      </c>
    </row>
    <row r="89" spans="1:9" x14ac:dyDescent="0.2">
      <c r="A89">
        <v>2019</v>
      </c>
      <c r="B89" s="4">
        <v>3027.0529999999999</v>
      </c>
      <c r="C89" s="5">
        <v>1664.8789999999999</v>
      </c>
      <c r="D89" s="5">
        <v>1362.174</v>
      </c>
      <c r="E89" s="5">
        <v>0</v>
      </c>
    </row>
    <row r="90" spans="1:9" x14ac:dyDescent="0.2">
      <c r="A90">
        <v>2020</v>
      </c>
      <c r="B90" s="4">
        <f>SUM(C90:E90)</f>
        <v>3635</v>
      </c>
      <c r="C90" s="5">
        <v>1999.2500000000002</v>
      </c>
      <c r="D90" s="5">
        <v>1635.75</v>
      </c>
      <c r="E90" s="5">
        <v>0</v>
      </c>
    </row>
    <row r="91" spans="1:9" x14ac:dyDescent="0.2">
      <c r="A91">
        <v>2021</v>
      </c>
      <c r="B91" s="4">
        <f>SUM(C91:E91)</f>
        <v>3928</v>
      </c>
      <c r="C91" s="5">
        <v>2160.4</v>
      </c>
      <c r="D91" s="5">
        <v>1767.6</v>
      </c>
      <c r="E91" s="5">
        <v>0</v>
      </c>
    </row>
    <row r="92" spans="1:9" x14ac:dyDescent="0.2">
      <c r="C92" s="5"/>
      <c r="D92" s="5"/>
    </row>
    <row r="93" spans="1:9" x14ac:dyDescent="0.2">
      <c r="A93" s="1" t="s">
        <v>18</v>
      </c>
    </row>
    <row r="95" spans="1:9" ht="25.5" x14ac:dyDescent="0.2">
      <c r="A95" s="2"/>
      <c r="B95" s="3" t="s">
        <v>2</v>
      </c>
      <c r="C95" s="3" t="s">
        <v>0</v>
      </c>
      <c r="D95" s="3" t="s">
        <v>1</v>
      </c>
      <c r="E95" s="3" t="s">
        <v>10</v>
      </c>
    </row>
    <row r="96" spans="1:9" x14ac:dyDescent="0.2">
      <c r="A96">
        <v>2010</v>
      </c>
      <c r="B96" s="4">
        <f>SUM(C96:E96)</f>
        <v>18748.667000000001</v>
      </c>
      <c r="C96" s="4">
        <v>6602.5659999999998</v>
      </c>
      <c r="D96" s="4">
        <v>8730.5789999999997</v>
      </c>
      <c r="E96" s="4">
        <f>3132.114+283.408</f>
        <v>3415.5219999999999</v>
      </c>
      <c r="G96" s="4"/>
      <c r="H96" s="4"/>
      <c r="I96" s="4"/>
    </row>
    <row r="97" spans="1:9" x14ac:dyDescent="0.2">
      <c r="A97">
        <v>2011</v>
      </c>
      <c r="B97" s="4">
        <f t="shared" ref="B97:B103" si="6">SUM(C97:E97)</f>
        <v>18745.786</v>
      </c>
      <c r="C97" s="4">
        <v>6004.4620000000004</v>
      </c>
      <c r="D97" s="4">
        <v>8527.8119999999999</v>
      </c>
      <c r="E97" s="4">
        <f>4088.112+125.4</f>
        <v>4213.5119999999997</v>
      </c>
      <c r="G97" s="4"/>
      <c r="H97" s="4"/>
      <c r="I97" s="4"/>
    </row>
    <row r="98" spans="1:9" x14ac:dyDescent="0.2">
      <c r="A98">
        <v>2012</v>
      </c>
      <c r="B98" s="4">
        <f t="shared" si="6"/>
        <v>17245.024999999998</v>
      </c>
      <c r="C98" s="4">
        <v>5674.5140000000001</v>
      </c>
      <c r="D98" s="4">
        <v>7235.0529999999999</v>
      </c>
      <c r="E98" s="4">
        <f>4192.642+142.816</f>
        <v>4335.4579999999996</v>
      </c>
      <c r="G98" s="4"/>
      <c r="H98" s="4"/>
      <c r="I98" s="4"/>
    </row>
    <row r="99" spans="1:9" x14ac:dyDescent="0.2">
      <c r="A99">
        <v>2013</v>
      </c>
      <c r="B99" s="4">
        <f t="shared" si="6"/>
        <v>16717.697</v>
      </c>
      <c r="C99" s="4">
        <v>5193.2110000000002</v>
      </c>
      <c r="D99" s="4">
        <v>8809.268</v>
      </c>
      <c r="E99" s="4">
        <f>2542.454+172.764</f>
        <v>2715.2180000000003</v>
      </c>
      <c r="G99" s="4"/>
      <c r="H99" s="4"/>
      <c r="I99" s="4"/>
    </row>
    <row r="100" spans="1:9" x14ac:dyDescent="0.2">
      <c r="A100">
        <v>2014</v>
      </c>
      <c r="B100" s="4">
        <f t="shared" si="6"/>
        <v>14327.252</v>
      </c>
      <c r="C100" s="4">
        <v>5236.7280000000001</v>
      </c>
      <c r="D100" s="4">
        <v>7482.0680000000002</v>
      </c>
      <c r="E100" s="4">
        <v>1608.4559999999999</v>
      </c>
      <c r="G100" s="4"/>
      <c r="H100" s="4"/>
      <c r="I100" s="4"/>
    </row>
    <row r="101" spans="1:9" x14ac:dyDescent="0.2">
      <c r="A101">
        <v>2015</v>
      </c>
      <c r="B101" s="4">
        <f t="shared" si="6"/>
        <v>14545.069</v>
      </c>
      <c r="C101" s="4">
        <v>5120.6899999999996</v>
      </c>
      <c r="D101" s="4">
        <v>7700.3269999999993</v>
      </c>
      <c r="E101" s="4">
        <f>1490.07+233.982</f>
        <v>1724.0519999999999</v>
      </c>
      <c r="G101" s="4"/>
      <c r="H101" s="4"/>
      <c r="I101" s="4"/>
    </row>
    <row r="102" spans="1:9" x14ac:dyDescent="0.2">
      <c r="A102">
        <v>2016</v>
      </c>
      <c r="B102" s="4">
        <f t="shared" si="6"/>
        <v>14857.934999999998</v>
      </c>
      <c r="C102" s="4">
        <v>4759.1019999999999</v>
      </c>
      <c r="D102" s="4">
        <v>9325.5849999999991</v>
      </c>
      <c r="E102" s="4">
        <v>773.24800000000005</v>
      </c>
      <c r="G102" s="4"/>
      <c r="H102" s="4"/>
      <c r="I102" s="4"/>
    </row>
    <row r="103" spans="1:9" x14ac:dyDescent="0.2">
      <c r="A103">
        <v>2017</v>
      </c>
      <c r="B103" s="4">
        <f t="shared" si="6"/>
        <v>15570.465000000002</v>
      </c>
      <c r="C103" s="4">
        <v>4929.9859999999999</v>
      </c>
      <c r="D103" s="4">
        <v>10545.325000000001</v>
      </c>
      <c r="E103" s="4">
        <v>95.153999999999996</v>
      </c>
      <c r="G103" s="4"/>
      <c r="H103" s="4"/>
      <c r="I103" s="4"/>
    </row>
    <row r="104" spans="1:9" x14ac:dyDescent="0.2">
      <c r="A104">
        <v>2018</v>
      </c>
      <c r="B104" s="4">
        <v>15038.905000000002</v>
      </c>
      <c r="C104" s="4">
        <v>5168.5600000000004</v>
      </c>
      <c r="D104" s="4">
        <v>9848.4480000000003</v>
      </c>
      <c r="E104" s="4">
        <v>21.896999999999998</v>
      </c>
      <c r="G104" s="4"/>
      <c r="H104" s="4"/>
      <c r="I104" s="4"/>
    </row>
    <row r="105" spans="1:9" x14ac:dyDescent="0.2">
      <c r="A105">
        <v>2019</v>
      </c>
      <c r="B105" s="4">
        <v>15782.365</v>
      </c>
      <c r="C105" s="4">
        <v>8533.2720000000008</v>
      </c>
      <c r="D105" s="4">
        <f>5183.72+1987.749</f>
        <v>7171.4690000000001</v>
      </c>
      <c r="E105" s="4">
        <v>77.623999999999995</v>
      </c>
      <c r="H105" s="4"/>
      <c r="I105" s="4"/>
    </row>
    <row r="106" spans="1:9" x14ac:dyDescent="0.2">
      <c r="A106">
        <v>2020</v>
      </c>
      <c r="B106" s="4">
        <f>SUM(C106:E106)</f>
        <v>15099</v>
      </c>
      <c r="C106" s="4">
        <v>9751.2999999999993</v>
      </c>
      <c r="D106" s="4">
        <v>5250.7000000000007</v>
      </c>
      <c r="E106" s="4">
        <v>97</v>
      </c>
      <c r="H106" s="4"/>
      <c r="I106" s="4"/>
    </row>
    <row r="107" spans="1:9" x14ac:dyDescent="0.2">
      <c r="A107">
        <v>2021</v>
      </c>
      <c r="B107" s="4">
        <f>SUM(C107:E107)</f>
        <v>14657</v>
      </c>
      <c r="C107" s="4">
        <v>10252</v>
      </c>
      <c r="D107" s="4">
        <v>4394</v>
      </c>
      <c r="E107" s="4">
        <v>11</v>
      </c>
      <c r="H107" s="4"/>
      <c r="I107" s="4"/>
    </row>
    <row r="109" spans="1:9" x14ac:dyDescent="0.2">
      <c r="A109" s="1" t="s">
        <v>20</v>
      </c>
    </row>
    <row r="111" spans="1:9" ht="25.5" x14ac:dyDescent="0.2">
      <c r="A111" s="2"/>
      <c r="B111" s="3" t="s">
        <v>2</v>
      </c>
      <c r="C111" s="3" t="s">
        <v>0</v>
      </c>
      <c r="D111" s="3" t="s">
        <v>1</v>
      </c>
      <c r="E111" s="3" t="s">
        <v>10</v>
      </c>
    </row>
    <row r="112" spans="1:9" x14ac:dyDescent="0.2">
      <c r="A112">
        <v>2010</v>
      </c>
      <c r="B112" s="4">
        <f>SUM(C112:E112)</f>
        <v>13874.833999999999</v>
      </c>
      <c r="C112" s="4">
        <v>5848.0379999999996</v>
      </c>
      <c r="D112" s="4">
        <v>8026.7960000000003</v>
      </c>
      <c r="E112" s="4">
        <v>0</v>
      </c>
    </row>
    <row r="113" spans="1:9" x14ac:dyDescent="0.2">
      <c r="A113">
        <v>2011</v>
      </c>
      <c r="B113" s="4">
        <f t="shared" ref="B113:B119" si="7">SUM(C113:E113)</f>
        <v>16299.173000000001</v>
      </c>
      <c r="C113" s="4">
        <v>6064.42</v>
      </c>
      <c r="D113" s="4">
        <v>10234.753000000001</v>
      </c>
      <c r="E113" s="4">
        <v>0</v>
      </c>
      <c r="H113" s="4"/>
      <c r="I113" s="4"/>
    </row>
    <row r="114" spans="1:9" x14ac:dyDescent="0.2">
      <c r="A114">
        <v>2012</v>
      </c>
      <c r="B114" s="4">
        <f t="shared" si="7"/>
        <v>16178.15</v>
      </c>
      <c r="C114" s="4">
        <v>5737.0990000000002</v>
      </c>
      <c r="D114" s="4">
        <v>10441.050999999999</v>
      </c>
      <c r="E114" s="4">
        <v>0</v>
      </c>
      <c r="H114" s="4"/>
      <c r="I114" s="4"/>
    </row>
    <row r="115" spans="1:9" x14ac:dyDescent="0.2">
      <c r="A115">
        <v>2013</v>
      </c>
      <c r="B115" s="4">
        <f t="shared" si="7"/>
        <v>16128.98</v>
      </c>
      <c r="C115" s="4">
        <v>5092.7539999999999</v>
      </c>
      <c r="D115" s="4">
        <v>11036.226000000001</v>
      </c>
      <c r="E115" s="4">
        <v>0</v>
      </c>
    </row>
    <row r="116" spans="1:9" x14ac:dyDescent="0.2">
      <c r="A116">
        <v>2014</v>
      </c>
      <c r="B116" s="4">
        <f t="shared" si="7"/>
        <v>15345</v>
      </c>
      <c r="C116" s="4">
        <v>5187.4269999999997</v>
      </c>
      <c r="D116" s="4">
        <v>10157.573</v>
      </c>
      <c r="E116" s="4">
        <v>0</v>
      </c>
    </row>
    <row r="117" spans="1:9" x14ac:dyDescent="0.2">
      <c r="A117">
        <v>2015</v>
      </c>
      <c r="B117" s="4">
        <f t="shared" si="7"/>
        <v>12242</v>
      </c>
      <c r="C117" s="4">
        <v>5835</v>
      </c>
      <c r="D117" s="4">
        <v>6407</v>
      </c>
      <c r="E117" s="4">
        <v>0</v>
      </c>
    </row>
    <row r="118" spans="1:9" x14ac:dyDescent="0.2">
      <c r="A118">
        <v>2016</v>
      </c>
      <c r="B118" s="4">
        <f t="shared" si="7"/>
        <v>13112</v>
      </c>
      <c r="C118" s="4">
        <v>5710</v>
      </c>
      <c r="D118" s="4">
        <v>7402</v>
      </c>
      <c r="E118" s="4">
        <v>0</v>
      </c>
    </row>
    <row r="119" spans="1:9" x14ac:dyDescent="0.2">
      <c r="A119">
        <v>2017</v>
      </c>
      <c r="B119" s="4">
        <f t="shared" si="7"/>
        <v>12301</v>
      </c>
      <c r="C119" s="4">
        <v>5771</v>
      </c>
      <c r="D119" s="4">
        <v>6530</v>
      </c>
      <c r="E119" s="4">
        <v>0</v>
      </c>
    </row>
    <row r="120" spans="1:9" x14ac:dyDescent="0.2">
      <c r="A120">
        <v>2018</v>
      </c>
      <c r="B120" s="4">
        <v>12854.655000000001</v>
      </c>
      <c r="C120" s="4">
        <v>5392.02</v>
      </c>
      <c r="D120" s="4">
        <v>6736.152</v>
      </c>
      <c r="E120" s="4">
        <v>726.48299999999995</v>
      </c>
    </row>
    <row r="121" spans="1:9" x14ac:dyDescent="0.2">
      <c r="A121">
        <v>2019</v>
      </c>
      <c r="B121" s="4">
        <v>13125.210999999999</v>
      </c>
      <c r="C121" s="4">
        <v>6080.03</v>
      </c>
      <c r="D121" s="4">
        <v>6364.4549999999999</v>
      </c>
      <c r="E121" s="4">
        <v>680.726</v>
      </c>
    </row>
    <row r="122" spans="1:9" x14ac:dyDescent="0.2">
      <c r="A122">
        <v>2020</v>
      </c>
      <c r="B122" s="4">
        <f>SUM(C122:E122)</f>
        <v>13767.936999999998</v>
      </c>
      <c r="C122" s="4">
        <v>6385</v>
      </c>
      <c r="D122" s="4">
        <v>7234.1369999999997</v>
      </c>
      <c r="E122" s="4">
        <v>148.80000000000001</v>
      </c>
    </row>
    <row r="123" spans="1:9" x14ac:dyDescent="0.2">
      <c r="A123">
        <v>2021</v>
      </c>
      <c r="B123" s="4">
        <f>SUM(C123:E123)</f>
        <v>15759</v>
      </c>
      <c r="C123" s="4">
        <v>7156</v>
      </c>
      <c r="D123" s="4">
        <v>8432</v>
      </c>
      <c r="E123" s="4">
        <v>171</v>
      </c>
    </row>
    <row r="124" spans="1:9" x14ac:dyDescent="0.2">
      <c r="D124" s="4"/>
    </row>
    <row r="125" spans="1:9" x14ac:dyDescent="0.2">
      <c r="A125" s="1" t="s">
        <v>19</v>
      </c>
    </row>
    <row r="127" spans="1:9" ht="25.5" x14ac:dyDescent="0.2">
      <c r="A127" s="2"/>
      <c r="B127" s="3" t="s">
        <v>2</v>
      </c>
      <c r="C127" s="3" t="s">
        <v>0</v>
      </c>
      <c r="D127" s="3" t="s">
        <v>1</v>
      </c>
      <c r="E127" s="3" t="s">
        <v>10</v>
      </c>
    </row>
    <row r="128" spans="1:9" x14ac:dyDescent="0.2">
      <c r="A128">
        <v>2010</v>
      </c>
      <c r="B128" s="4">
        <f>SUM(C128:E128)</f>
        <v>5410.0089999999991</v>
      </c>
      <c r="C128" s="5">
        <v>4440.0739999999996</v>
      </c>
      <c r="D128" s="5">
        <v>937.08400000000006</v>
      </c>
      <c r="E128" s="4">
        <f>27.227+5.624</f>
        <v>32.850999999999999</v>
      </c>
    </row>
    <row r="129" spans="1:9" x14ac:dyDescent="0.2">
      <c r="A129">
        <v>2011</v>
      </c>
      <c r="B129" s="4">
        <f t="shared" ref="B129:B135" si="8">SUM(C129:E129)</f>
        <v>5211.1789999999992</v>
      </c>
      <c r="C129" s="5">
        <v>4193.0789999999997</v>
      </c>
      <c r="D129" s="5">
        <v>983.19099999999992</v>
      </c>
      <c r="E129" s="4">
        <f>27.227+7.682</f>
        <v>34.908999999999999</v>
      </c>
    </row>
    <row r="130" spans="1:9" x14ac:dyDescent="0.2">
      <c r="A130">
        <v>2012</v>
      </c>
      <c r="B130" s="4">
        <f t="shared" si="8"/>
        <v>4610.0829999999996</v>
      </c>
      <c r="C130" s="5">
        <v>3949.2890000000002</v>
      </c>
      <c r="D130" s="5">
        <v>629.07299999999998</v>
      </c>
      <c r="E130" s="4">
        <f>22.689+9.032</f>
        <v>31.721</v>
      </c>
    </row>
    <row r="131" spans="1:9" x14ac:dyDescent="0.2">
      <c r="A131">
        <v>2013</v>
      </c>
      <c r="B131" s="4">
        <f t="shared" si="8"/>
        <v>5199.4110000000001</v>
      </c>
      <c r="C131" s="5">
        <v>4276.5360000000001</v>
      </c>
      <c r="D131" s="5">
        <v>899.43600000000004</v>
      </c>
      <c r="E131" s="4">
        <f>22.689+0.75</f>
        <v>23.439</v>
      </c>
    </row>
    <row r="132" spans="1:9" x14ac:dyDescent="0.2">
      <c r="A132">
        <v>2014</v>
      </c>
      <c r="B132" s="4">
        <f t="shared" si="8"/>
        <v>5684.2219999999998</v>
      </c>
      <c r="C132" s="5">
        <v>3726.91</v>
      </c>
      <c r="D132" s="5">
        <v>1929.13</v>
      </c>
      <c r="E132" s="4">
        <v>28.181999999999999</v>
      </c>
    </row>
    <row r="133" spans="1:9" x14ac:dyDescent="0.2">
      <c r="A133">
        <v>2015</v>
      </c>
      <c r="B133" s="4">
        <f t="shared" si="8"/>
        <v>5415.6760000000004</v>
      </c>
      <c r="C133" s="5">
        <v>3741.5880000000002</v>
      </c>
      <c r="D133" s="5">
        <v>1654.088</v>
      </c>
      <c r="E133" s="4">
        <v>20</v>
      </c>
    </row>
    <row r="134" spans="1:9" x14ac:dyDescent="0.2">
      <c r="A134">
        <v>2016</v>
      </c>
      <c r="B134" s="4">
        <f t="shared" si="8"/>
        <v>5311.076</v>
      </c>
      <c r="C134" s="5">
        <v>3794.7840000000001</v>
      </c>
      <c r="D134" s="5">
        <v>1496.2919999999999</v>
      </c>
      <c r="E134" s="4">
        <v>20</v>
      </c>
    </row>
    <row r="135" spans="1:9" x14ac:dyDescent="0.2">
      <c r="A135">
        <v>2017</v>
      </c>
      <c r="B135" s="4">
        <f t="shared" si="8"/>
        <v>5508.5680000000002</v>
      </c>
      <c r="C135" s="5">
        <v>3867.8310000000001</v>
      </c>
      <c r="D135" s="5">
        <v>1620.7370000000001</v>
      </c>
      <c r="E135" s="4">
        <v>20</v>
      </c>
    </row>
    <row r="136" spans="1:9" x14ac:dyDescent="0.2">
      <c r="A136">
        <v>2018</v>
      </c>
      <c r="B136" s="4">
        <v>5130.7889999999998</v>
      </c>
      <c r="C136" s="5">
        <v>3956.357</v>
      </c>
      <c r="D136" s="5">
        <v>1154.432</v>
      </c>
      <c r="E136" s="4">
        <v>20</v>
      </c>
    </row>
    <row r="137" spans="1:9" x14ac:dyDescent="0.2">
      <c r="A137">
        <v>2019</v>
      </c>
      <c r="B137" s="4">
        <v>5726.0079999999998</v>
      </c>
      <c r="C137" s="5">
        <v>4237.3339999999998</v>
      </c>
      <c r="D137" s="5">
        <v>1468.674</v>
      </c>
      <c r="E137" s="4">
        <v>20</v>
      </c>
    </row>
    <row r="138" spans="1:9" x14ac:dyDescent="0.2">
      <c r="A138">
        <v>2020</v>
      </c>
      <c r="B138" s="4">
        <f>SUM(C138:E138)</f>
        <v>6217.7530000000006</v>
      </c>
      <c r="C138" s="4">
        <v>4238.0820000000003</v>
      </c>
      <c r="D138" s="4">
        <v>1959.671</v>
      </c>
      <c r="E138" s="4">
        <v>20</v>
      </c>
    </row>
    <row r="139" spans="1:9" x14ac:dyDescent="0.2">
      <c r="A139">
        <v>2021</v>
      </c>
      <c r="B139" s="4">
        <f t="shared" ref="B139" si="9">SUM(C139:E139)</f>
        <v>5739.558</v>
      </c>
      <c r="C139" s="4">
        <v>4374</v>
      </c>
      <c r="D139" s="4">
        <v>1345.558</v>
      </c>
      <c r="E139" s="4">
        <v>20</v>
      </c>
    </row>
    <row r="140" spans="1:9" x14ac:dyDescent="0.2">
      <c r="B140" s="4"/>
    </row>
    <row r="141" spans="1:9" x14ac:dyDescent="0.2">
      <c r="A141" s="1" t="s">
        <v>21</v>
      </c>
    </row>
    <row r="143" spans="1:9" ht="25.5" x14ac:dyDescent="0.2">
      <c r="A143" s="2"/>
      <c r="B143" s="3" t="s">
        <v>2</v>
      </c>
      <c r="C143" s="3" t="s">
        <v>0</v>
      </c>
      <c r="D143" s="3" t="s">
        <v>1</v>
      </c>
      <c r="E143" s="3" t="s">
        <v>10</v>
      </c>
    </row>
    <row r="144" spans="1:9" x14ac:dyDescent="0.2">
      <c r="A144">
        <v>2010</v>
      </c>
      <c r="B144" s="4">
        <f>SUM(C144:E144)</f>
        <v>21588.206999999999</v>
      </c>
      <c r="C144" s="5">
        <v>4688.0029999999997</v>
      </c>
      <c r="D144" s="5">
        <v>16466.661999999997</v>
      </c>
      <c r="E144" s="5">
        <v>433.54199999999997</v>
      </c>
      <c r="G144" s="4"/>
      <c r="H144" s="4"/>
      <c r="I144" s="4"/>
    </row>
    <row r="145" spans="1:9" x14ac:dyDescent="0.2">
      <c r="A145">
        <v>2011</v>
      </c>
      <c r="B145" s="4">
        <f t="shared" ref="B145:B151" si="10">SUM(C145:E145)</f>
        <v>21835.495999999999</v>
      </c>
      <c r="C145" s="5">
        <v>4924.4070000000002</v>
      </c>
      <c r="D145" s="5">
        <v>16248.800999999999</v>
      </c>
      <c r="E145" s="5">
        <v>662.28800000000001</v>
      </c>
      <c r="G145" s="4"/>
      <c r="H145" s="4"/>
      <c r="I145" s="4"/>
    </row>
    <row r="146" spans="1:9" x14ac:dyDescent="0.2">
      <c r="A146">
        <v>2012</v>
      </c>
      <c r="B146" s="4">
        <f t="shared" si="10"/>
        <v>17085.879000000001</v>
      </c>
      <c r="C146" s="5">
        <v>5179.4369999999999</v>
      </c>
      <c r="D146" s="5">
        <v>11058.787</v>
      </c>
      <c r="E146" s="5">
        <v>847.65499999999997</v>
      </c>
      <c r="G146" s="4"/>
      <c r="H146" s="4"/>
      <c r="I146" s="4"/>
    </row>
    <row r="147" spans="1:9" x14ac:dyDescent="0.2">
      <c r="A147">
        <v>2013</v>
      </c>
      <c r="B147" s="4">
        <f t="shared" si="10"/>
        <v>17895.181</v>
      </c>
      <c r="C147" s="5">
        <v>7566.982</v>
      </c>
      <c r="D147" s="5">
        <v>9404.6540000000023</v>
      </c>
      <c r="E147" s="5">
        <v>923.54499999999996</v>
      </c>
      <c r="G147" s="4"/>
      <c r="H147" s="4"/>
      <c r="I147" s="4"/>
    </row>
    <row r="148" spans="1:9" x14ac:dyDescent="0.2">
      <c r="A148">
        <v>2014</v>
      </c>
      <c r="B148" s="4">
        <f t="shared" si="10"/>
        <v>17894.813000000002</v>
      </c>
      <c r="C148" s="5">
        <v>8046.1090000000004</v>
      </c>
      <c r="D148" s="5">
        <v>9334.473</v>
      </c>
      <c r="E148" s="5">
        <v>514.23099999999999</v>
      </c>
      <c r="G148" s="4"/>
      <c r="H148" s="4"/>
      <c r="I148" s="4"/>
    </row>
    <row r="149" spans="1:9" x14ac:dyDescent="0.2">
      <c r="A149">
        <v>2015</v>
      </c>
      <c r="B149" s="4">
        <f t="shared" si="10"/>
        <v>16698.510999999999</v>
      </c>
      <c r="C149" s="5">
        <v>8107.9579999999996</v>
      </c>
      <c r="D149" s="5">
        <v>7949.8549999999996</v>
      </c>
      <c r="E149" s="5">
        <v>640.69799999999998</v>
      </c>
      <c r="G149" s="4"/>
      <c r="H149" s="4"/>
      <c r="I149" s="4"/>
    </row>
    <row r="150" spans="1:9" x14ac:dyDescent="0.2">
      <c r="A150">
        <v>2016</v>
      </c>
      <c r="B150" s="4">
        <f t="shared" si="10"/>
        <v>18442.396000000001</v>
      </c>
      <c r="C150" s="5">
        <v>6475.8190000000004</v>
      </c>
      <c r="D150" s="5">
        <v>11150.12</v>
      </c>
      <c r="E150" s="5">
        <v>816.45699999999999</v>
      </c>
      <c r="G150" s="4"/>
      <c r="H150" s="4"/>
      <c r="I150" s="4"/>
    </row>
    <row r="151" spans="1:9" x14ac:dyDescent="0.2">
      <c r="A151">
        <v>2017</v>
      </c>
      <c r="B151" s="4">
        <f t="shared" si="10"/>
        <v>19671.961800000001</v>
      </c>
      <c r="C151" s="5">
        <v>7460.82</v>
      </c>
      <c r="D151" s="5">
        <v>11448.209000000001</v>
      </c>
      <c r="E151" s="5">
        <v>762.93280000000004</v>
      </c>
      <c r="G151" s="4"/>
      <c r="H151" s="4"/>
      <c r="I151" s="4"/>
    </row>
    <row r="152" spans="1:9" x14ac:dyDescent="0.2">
      <c r="A152">
        <v>2018</v>
      </c>
      <c r="B152" s="6">
        <v>18412.117000000002</v>
      </c>
      <c r="C152" s="6">
        <v>8215.4</v>
      </c>
      <c r="D152" s="8">
        <v>9364.8369999999995</v>
      </c>
      <c r="E152" s="6">
        <v>831.88</v>
      </c>
      <c r="F152" s="9"/>
      <c r="G152" s="4"/>
      <c r="H152" s="4"/>
      <c r="I152" s="4"/>
    </row>
    <row r="153" spans="1:9" x14ac:dyDescent="0.2">
      <c r="A153">
        <v>2019</v>
      </c>
      <c r="B153" s="4">
        <v>20400.945</v>
      </c>
      <c r="C153" s="4">
        <v>9589.4210000000003</v>
      </c>
      <c r="D153" s="5">
        <v>10175.52</v>
      </c>
      <c r="E153" s="4">
        <v>636.00400000000002</v>
      </c>
      <c r="G153" s="4"/>
      <c r="H153" s="4"/>
      <c r="I153" s="4"/>
    </row>
    <row r="154" spans="1:9" x14ac:dyDescent="0.2">
      <c r="A154">
        <v>2020</v>
      </c>
      <c r="B154" s="4">
        <f>SUM(C154:E154)</f>
        <v>22150.983</v>
      </c>
      <c r="C154" s="4">
        <v>10670.1</v>
      </c>
      <c r="D154" s="5">
        <v>10971.987999999999</v>
      </c>
      <c r="E154" s="4">
        <v>508.89499999999998</v>
      </c>
      <c r="G154" s="4"/>
      <c r="H154" s="4"/>
      <c r="I154" s="4"/>
    </row>
    <row r="155" spans="1:9" x14ac:dyDescent="0.2">
      <c r="A155">
        <v>2021</v>
      </c>
      <c r="B155" s="4">
        <f>SUM(C155:E155)</f>
        <v>23085</v>
      </c>
      <c r="C155" s="4">
        <v>9824</v>
      </c>
      <c r="D155" s="5">
        <v>12580</v>
      </c>
      <c r="E155" s="4">
        <v>681</v>
      </c>
      <c r="G155" s="4"/>
      <c r="H155" s="4"/>
      <c r="I155" s="4"/>
    </row>
    <row r="157" spans="1:9" x14ac:dyDescent="0.2">
      <c r="A157" s="1" t="s">
        <v>22</v>
      </c>
    </row>
    <row r="159" spans="1:9" ht="25.5" x14ac:dyDescent="0.2">
      <c r="A159" s="2"/>
      <c r="B159" s="3" t="s">
        <v>2</v>
      </c>
      <c r="C159" s="3" t="s">
        <v>0</v>
      </c>
      <c r="D159" s="3" t="s">
        <v>1</v>
      </c>
      <c r="E159" s="3" t="s">
        <v>10</v>
      </c>
    </row>
    <row r="160" spans="1:9" x14ac:dyDescent="0.2">
      <c r="A160">
        <v>2010</v>
      </c>
      <c r="B160" s="4">
        <f>SUM(C160:E160)</f>
        <v>9104.9320000000007</v>
      </c>
      <c r="C160" s="5">
        <v>4195.54</v>
      </c>
      <c r="D160" s="5">
        <v>4909.3919999999998</v>
      </c>
      <c r="E160" s="5">
        <v>0</v>
      </c>
    </row>
    <row r="161" spans="1:9" x14ac:dyDescent="0.2">
      <c r="A161">
        <v>2011</v>
      </c>
      <c r="B161" s="4">
        <f t="shared" ref="B161:B171" si="11">SUM(C161:E161)</f>
        <v>9545.7829999999994</v>
      </c>
      <c r="C161" s="5">
        <v>4000</v>
      </c>
      <c r="D161" s="5">
        <v>5168.2119999999995</v>
      </c>
      <c r="E161" s="4">
        <v>377.57100000000003</v>
      </c>
    </row>
    <row r="162" spans="1:9" x14ac:dyDescent="0.2">
      <c r="A162">
        <v>2012</v>
      </c>
      <c r="B162" s="4">
        <f t="shared" si="11"/>
        <v>8611.2780000000002</v>
      </c>
      <c r="C162" s="5">
        <v>4000</v>
      </c>
      <c r="D162" s="5">
        <v>3999.2879999999996</v>
      </c>
      <c r="E162" s="4">
        <v>611.99</v>
      </c>
    </row>
    <row r="163" spans="1:9" x14ac:dyDescent="0.2">
      <c r="A163">
        <v>2013</v>
      </c>
      <c r="B163" s="4">
        <f t="shared" si="11"/>
        <v>7209.2029999999995</v>
      </c>
      <c r="C163" s="5">
        <v>4000</v>
      </c>
      <c r="D163" s="5">
        <v>2755.0039999999999</v>
      </c>
      <c r="E163" s="4">
        <v>454.19900000000001</v>
      </c>
    </row>
    <row r="164" spans="1:9" x14ac:dyDescent="0.2">
      <c r="A164">
        <v>2014</v>
      </c>
      <c r="B164" s="4">
        <f t="shared" si="11"/>
        <v>6030.7840000000006</v>
      </c>
      <c r="C164" s="5">
        <v>4134.4390000000003</v>
      </c>
      <c r="D164" s="5">
        <v>1628.152</v>
      </c>
      <c r="E164" s="4">
        <f>238.327+29.866</f>
        <v>268.19299999999998</v>
      </c>
    </row>
    <row r="165" spans="1:9" x14ac:dyDescent="0.2">
      <c r="A165">
        <v>2015</v>
      </c>
      <c r="B165" s="4">
        <f t="shared" si="11"/>
        <v>5774.3530000000001</v>
      </c>
      <c r="C165" s="5">
        <v>5534.4769999999999</v>
      </c>
      <c r="D165" s="5">
        <v>0</v>
      </c>
      <c r="E165" s="4">
        <v>239.876</v>
      </c>
    </row>
    <row r="166" spans="1:9" x14ac:dyDescent="0.2">
      <c r="A166">
        <v>2016</v>
      </c>
      <c r="B166" s="4">
        <f t="shared" si="11"/>
        <v>5700.61</v>
      </c>
      <c r="C166" s="5">
        <v>3751.8519999999999</v>
      </c>
      <c r="D166" s="5">
        <v>1915.567</v>
      </c>
      <c r="E166" s="4">
        <v>33.191000000000003</v>
      </c>
    </row>
    <row r="167" spans="1:9" x14ac:dyDescent="0.2">
      <c r="A167">
        <v>2017</v>
      </c>
      <c r="B167" s="4">
        <f t="shared" si="11"/>
        <v>6516.0060000000003</v>
      </c>
      <c r="C167" s="5">
        <v>3835.9250000000002</v>
      </c>
      <c r="D167" s="5">
        <v>2647.0810000000001</v>
      </c>
      <c r="E167" s="4">
        <v>33</v>
      </c>
    </row>
    <row r="168" spans="1:9" x14ac:dyDescent="0.2">
      <c r="A168">
        <v>2018</v>
      </c>
      <c r="B168" s="4">
        <f t="shared" si="11"/>
        <v>7024.8410000000003</v>
      </c>
      <c r="C168" s="5">
        <v>4296.84</v>
      </c>
      <c r="D168" s="5">
        <v>2686.7300000000005</v>
      </c>
      <c r="E168" s="4">
        <v>41.271000000000001</v>
      </c>
    </row>
    <row r="169" spans="1:9" x14ac:dyDescent="0.2">
      <c r="A169">
        <v>2019</v>
      </c>
      <c r="B169" s="4">
        <f t="shared" si="11"/>
        <v>7711.7640000000001</v>
      </c>
      <c r="C169" s="5">
        <v>4696.5240000000003</v>
      </c>
      <c r="D169" s="5">
        <v>2956.6880000000001</v>
      </c>
      <c r="E169" s="4">
        <v>58.552</v>
      </c>
    </row>
    <row r="170" spans="1:9" x14ac:dyDescent="0.2">
      <c r="A170">
        <v>2020</v>
      </c>
      <c r="B170" s="4">
        <f t="shared" si="11"/>
        <v>7138.0959999999995</v>
      </c>
      <c r="C170" s="5">
        <v>4603.6530000000002</v>
      </c>
      <c r="D170" s="5">
        <v>2510.2959999999994</v>
      </c>
      <c r="E170" s="4">
        <v>24.146999999999998</v>
      </c>
    </row>
    <row r="171" spans="1:9" x14ac:dyDescent="0.2">
      <c r="A171">
        <v>2021</v>
      </c>
      <c r="B171" s="4">
        <f t="shared" si="11"/>
        <v>7774.6359999999995</v>
      </c>
      <c r="C171" s="5">
        <v>4926.1629999999996</v>
      </c>
      <c r="D171" s="5">
        <v>2585.473</v>
      </c>
      <c r="E171" s="4">
        <v>263</v>
      </c>
    </row>
    <row r="173" spans="1:9" x14ac:dyDescent="0.2">
      <c r="A173" s="1" t="s">
        <v>23</v>
      </c>
    </row>
    <row r="175" spans="1:9" ht="25.5" x14ac:dyDescent="0.2">
      <c r="A175" s="2"/>
      <c r="B175" s="3" t="s">
        <v>2</v>
      </c>
      <c r="C175" s="3" t="s">
        <v>0</v>
      </c>
      <c r="D175" s="3" t="s">
        <v>1</v>
      </c>
      <c r="E175" s="3" t="s">
        <v>10</v>
      </c>
    </row>
    <row r="176" spans="1:9" x14ac:dyDescent="0.2">
      <c r="A176">
        <v>2010</v>
      </c>
      <c r="B176" s="4">
        <f>SUM(C176:E176)</f>
        <v>22812.727999999999</v>
      </c>
      <c r="C176" s="4">
        <v>6202.4179999999997</v>
      </c>
      <c r="D176" s="4">
        <v>15463.564999999999</v>
      </c>
      <c r="E176" s="4">
        <v>1146.7450000000001</v>
      </c>
      <c r="G176" s="4"/>
      <c r="H176" s="4"/>
      <c r="I176" s="4"/>
    </row>
    <row r="177" spans="1:9" x14ac:dyDescent="0.2">
      <c r="A177">
        <v>2011</v>
      </c>
      <c r="B177" s="4">
        <f t="shared" ref="B177:B185" si="12">SUM(C177:E177)</f>
        <v>28795.502000000004</v>
      </c>
      <c r="C177" s="4">
        <v>6324.4539999999997</v>
      </c>
      <c r="D177" s="4">
        <v>20804.329000000002</v>
      </c>
      <c r="E177" s="4">
        <v>1666.7189999999998</v>
      </c>
      <c r="G177" s="4"/>
      <c r="H177" s="4"/>
      <c r="I177" s="4"/>
    </row>
    <row r="178" spans="1:9" x14ac:dyDescent="0.2">
      <c r="A178">
        <v>2012</v>
      </c>
      <c r="B178" s="4">
        <f t="shared" si="12"/>
        <v>34123.120999999999</v>
      </c>
      <c r="C178" s="4">
        <v>6251.08</v>
      </c>
      <c r="D178" s="4">
        <v>26228.634999999998</v>
      </c>
      <c r="E178" s="4">
        <v>1643.4059999999999</v>
      </c>
      <c r="G178" s="4"/>
      <c r="H178" s="4"/>
      <c r="I178" s="4"/>
    </row>
    <row r="179" spans="1:9" x14ac:dyDescent="0.2">
      <c r="A179">
        <v>2013</v>
      </c>
      <c r="B179" s="4">
        <f t="shared" si="12"/>
        <v>32673.212000000003</v>
      </c>
      <c r="C179" s="4">
        <v>5252.8249999999998</v>
      </c>
      <c r="D179" s="4">
        <v>25872.720000000001</v>
      </c>
      <c r="E179" s="4">
        <v>1547.6669999999999</v>
      </c>
      <c r="G179" s="4"/>
      <c r="H179" s="4"/>
      <c r="I179" s="4"/>
    </row>
    <row r="180" spans="1:9" x14ac:dyDescent="0.2">
      <c r="A180">
        <v>2014</v>
      </c>
      <c r="B180" s="4">
        <f t="shared" si="12"/>
        <v>31004.811000000002</v>
      </c>
      <c r="C180" s="4">
        <v>5315.2520000000004</v>
      </c>
      <c r="D180" s="4">
        <v>24082.931</v>
      </c>
      <c r="E180" s="4">
        <v>1606.6279999999999</v>
      </c>
      <c r="G180" s="4"/>
      <c r="H180" s="4"/>
      <c r="I180" s="4"/>
    </row>
    <row r="181" spans="1:9" x14ac:dyDescent="0.2">
      <c r="A181">
        <v>2015</v>
      </c>
      <c r="B181" s="4">
        <f t="shared" si="12"/>
        <v>33354.17</v>
      </c>
      <c r="C181" s="4">
        <v>5157.6719999999996</v>
      </c>
      <c r="D181" s="4">
        <v>25839.84</v>
      </c>
      <c r="E181" s="4">
        <v>2356.6579999999999</v>
      </c>
      <c r="G181" s="4"/>
      <c r="H181" s="4"/>
      <c r="I181" s="4"/>
    </row>
    <row r="182" spans="1:9" x14ac:dyDescent="0.2">
      <c r="A182">
        <v>2016</v>
      </c>
      <c r="B182" s="4">
        <f t="shared" si="12"/>
        <v>35012.123</v>
      </c>
      <c r="C182" s="4">
        <v>4754.2809999999999</v>
      </c>
      <c r="D182" s="4">
        <v>26795.316999999999</v>
      </c>
      <c r="E182" s="4">
        <v>3462.5250000000001</v>
      </c>
      <c r="G182" s="4"/>
      <c r="H182" s="4"/>
      <c r="I182" s="4"/>
    </row>
    <row r="183" spans="1:9" x14ac:dyDescent="0.2">
      <c r="A183">
        <v>2017</v>
      </c>
      <c r="B183" s="4">
        <f t="shared" si="12"/>
        <v>38281.498000000007</v>
      </c>
      <c r="C183" s="4">
        <v>4831.8710000000001</v>
      </c>
      <c r="D183" s="4">
        <v>30454.789000000001</v>
      </c>
      <c r="E183" s="4">
        <v>2994.8380000000002</v>
      </c>
    </row>
    <row r="184" spans="1:9" x14ac:dyDescent="0.2">
      <c r="A184">
        <v>2018</v>
      </c>
      <c r="B184" s="4">
        <f t="shared" si="12"/>
        <v>37741.898000000001</v>
      </c>
      <c r="C184" s="4">
        <v>5174.8649999999998</v>
      </c>
      <c r="D184" s="4">
        <v>29479.577000000001</v>
      </c>
      <c r="E184" s="4">
        <v>3087.4560000000001</v>
      </c>
    </row>
    <row r="185" spans="1:9" x14ac:dyDescent="0.2">
      <c r="A185">
        <v>2019</v>
      </c>
      <c r="B185" s="4">
        <f t="shared" si="12"/>
        <v>36087.207000000002</v>
      </c>
      <c r="C185" s="4">
        <v>6514.2809999999999</v>
      </c>
      <c r="D185" s="4">
        <v>26274.04</v>
      </c>
      <c r="E185" s="4">
        <f>3298.886</f>
        <v>3298.886</v>
      </c>
    </row>
    <row r="186" spans="1:9" x14ac:dyDescent="0.2">
      <c r="A186">
        <v>2020</v>
      </c>
      <c r="B186" s="4">
        <f t="shared" ref="B186:B187" si="13">SUM(C186:E186)</f>
        <v>40700</v>
      </c>
      <c r="C186" s="4">
        <v>7400</v>
      </c>
      <c r="D186" s="4">
        <v>30300</v>
      </c>
      <c r="E186" s="4">
        <v>3000</v>
      </c>
    </row>
    <row r="187" spans="1:9" x14ac:dyDescent="0.2">
      <c r="A187">
        <v>2021</v>
      </c>
      <c r="B187" s="4">
        <f t="shared" si="13"/>
        <v>48278</v>
      </c>
      <c r="C187" s="4">
        <v>10998</v>
      </c>
      <c r="D187" s="4">
        <v>37280</v>
      </c>
      <c r="E187" s="4"/>
    </row>
  </sheetData>
  <pageMargins left="0.7" right="0.7" top="0.75" bottom="0.75" header="0.3" footer="0.3"/>
  <pageSetup paperSize="9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1"/>
  <sheetViews>
    <sheetView tabSelected="1" workbookViewId="0">
      <selection activeCell="C51" sqref="C51:E51"/>
    </sheetView>
  </sheetViews>
  <sheetFormatPr defaultRowHeight="12.75" x14ac:dyDescent="0.2"/>
  <cols>
    <col min="2" max="5" width="12.7109375" customWidth="1"/>
  </cols>
  <sheetData>
    <row r="1" spans="1:5" x14ac:dyDescent="0.2">
      <c r="A1" s="1" t="s">
        <v>24</v>
      </c>
    </row>
    <row r="2" spans="1:5" x14ac:dyDescent="0.2">
      <c r="A2" s="1" t="s">
        <v>37</v>
      </c>
    </row>
    <row r="4" spans="1:5" x14ac:dyDescent="0.2">
      <c r="A4" s="1" t="s">
        <v>25</v>
      </c>
    </row>
    <row r="6" spans="1:5" ht="25.5" x14ac:dyDescent="0.2">
      <c r="A6" s="2"/>
      <c r="B6" s="3" t="s">
        <v>2</v>
      </c>
      <c r="C6" s="3" t="s">
        <v>0</v>
      </c>
      <c r="D6" s="3" t="s">
        <v>1</v>
      </c>
      <c r="E6" s="3" t="s">
        <v>10</v>
      </c>
    </row>
    <row r="7" spans="1:5" x14ac:dyDescent="0.2">
      <c r="A7">
        <v>2010</v>
      </c>
      <c r="B7" s="4">
        <f>SUM(C7:E7)</f>
        <v>9800</v>
      </c>
      <c r="C7" s="4">
        <f>2800+1000</f>
        <v>3800</v>
      </c>
      <c r="D7" s="5">
        <v>6000</v>
      </c>
      <c r="E7" s="5">
        <v>0</v>
      </c>
    </row>
    <row r="8" spans="1:5" x14ac:dyDescent="0.2">
      <c r="A8">
        <v>2011</v>
      </c>
      <c r="B8" s="4">
        <f t="shared" ref="B8:B14" si="0">SUM(C8:E8)</f>
        <v>9200</v>
      </c>
      <c r="C8" s="4">
        <f>2800+1000</f>
        <v>3800</v>
      </c>
      <c r="D8" s="5">
        <v>5400</v>
      </c>
      <c r="E8" s="4">
        <v>0</v>
      </c>
    </row>
    <row r="9" spans="1:5" x14ac:dyDescent="0.2">
      <c r="A9">
        <v>2012</v>
      </c>
      <c r="B9" s="4">
        <f t="shared" si="0"/>
        <v>8300</v>
      </c>
      <c r="C9" s="4">
        <f>2600+800</f>
        <v>3400</v>
      </c>
      <c r="D9" s="5">
        <v>4900</v>
      </c>
      <c r="E9" s="4">
        <v>0</v>
      </c>
    </row>
    <row r="10" spans="1:5" x14ac:dyDescent="0.2">
      <c r="A10">
        <v>2013</v>
      </c>
      <c r="B10" s="4">
        <f t="shared" si="0"/>
        <v>9400</v>
      </c>
      <c r="C10" s="4">
        <f>2400+900</f>
        <v>3300</v>
      </c>
      <c r="D10" s="5">
        <v>6100</v>
      </c>
      <c r="E10" s="4">
        <v>0</v>
      </c>
    </row>
    <row r="11" spans="1:5" x14ac:dyDescent="0.2">
      <c r="A11">
        <v>2014</v>
      </c>
      <c r="B11" s="4">
        <f t="shared" si="0"/>
        <v>9700</v>
      </c>
      <c r="C11" s="4">
        <f>2300+1000</f>
        <v>3300</v>
      </c>
      <c r="D11" s="5">
        <v>6400</v>
      </c>
      <c r="E11" s="4">
        <v>0</v>
      </c>
    </row>
    <row r="12" spans="1:5" x14ac:dyDescent="0.2">
      <c r="A12">
        <v>2015</v>
      </c>
      <c r="B12" s="4">
        <f t="shared" si="0"/>
        <v>13100</v>
      </c>
      <c r="C12" s="4">
        <f>2600+900</f>
        <v>3500</v>
      </c>
      <c r="D12" s="5">
        <v>9600</v>
      </c>
      <c r="E12" s="4">
        <v>0</v>
      </c>
    </row>
    <row r="13" spans="1:5" x14ac:dyDescent="0.2">
      <c r="A13">
        <v>2016</v>
      </c>
      <c r="B13" s="4">
        <f t="shared" si="0"/>
        <v>13490</v>
      </c>
      <c r="C13" s="4">
        <v>1100</v>
      </c>
      <c r="D13" s="5">
        <v>12390</v>
      </c>
      <c r="E13" s="4">
        <v>0</v>
      </c>
    </row>
    <row r="14" spans="1:5" x14ac:dyDescent="0.2">
      <c r="A14">
        <v>2017</v>
      </c>
      <c r="B14" s="4">
        <f t="shared" si="0"/>
        <v>13700</v>
      </c>
      <c r="C14" s="4">
        <v>1100</v>
      </c>
      <c r="D14" s="5">
        <v>12600</v>
      </c>
      <c r="E14" s="4">
        <v>0</v>
      </c>
    </row>
    <row r="15" spans="1:5" x14ac:dyDescent="0.2">
      <c r="A15">
        <v>2018</v>
      </c>
      <c r="B15" s="4">
        <v>14713</v>
      </c>
      <c r="C15" s="4">
        <v>800</v>
      </c>
      <c r="D15" s="5">
        <v>13913</v>
      </c>
      <c r="E15" s="4">
        <v>0</v>
      </c>
    </row>
    <row r="16" spans="1:5" x14ac:dyDescent="0.2">
      <c r="A16">
        <v>2019</v>
      </c>
      <c r="B16" s="4">
        <v>16114</v>
      </c>
    </row>
    <row r="17" spans="1:5" x14ac:dyDescent="0.2">
      <c r="A17">
        <v>2020</v>
      </c>
      <c r="B17" s="4">
        <v>13410</v>
      </c>
    </row>
    <row r="18" spans="1:5" x14ac:dyDescent="0.2">
      <c r="A18">
        <v>2021</v>
      </c>
      <c r="B18" s="4">
        <v>12699</v>
      </c>
    </row>
    <row r="21" spans="1:5" x14ac:dyDescent="0.2">
      <c r="A21" s="1" t="s">
        <v>26</v>
      </c>
    </row>
    <row r="23" spans="1:5" ht="25.5" x14ac:dyDescent="0.2">
      <c r="A23" s="2"/>
      <c r="B23" s="3" t="s">
        <v>2</v>
      </c>
      <c r="C23" s="3" t="s">
        <v>0</v>
      </c>
      <c r="D23" s="3" t="s">
        <v>1</v>
      </c>
      <c r="E23" s="3" t="s">
        <v>10</v>
      </c>
    </row>
    <row r="24" spans="1:5" x14ac:dyDescent="0.2">
      <c r="A24">
        <v>2010</v>
      </c>
      <c r="B24" s="4">
        <f>SUM(C24:E24)</f>
        <v>0</v>
      </c>
      <c r="C24" s="4">
        <v>0</v>
      </c>
      <c r="D24" s="5">
        <v>0</v>
      </c>
      <c r="E24" s="5">
        <v>0</v>
      </c>
    </row>
    <row r="25" spans="1:5" x14ac:dyDescent="0.2">
      <c r="A25">
        <v>2011</v>
      </c>
      <c r="B25" s="4">
        <f t="shared" ref="B25:B31" si="1">SUM(C25:E25)</f>
        <v>0</v>
      </c>
      <c r="C25" s="4">
        <v>0</v>
      </c>
      <c r="D25" s="5">
        <v>0</v>
      </c>
      <c r="E25" s="4">
        <v>0</v>
      </c>
    </row>
    <row r="26" spans="1:5" x14ac:dyDescent="0.2">
      <c r="A26">
        <v>2012</v>
      </c>
      <c r="B26" s="4">
        <f t="shared" si="1"/>
        <v>14700</v>
      </c>
      <c r="C26" s="4">
        <v>14700</v>
      </c>
      <c r="D26" s="5">
        <v>0</v>
      </c>
      <c r="E26" s="4">
        <v>0</v>
      </c>
    </row>
    <row r="27" spans="1:5" x14ac:dyDescent="0.2">
      <c r="A27">
        <v>2013</v>
      </c>
      <c r="B27" s="4">
        <f t="shared" si="1"/>
        <v>14700</v>
      </c>
      <c r="C27" s="4">
        <v>14700</v>
      </c>
      <c r="D27" s="5">
        <v>0</v>
      </c>
      <c r="E27" s="4">
        <v>0</v>
      </c>
    </row>
    <row r="28" spans="1:5" x14ac:dyDescent="0.2">
      <c r="A28">
        <v>2014</v>
      </c>
      <c r="B28" s="4">
        <f t="shared" si="1"/>
        <v>13669</v>
      </c>
      <c r="C28" s="4">
        <v>13627</v>
      </c>
      <c r="D28" s="5">
        <v>42</v>
      </c>
      <c r="E28" s="4">
        <v>0</v>
      </c>
    </row>
    <row r="29" spans="1:5" x14ac:dyDescent="0.2">
      <c r="A29">
        <v>2015</v>
      </c>
      <c r="B29" s="4">
        <f t="shared" si="1"/>
        <v>13964</v>
      </c>
      <c r="C29" s="4">
        <f>13964-317</f>
        <v>13647</v>
      </c>
      <c r="D29" s="5">
        <v>317</v>
      </c>
      <c r="E29" s="4">
        <v>0</v>
      </c>
    </row>
    <row r="30" spans="1:5" x14ac:dyDescent="0.2">
      <c r="A30">
        <v>2016</v>
      </c>
      <c r="B30" s="4">
        <f t="shared" si="1"/>
        <v>15864.498000000001</v>
      </c>
      <c r="C30" s="4">
        <v>15669.173000000001</v>
      </c>
      <c r="D30" s="5">
        <v>195.32499999999999</v>
      </c>
      <c r="E30" s="4">
        <v>0</v>
      </c>
    </row>
    <row r="31" spans="1:5" x14ac:dyDescent="0.2">
      <c r="A31">
        <v>2017</v>
      </c>
      <c r="B31" s="4">
        <f t="shared" si="1"/>
        <v>15565.252999999999</v>
      </c>
      <c r="C31" s="4">
        <v>15505.31</v>
      </c>
      <c r="D31" s="5">
        <v>59.942999999999998</v>
      </c>
      <c r="E31" s="4">
        <v>0</v>
      </c>
    </row>
    <row r="32" spans="1:5" x14ac:dyDescent="0.2">
      <c r="A32">
        <v>2018</v>
      </c>
      <c r="B32" s="4">
        <v>16140.941000000001</v>
      </c>
      <c r="C32" s="4">
        <v>15985.436000000002</v>
      </c>
      <c r="D32" s="5">
        <v>155.505</v>
      </c>
      <c r="E32" s="4">
        <v>0</v>
      </c>
    </row>
    <row r="33" spans="1:9" x14ac:dyDescent="0.2">
      <c r="A33">
        <v>2019</v>
      </c>
      <c r="B33" s="4">
        <v>16804.332999999999</v>
      </c>
      <c r="C33" s="4">
        <f>B33-D33</f>
        <v>16669.133999999998</v>
      </c>
      <c r="D33" s="4">
        <v>135.19900000000001</v>
      </c>
      <c r="E33" s="4">
        <v>0</v>
      </c>
    </row>
    <row r="34" spans="1:9" x14ac:dyDescent="0.2">
      <c r="A34">
        <v>2020</v>
      </c>
      <c r="B34" s="4">
        <f>SUM(C34:E34)</f>
        <v>15603.956</v>
      </c>
      <c r="C34" s="4">
        <v>15442.822</v>
      </c>
      <c r="D34" s="4">
        <v>161.13399999999999</v>
      </c>
      <c r="E34" s="4">
        <v>0</v>
      </c>
    </row>
    <row r="35" spans="1:9" x14ac:dyDescent="0.2">
      <c r="A35">
        <v>2021</v>
      </c>
      <c r="B35" s="4">
        <f>SUM(C35:E35)</f>
        <v>17256</v>
      </c>
      <c r="C35" s="4">
        <v>17012</v>
      </c>
      <c r="D35" s="4">
        <v>244</v>
      </c>
      <c r="E35" s="4"/>
    </row>
    <row r="37" spans="1:9" x14ac:dyDescent="0.2">
      <c r="A37" s="1" t="s">
        <v>27</v>
      </c>
    </row>
    <row r="39" spans="1:9" ht="25.5" x14ac:dyDescent="0.2">
      <c r="A39" s="2"/>
      <c r="B39" s="3" t="s">
        <v>2</v>
      </c>
      <c r="C39" s="3" t="s">
        <v>0</v>
      </c>
      <c r="D39" s="3" t="s">
        <v>1</v>
      </c>
      <c r="E39" s="3" t="s">
        <v>10</v>
      </c>
    </row>
    <row r="40" spans="1:9" x14ac:dyDescent="0.2">
      <c r="A40">
        <v>2010</v>
      </c>
      <c r="B40" s="4">
        <f>SUM(C40:E40)</f>
        <v>208704</v>
      </c>
      <c r="C40" s="4">
        <v>131473</v>
      </c>
      <c r="D40" s="4">
        <v>77231</v>
      </c>
      <c r="E40" s="4">
        <v>0</v>
      </c>
      <c r="G40" s="4"/>
      <c r="H40" s="4"/>
      <c r="I40" s="4"/>
    </row>
    <row r="41" spans="1:9" x14ac:dyDescent="0.2">
      <c r="A41">
        <v>2011</v>
      </c>
      <c r="B41" s="4">
        <f t="shared" ref="B41:B47" si="2">SUM(C41:E41)</f>
        <v>209895</v>
      </c>
      <c r="C41" s="4">
        <v>133009</v>
      </c>
      <c r="D41" s="4">
        <v>76886</v>
      </c>
      <c r="E41" s="4">
        <v>0</v>
      </c>
      <c r="G41" s="4"/>
      <c r="H41" s="4"/>
      <c r="I41" s="4"/>
    </row>
    <row r="42" spans="1:9" x14ac:dyDescent="0.2">
      <c r="A42">
        <v>2012</v>
      </c>
      <c r="B42" s="4">
        <f t="shared" si="2"/>
        <v>205661</v>
      </c>
      <c r="C42" s="4">
        <v>127915</v>
      </c>
      <c r="D42" s="4">
        <v>77746</v>
      </c>
      <c r="E42" s="4">
        <v>0</v>
      </c>
      <c r="G42" s="4"/>
      <c r="H42" s="4"/>
      <c r="I42" s="4"/>
    </row>
    <row r="43" spans="1:9" x14ac:dyDescent="0.2">
      <c r="A43">
        <v>2013</v>
      </c>
      <c r="B43" s="4">
        <f t="shared" si="2"/>
        <v>204212</v>
      </c>
      <c r="C43" s="4">
        <v>114547</v>
      </c>
      <c r="D43" s="4">
        <v>89665</v>
      </c>
      <c r="E43" s="4">
        <v>0</v>
      </c>
      <c r="G43" s="4"/>
      <c r="H43" s="5"/>
      <c r="I43" s="4"/>
    </row>
    <row r="44" spans="1:9" x14ac:dyDescent="0.2">
      <c r="A44">
        <v>2014</v>
      </c>
      <c r="B44" s="4">
        <f t="shared" si="2"/>
        <v>179735</v>
      </c>
      <c r="C44" s="4">
        <v>106777</v>
      </c>
      <c r="D44" s="4">
        <v>72958</v>
      </c>
      <c r="E44" s="4">
        <v>0</v>
      </c>
      <c r="G44" s="4"/>
      <c r="H44" s="5"/>
      <c r="I44" s="4"/>
    </row>
    <row r="45" spans="1:9" x14ac:dyDescent="0.2">
      <c r="A45">
        <v>2015</v>
      </c>
      <c r="B45" s="4">
        <f t="shared" si="2"/>
        <v>169181</v>
      </c>
      <c r="C45" s="4">
        <v>100613</v>
      </c>
      <c r="D45" s="4">
        <v>68568</v>
      </c>
      <c r="E45" s="4">
        <v>0</v>
      </c>
      <c r="G45" s="4"/>
      <c r="H45" s="5"/>
      <c r="I45" s="4"/>
    </row>
    <row r="46" spans="1:9" x14ac:dyDescent="0.2">
      <c r="A46">
        <v>2016</v>
      </c>
      <c r="B46" s="4">
        <f t="shared" si="2"/>
        <v>183496</v>
      </c>
      <c r="C46" s="4">
        <v>98311</v>
      </c>
      <c r="D46" s="4">
        <v>85185</v>
      </c>
      <c r="E46" s="4">
        <v>0</v>
      </c>
    </row>
    <row r="47" spans="1:9" x14ac:dyDescent="0.2">
      <c r="A47">
        <v>2017</v>
      </c>
      <c r="B47" s="4">
        <f t="shared" si="2"/>
        <v>161741</v>
      </c>
      <c r="C47" s="4">
        <v>91807.91</v>
      </c>
      <c r="D47" s="4">
        <v>69933.09</v>
      </c>
      <c r="E47" s="4">
        <v>0</v>
      </c>
    </row>
    <row r="48" spans="1:9" x14ac:dyDescent="0.2">
      <c r="A48">
        <v>2018</v>
      </c>
      <c r="B48" s="4">
        <v>168468</v>
      </c>
      <c r="C48" s="4">
        <v>96257.34489731428</v>
      </c>
      <c r="D48" s="4">
        <v>72210.655102685705</v>
      </c>
      <c r="E48" s="4">
        <v>0</v>
      </c>
    </row>
    <row r="49" spans="1:5" x14ac:dyDescent="0.2">
      <c r="A49">
        <v>2019</v>
      </c>
      <c r="B49" s="11">
        <v>164716</v>
      </c>
      <c r="C49" s="11">
        <v>94113.56947376368</v>
      </c>
      <c r="D49" s="11">
        <v>70602.43052623632</v>
      </c>
      <c r="E49" s="4">
        <v>0</v>
      </c>
    </row>
    <row r="50" spans="1:5" x14ac:dyDescent="0.2">
      <c r="A50">
        <v>2020</v>
      </c>
      <c r="B50" s="4">
        <f>SUM(C50:E50)</f>
        <v>178248</v>
      </c>
      <c r="C50" s="4">
        <v>101845.33094271005</v>
      </c>
      <c r="D50" s="4">
        <v>76402.669057289953</v>
      </c>
      <c r="E50" s="4">
        <v>0</v>
      </c>
    </row>
    <row r="51" spans="1:5" x14ac:dyDescent="0.2">
      <c r="A51">
        <v>2021</v>
      </c>
      <c r="B51" s="4">
        <f>SUM(C51:E51)</f>
        <v>204868</v>
      </c>
      <c r="C51" s="4">
        <v>117055</v>
      </c>
      <c r="D51" s="4">
        <v>87813</v>
      </c>
      <c r="E51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departementale kennisorg.</vt:lpstr>
      <vt:lpstr>beleidsuitvoerende kennisorg.</vt:lpstr>
      <vt:lpstr>TO2-instellingen</vt:lpstr>
      <vt:lpstr>sectorgeorienteerde stichtingen</vt:lpstr>
      <vt:lpstr>opleiding&amp;onderzoek</vt:lpstr>
    </vt:vector>
  </TitlesOfParts>
  <Company>KNAW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Lionne Koens</dc:creator>
  <cp:lastModifiedBy>Lionne Koens</cp:lastModifiedBy>
  <dcterms:created xsi:type="dcterms:W3CDTF">2016-12-22T12:42:34Z</dcterms:created>
  <dcterms:modified xsi:type="dcterms:W3CDTF">2023-04-24T10:06:29Z</dcterms:modified>
</cp:coreProperties>
</file>