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ia\Rathenau$\home\AlexandraV\Documents\"/>
    </mc:Choice>
  </mc:AlternateContent>
  <bookViews>
    <workbookView xWindow="0" yWindow="0" windowWidth="19200" windowHeight="6000" tabRatio="806"/>
  </bookViews>
  <sheets>
    <sheet name="Inhoud" sheetId="5" r:id="rId1"/>
    <sheet name="Toelichting" sheetId="9" r:id="rId2"/>
    <sheet name="Totaal" sheetId="4" r:id="rId3"/>
    <sheet name="R&amp;D" sheetId="1" r:id="rId4"/>
    <sheet name="Innovatie" sheetId="2" r:id="rId5"/>
    <sheet name="R&amp;D + Innovatie" sheetId="8" r:id="rId6"/>
    <sheet name="Fiscaal" sheetId="3" r:id="rId7"/>
    <sheet name="NABS 2007" sheetId="7" state="hidden" r:id="rId8"/>
    <sheet name="R&amp;D data voor NABS" sheetId="17" state="hidden" r:id="rId9"/>
    <sheet name="draaitabel voor NABS_2022" sheetId="18" state="hidden" r:id="rId10"/>
    <sheet name="Draaitabel" sheetId="12" state="hidden" r:id="rId11"/>
  </sheets>
  <externalReferences>
    <externalReference r:id="rId12"/>
  </externalReferences>
  <definedNames>
    <definedName name="_xlnm._FilterDatabase" localSheetId="3" hidden="1">'R&amp;D'!$A$3:$X$3</definedName>
    <definedName name="_xlnm._FilterDatabase" localSheetId="8" hidden="1">'R&amp;D data voor NABS'!$A$3:$O$284</definedName>
    <definedName name="_xlnm.Print_Area" localSheetId="6">Fiscaal!$A$1:$I$63</definedName>
    <definedName name="_xlnm.Print_Area" localSheetId="0">Inhoud!$B$1:$B$10</definedName>
    <definedName name="_xlnm.Print_Area" localSheetId="4">Innovatie!$A$1:$L$128</definedName>
    <definedName name="_xlnm.Print_Area" localSheetId="3">'R&amp;D'!$A$1:$W$278</definedName>
    <definedName name="_xlnm.Print_Area" localSheetId="8">'R&amp;D data voor NABS'!$B$1:$O$289</definedName>
    <definedName name="_xlnm.Print_Area" localSheetId="1">Toelichting!$A$1:$A$54</definedName>
    <definedName name="_xlnm.Print_Titles" localSheetId="4">Innovatie!$A:$B,Innovatie!$2:$3</definedName>
    <definedName name="_xlnm.Print_Titles" localSheetId="3">'R&amp;D'!$A:$B,'R&amp;D'!$3:$4</definedName>
    <definedName name="_xlnm.Print_Titles" localSheetId="8">'R&amp;D data voor NABS'!$B:$C,'R&amp;D data voor NABS'!$3:$3</definedName>
  </definedNames>
  <calcPr calcId="162913"/>
  <pivotCaches>
    <pivotCache cacheId="0" r:id="rId13"/>
    <pivotCache cacheId="1" r:id="rId14"/>
  </pivotCaches>
</workbook>
</file>

<file path=xl/calcChain.xml><?xml version="1.0" encoding="utf-8"?>
<calcChain xmlns="http://schemas.openxmlformats.org/spreadsheetml/2006/main">
  <c r="B37" i="8" l="1"/>
  <c r="B21" i="8"/>
  <c r="C126" i="2"/>
  <c r="C120" i="2"/>
  <c r="C115" i="2"/>
  <c r="C109" i="2"/>
  <c r="C98" i="2"/>
  <c r="C61" i="2"/>
  <c r="C41" i="2"/>
  <c r="D37" i="2"/>
  <c r="E37" i="2"/>
  <c r="F37" i="2"/>
  <c r="G37" i="2"/>
  <c r="H37" i="2"/>
  <c r="I37" i="2"/>
  <c r="C37" i="2"/>
  <c r="C128" i="2" l="1"/>
  <c r="D61" i="2"/>
  <c r="E61" i="2"/>
  <c r="F61" i="2"/>
  <c r="G61" i="2"/>
  <c r="H61" i="2"/>
  <c r="I61" i="2"/>
  <c r="E126" i="2"/>
  <c r="E255" i="1" l="1"/>
  <c r="Q187" i="1" l="1"/>
  <c r="R187" i="1"/>
  <c r="S187" i="1"/>
  <c r="T187" i="1"/>
  <c r="U187" i="1"/>
  <c r="V187" i="1"/>
  <c r="W187" i="1"/>
  <c r="Q180" i="1"/>
  <c r="R180" i="1"/>
  <c r="S180" i="1"/>
  <c r="T180" i="1"/>
  <c r="U180" i="1"/>
  <c r="V180" i="1"/>
  <c r="W180" i="1"/>
  <c r="R179" i="1"/>
  <c r="S179" i="1"/>
  <c r="T179" i="1"/>
  <c r="U179" i="1"/>
  <c r="V179" i="1"/>
  <c r="W179" i="1"/>
  <c r="R178" i="1"/>
  <c r="S178" i="1"/>
  <c r="T178" i="1"/>
  <c r="U178" i="1"/>
  <c r="V178" i="1"/>
  <c r="W178" i="1"/>
  <c r="Q178" i="1"/>
  <c r="Q179" i="1"/>
  <c r="R168" i="1"/>
  <c r="S168" i="1"/>
  <c r="T168" i="1"/>
  <c r="U168" i="1"/>
  <c r="V168" i="1"/>
  <c r="W168" i="1"/>
  <c r="Q168" i="1"/>
  <c r="R149" i="1"/>
  <c r="S149" i="1"/>
  <c r="T149" i="1"/>
  <c r="U149" i="1"/>
  <c r="V149" i="1"/>
  <c r="W149" i="1"/>
  <c r="Q149" i="1"/>
  <c r="R142" i="1"/>
  <c r="S142" i="1"/>
  <c r="T142" i="1"/>
  <c r="U142" i="1"/>
  <c r="V142" i="1"/>
  <c r="W142" i="1"/>
  <c r="Q142" i="1"/>
  <c r="R138" i="1"/>
  <c r="S138" i="1"/>
  <c r="T138" i="1"/>
  <c r="U138" i="1"/>
  <c r="V138" i="1"/>
  <c r="W138" i="1"/>
  <c r="Q138" i="1"/>
  <c r="R137" i="1"/>
  <c r="S137" i="1"/>
  <c r="T137" i="1"/>
  <c r="U137" i="1"/>
  <c r="V137" i="1"/>
  <c r="W137" i="1"/>
  <c r="Q137" i="1"/>
  <c r="R131" i="1"/>
  <c r="S131" i="1"/>
  <c r="T131" i="1"/>
  <c r="U131" i="1"/>
  <c r="V131" i="1"/>
  <c r="W131" i="1"/>
  <c r="Q131" i="1"/>
  <c r="Q130" i="1"/>
  <c r="R130" i="1"/>
  <c r="S130" i="1"/>
  <c r="T130" i="1"/>
  <c r="U130" i="1"/>
  <c r="V130" i="1"/>
  <c r="W130" i="1"/>
  <c r="Q129" i="1"/>
  <c r="R129" i="1"/>
  <c r="S129" i="1"/>
  <c r="T129" i="1"/>
  <c r="U129" i="1"/>
  <c r="V129" i="1"/>
  <c r="W129" i="1"/>
  <c r="C18" i="7" l="1"/>
  <c r="C27" i="7" l="1"/>
  <c r="D18" i="7"/>
  <c r="D27" i="7" s="1"/>
  <c r="E18" i="7"/>
  <c r="E25" i="7" s="1"/>
  <c r="F18" i="7"/>
  <c r="F27" i="7" s="1"/>
  <c r="G18" i="7"/>
  <c r="G23" i="7" s="1"/>
  <c r="H18" i="7"/>
  <c r="H24" i="7" s="1"/>
  <c r="I18" i="7"/>
  <c r="I25" i="7" s="1"/>
  <c r="C22" i="7"/>
  <c r="D22" i="7"/>
  <c r="E22" i="7"/>
  <c r="F22" i="7"/>
  <c r="G22" i="7"/>
  <c r="H22" i="7"/>
  <c r="I22" i="7"/>
  <c r="G24" i="7"/>
  <c r="H25" i="7"/>
  <c r="G26" i="7"/>
  <c r="I26" i="7"/>
  <c r="G27" i="7"/>
  <c r="I27" i="7" l="1"/>
  <c r="F26" i="7"/>
  <c r="F23" i="7"/>
  <c r="F25" i="7"/>
  <c r="F24" i="7"/>
  <c r="E24" i="7"/>
  <c r="E26" i="7"/>
  <c r="E23" i="7"/>
  <c r="G25" i="7"/>
  <c r="E27" i="7"/>
  <c r="H26" i="7"/>
  <c r="D24" i="7"/>
  <c r="C23" i="7"/>
  <c r="H27" i="7"/>
  <c r="D23" i="7"/>
  <c r="D25" i="7"/>
  <c r="C24" i="7"/>
  <c r="D26" i="7"/>
  <c r="C25" i="7"/>
  <c r="I23" i="7"/>
  <c r="C26" i="7"/>
  <c r="I24" i="7"/>
  <c r="H23" i="7"/>
  <c r="F126" i="2" l="1"/>
  <c r="G120" i="2"/>
  <c r="D115" i="2"/>
  <c r="D109" i="2"/>
  <c r="I109" i="2"/>
  <c r="I98" i="2"/>
  <c r="D98" i="2"/>
  <c r="R248" i="1" l="1"/>
  <c r="S248" i="1"/>
  <c r="T248" i="1"/>
  <c r="U248" i="1"/>
  <c r="V248" i="1"/>
  <c r="W248" i="1"/>
  <c r="Q248" i="1"/>
  <c r="Q208" i="1"/>
  <c r="R208" i="1"/>
  <c r="S208" i="1"/>
  <c r="T208" i="1"/>
  <c r="U208" i="1"/>
  <c r="V208" i="1"/>
  <c r="W208" i="1"/>
  <c r="R207" i="1"/>
  <c r="S207" i="1"/>
  <c r="T207" i="1"/>
  <c r="U207" i="1"/>
  <c r="V207" i="1"/>
  <c r="W207" i="1"/>
  <c r="Q207" i="1"/>
  <c r="Q192" i="1"/>
  <c r="R192" i="1"/>
  <c r="S192" i="1"/>
  <c r="T192" i="1"/>
  <c r="U192" i="1"/>
  <c r="V192" i="1"/>
  <c r="W192" i="1"/>
  <c r="Q191" i="1"/>
  <c r="R191" i="1"/>
  <c r="S191" i="1"/>
  <c r="T191" i="1"/>
  <c r="U191" i="1"/>
  <c r="V191" i="1"/>
  <c r="W191" i="1"/>
  <c r="Q190" i="1"/>
  <c r="R190" i="1"/>
  <c r="S190" i="1"/>
  <c r="T190" i="1"/>
  <c r="U190" i="1"/>
  <c r="V190" i="1"/>
  <c r="W190" i="1"/>
  <c r="Q160" i="1"/>
  <c r="R160" i="1"/>
  <c r="S160" i="1"/>
  <c r="T160" i="1"/>
  <c r="U160" i="1"/>
  <c r="V160" i="1"/>
  <c r="W160" i="1"/>
  <c r="Q159" i="1"/>
  <c r="R159" i="1"/>
  <c r="S159" i="1"/>
  <c r="T159" i="1"/>
  <c r="U159" i="1"/>
  <c r="V159" i="1"/>
  <c r="W159" i="1"/>
  <c r="Q158" i="1"/>
  <c r="R158" i="1"/>
  <c r="S158" i="1"/>
  <c r="T158" i="1"/>
  <c r="U158" i="1"/>
  <c r="V158" i="1"/>
  <c r="W158" i="1"/>
  <c r="Q112" i="1"/>
  <c r="R112" i="1"/>
  <c r="S112" i="1"/>
  <c r="T112" i="1"/>
  <c r="U112" i="1"/>
  <c r="V112" i="1"/>
  <c r="W112" i="1"/>
  <c r="Q113" i="1"/>
  <c r="R113" i="1"/>
  <c r="S113" i="1"/>
  <c r="T113" i="1"/>
  <c r="U113" i="1"/>
  <c r="V113" i="1"/>
  <c r="W113" i="1"/>
  <c r="R111" i="1"/>
  <c r="S111" i="1"/>
  <c r="T111" i="1"/>
  <c r="U111" i="1"/>
  <c r="V111" i="1"/>
  <c r="W111" i="1"/>
  <c r="Q111" i="1"/>
  <c r="Q67" i="1"/>
  <c r="R67" i="1"/>
  <c r="S67" i="1"/>
  <c r="T67" i="1"/>
  <c r="U67" i="1"/>
  <c r="V67" i="1"/>
  <c r="W67" i="1"/>
  <c r="R66" i="1"/>
  <c r="S66" i="1"/>
  <c r="T66" i="1"/>
  <c r="U66" i="1"/>
  <c r="V66" i="1"/>
  <c r="W66" i="1"/>
  <c r="Q66" i="1"/>
  <c r="R114" i="1" l="1"/>
  <c r="Q68" i="1"/>
  <c r="S114" i="1"/>
  <c r="V114" i="1"/>
  <c r="W114" i="1"/>
  <c r="U114" i="1"/>
  <c r="T114" i="1"/>
  <c r="Q114" i="1"/>
  <c r="I114" i="1"/>
  <c r="H114" i="1"/>
  <c r="E68" i="1"/>
  <c r="F68" i="1"/>
  <c r="G68" i="1"/>
  <c r="H68" i="1"/>
  <c r="I68" i="1"/>
  <c r="D68" i="1"/>
  <c r="H39" i="8" l="1"/>
  <c r="G39" i="8"/>
  <c r="F39" i="8"/>
  <c r="E39" i="8"/>
  <c r="C39" i="8"/>
  <c r="B39" i="8"/>
  <c r="C68" i="1"/>
  <c r="G114" i="1"/>
  <c r="F114" i="1"/>
  <c r="E114" i="1"/>
  <c r="D114" i="1"/>
  <c r="C114" i="1"/>
  <c r="I249" i="1"/>
  <c r="H249" i="1"/>
  <c r="G249" i="1"/>
  <c r="F249" i="1"/>
  <c r="E249" i="1"/>
  <c r="D249" i="1"/>
  <c r="C249" i="1"/>
  <c r="C225" i="1"/>
  <c r="Q224" i="1"/>
  <c r="R224" i="1"/>
  <c r="S224" i="1"/>
  <c r="T224" i="1"/>
  <c r="U224" i="1"/>
  <c r="V224" i="1"/>
  <c r="W224" i="1"/>
  <c r="I225" i="1"/>
  <c r="H225" i="1"/>
  <c r="G225" i="1"/>
  <c r="F225" i="1"/>
  <c r="E225" i="1"/>
  <c r="D225" i="1"/>
  <c r="B25" i="8" l="1"/>
  <c r="C15" i="3" l="1"/>
  <c r="E15" i="3"/>
  <c r="F15" i="3"/>
  <c r="G15" i="3"/>
  <c r="H15" i="3"/>
  <c r="B15" i="3"/>
  <c r="C13" i="3"/>
  <c r="D13" i="3"/>
  <c r="E13" i="3"/>
  <c r="F13" i="3"/>
  <c r="G13" i="3"/>
  <c r="H13" i="3"/>
  <c r="B13" i="3"/>
  <c r="C7" i="3"/>
  <c r="D7" i="3"/>
  <c r="D15" i="3" s="1"/>
  <c r="E7" i="3"/>
  <c r="F7" i="3"/>
  <c r="G7" i="3"/>
  <c r="H7" i="3"/>
  <c r="B7" i="3"/>
  <c r="Q139" i="1" l="1"/>
  <c r="S37" i="1" l="1"/>
  <c r="S68" i="1" s="1"/>
  <c r="T37" i="1"/>
  <c r="T68" i="1" s="1"/>
  <c r="U37" i="1"/>
  <c r="U68" i="1" s="1"/>
  <c r="V37" i="1"/>
  <c r="V68" i="1" s="1"/>
  <c r="W37" i="1"/>
  <c r="W68" i="1" s="1"/>
  <c r="R37" i="1"/>
  <c r="R68" i="1" s="1"/>
  <c r="P37" i="1"/>
  <c r="Q253" i="1" l="1"/>
  <c r="R253" i="1"/>
  <c r="S253" i="1"/>
  <c r="T253" i="1"/>
  <c r="U253" i="1"/>
  <c r="V253" i="1"/>
  <c r="W253" i="1"/>
  <c r="Q254" i="1"/>
  <c r="R254" i="1"/>
  <c r="S254" i="1"/>
  <c r="T254" i="1"/>
  <c r="U254" i="1"/>
  <c r="V254" i="1"/>
  <c r="W254" i="1"/>
  <c r="R252" i="1"/>
  <c r="S252" i="1"/>
  <c r="T252" i="1"/>
  <c r="U252" i="1"/>
  <c r="V252" i="1"/>
  <c r="W252" i="1"/>
  <c r="Q252" i="1"/>
  <c r="Q255" i="1" l="1"/>
  <c r="Q24" i="1"/>
  <c r="Q223" i="1" l="1"/>
  <c r="R223" i="1"/>
  <c r="S223" i="1"/>
  <c r="T223" i="1"/>
  <c r="U223" i="1"/>
  <c r="V223" i="1"/>
  <c r="W223" i="1"/>
  <c r="Q222" i="1"/>
  <c r="R222" i="1"/>
  <c r="S222" i="1"/>
  <c r="T222" i="1"/>
  <c r="U222" i="1"/>
  <c r="V222" i="1"/>
  <c r="W222" i="1"/>
  <c r="Q221" i="1"/>
  <c r="R221" i="1"/>
  <c r="S221" i="1"/>
  <c r="T221" i="1"/>
  <c r="U221" i="1"/>
  <c r="V221" i="1"/>
  <c r="W221" i="1"/>
  <c r="Q209" i="1"/>
  <c r="R209" i="1"/>
  <c r="S209" i="1"/>
  <c r="T209" i="1"/>
  <c r="U209" i="1"/>
  <c r="V209" i="1"/>
  <c r="W209" i="1"/>
  <c r="C255" i="1" l="1"/>
  <c r="C271" i="1"/>
  <c r="C234" i="1"/>
  <c r="C270" i="1" s="1"/>
  <c r="C269" i="1"/>
  <c r="D193" i="1"/>
  <c r="E193" i="1"/>
  <c r="F193" i="1"/>
  <c r="G193" i="1"/>
  <c r="H193" i="1"/>
  <c r="I193" i="1"/>
  <c r="C193" i="1"/>
  <c r="C268" i="1" s="1"/>
  <c r="C79" i="1"/>
  <c r="C266" i="1" s="1"/>
  <c r="C265" i="1"/>
  <c r="C31" i="1"/>
  <c r="C264" i="1" s="1"/>
  <c r="C25" i="1"/>
  <c r="C263" i="1" s="1"/>
  <c r="C18" i="1"/>
  <c r="C262" i="1" s="1"/>
  <c r="C272" i="1" l="1"/>
  <c r="C267" i="1"/>
  <c r="M160" i="1"/>
  <c r="M159" i="1"/>
  <c r="M158" i="1"/>
  <c r="W74" i="1" l="1"/>
  <c r="V74" i="1"/>
  <c r="U74" i="1"/>
  <c r="T74" i="1"/>
  <c r="S74" i="1"/>
  <c r="R74" i="1"/>
  <c r="Q74" i="1"/>
  <c r="W73" i="1"/>
  <c r="V73" i="1"/>
  <c r="U73" i="1"/>
  <c r="T73" i="1"/>
  <c r="S73" i="1"/>
  <c r="R73" i="1"/>
  <c r="Q73" i="1"/>
  <c r="W72" i="1"/>
  <c r="V72" i="1"/>
  <c r="U72" i="1"/>
  <c r="T72" i="1"/>
  <c r="S72" i="1"/>
  <c r="R72" i="1"/>
  <c r="Q72" i="1"/>
  <c r="Q124" i="1" l="1"/>
  <c r="R124" i="1"/>
  <c r="S124" i="1"/>
  <c r="T124" i="1"/>
  <c r="U124" i="1"/>
  <c r="V124" i="1"/>
  <c r="W124" i="1"/>
  <c r="D3" i="17" l="1"/>
  <c r="Q206" i="1" l="1"/>
  <c r="R206" i="1"/>
  <c r="S206" i="1"/>
  <c r="T206" i="1"/>
  <c r="U206" i="1"/>
  <c r="V206" i="1"/>
  <c r="W206" i="1"/>
  <c r="Q205" i="1"/>
  <c r="R205" i="1"/>
  <c r="S205" i="1"/>
  <c r="T205" i="1"/>
  <c r="U205" i="1"/>
  <c r="V205" i="1"/>
  <c r="W205" i="1"/>
  <c r="Q204" i="1"/>
  <c r="R204" i="1"/>
  <c r="S204" i="1"/>
  <c r="T204" i="1"/>
  <c r="U204" i="1"/>
  <c r="V204" i="1"/>
  <c r="W204" i="1"/>
  <c r="Q202" i="1"/>
  <c r="R202" i="1"/>
  <c r="S202" i="1"/>
  <c r="T202" i="1"/>
  <c r="U202" i="1"/>
  <c r="V202" i="1"/>
  <c r="W202" i="1"/>
  <c r="E48" i="18" l="1"/>
  <c r="F48" i="18"/>
  <c r="G48" i="18"/>
  <c r="H48" i="18"/>
  <c r="B48" i="18"/>
  <c r="C46" i="18"/>
  <c r="D46" i="18"/>
  <c r="E46" i="18"/>
  <c r="F46" i="18"/>
  <c r="G46" i="18"/>
  <c r="H46" i="18"/>
  <c r="B46" i="18"/>
  <c r="C45" i="18"/>
  <c r="C48" i="18" s="1"/>
  <c r="D45" i="18"/>
  <c r="D48" i="18" s="1"/>
  <c r="E45" i="18"/>
  <c r="F45" i="18"/>
  <c r="G45" i="18"/>
  <c r="H45" i="18"/>
  <c r="B45" i="18"/>
  <c r="J284" i="17" l="1"/>
  <c r="I284" i="17"/>
  <c r="H284" i="17"/>
  <c r="G284" i="17"/>
  <c r="F284" i="17"/>
  <c r="J283" i="17"/>
  <c r="I283" i="17"/>
  <c r="H283" i="17"/>
  <c r="G283" i="17"/>
  <c r="F283" i="17"/>
  <c r="J282" i="17"/>
  <c r="I282" i="17"/>
  <c r="H282" i="17"/>
  <c r="G282" i="17"/>
  <c r="F282" i="17"/>
  <c r="J281" i="17"/>
  <c r="I281" i="17"/>
  <c r="H281" i="17"/>
  <c r="G281" i="17"/>
  <c r="F281" i="17"/>
  <c r="J280" i="17"/>
  <c r="I280" i="17"/>
  <c r="H280" i="17"/>
  <c r="G280" i="17"/>
  <c r="F280" i="17"/>
  <c r="J279" i="17"/>
  <c r="I279" i="17"/>
  <c r="H279" i="17"/>
  <c r="G279" i="17"/>
  <c r="F279" i="17"/>
  <c r="H190" i="17"/>
  <c r="G190" i="17"/>
  <c r="F190" i="17"/>
  <c r="E190" i="17"/>
  <c r="H189" i="17"/>
  <c r="G189" i="17"/>
  <c r="F189" i="17"/>
  <c r="E189" i="17"/>
  <c r="F188" i="17"/>
  <c r="E188" i="17"/>
  <c r="F187" i="17"/>
  <c r="E187" i="17"/>
  <c r="I184" i="17"/>
  <c r="H184" i="17"/>
  <c r="G184" i="17"/>
  <c r="F184" i="17"/>
  <c r="E184" i="17"/>
  <c r="I183" i="17"/>
  <c r="H183" i="17"/>
  <c r="G183" i="17"/>
  <c r="F183" i="17"/>
  <c r="E183" i="17"/>
  <c r="I182" i="17"/>
  <c r="H182" i="17"/>
  <c r="G182" i="17"/>
  <c r="F182" i="17"/>
  <c r="E182" i="17"/>
  <c r="I181" i="17"/>
  <c r="H181" i="17"/>
  <c r="G181" i="17"/>
  <c r="F181" i="17"/>
  <c r="E181" i="17"/>
  <c r="I180" i="17"/>
  <c r="H180" i="17"/>
  <c r="G180" i="17"/>
  <c r="F180" i="17"/>
  <c r="E180" i="17"/>
  <c r="I211" i="17" l="1"/>
  <c r="H211" i="17"/>
  <c r="G211" i="17"/>
  <c r="F211" i="17"/>
  <c r="E211" i="17"/>
  <c r="I210" i="17"/>
  <c r="H210" i="17"/>
  <c r="G210" i="17"/>
  <c r="F210" i="17"/>
  <c r="E210" i="17"/>
  <c r="I209" i="17"/>
  <c r="H209" i="17"/>
  <c r="G209" i="17"/>
  <c r="F209" i="17"/>
  <c r="E209" i="17"/>
  <c r="I208" i="17"/>
  <c r="H208" i="17"/>
  <c r="G208" i="17"/>
  <c r="F208" i="17"/>
  <c r="E208" i="17"/>
  <c r="I206" i="17"/>
  <c r="H206" i="17"/>
  <c r="G206" i="17"/>
  <c r="F206" i="17"/>
  <c r="E206" i="17"/>
  <c r="I205" i="17"/>
  <c r="H205" i="17"/>
  <c r="G205" i="17"/>
  <c r="F205" i="17"/>
  <c r="E205" i="17"/>
  <c r="I204" i="17"/>
  <c r="H204" i="17"/>
  <c r="G204" i="17"/>
  <c r="F204" i="17"/>
  <c r="E204" i="17"/>
  <c r="I203" i="17"/>
  <c r="H203" i="17"/>
  <c r="G203" i="17"/>
  <c r="F203" i="17"/>
  <c r="E203" i="17"/>
  <c r="J178" i="17"/>
  <c r="I178" i="17"/>
  <c r="H178" i="17"/>
  <c r="G178" i="17"/>
  <c r="F178" i="17"/>
  <c r="E178" i="17"/>
  <c r="J177" i="17"/>
  <c r="I177" i="17"/>
  <c r="H177" i="17"/>
  <c r="G177" i="17"/>
  <c r="F177" i="17"/>
  <c r="E177" i="17"/>
  <c r="J176" i="17"/>
  <c r="I176" i="17"/>
  <c r="H176" i="17"/>
  <c r="G176" i="17"/>
  <c r="F176" i="17"/>
  <c r="E176" i="17"/>
  <c r="J175" i="17"/>
  <c r="I175" i="17"/>
  <c r="H175" i="17"/>
  <c r="G175" i="17"/>
  <c r="F175" i="17"/>
  <c r="E175" i="17"/>
  <c r="D175" i="17"/>
  <c r="J174" i="17"/>
  <c r="I174" i="17"/>
  <c r="H174" i="17"/>
  <c r="G174" i="17"/>
  <c r="F174" i="17"/>
  <c r="E174" i="17"/>
  <c r="D174" i="17"/>
  <c r="J173" i="17"/>
  <c r="I173" i="17"/>
  <c r="H173" i="17"/>
  <c r="G173" i="17"/>
  <c r="F173" i="17"/>
  <c r="E173" i="17"/>
  <c r="D173" i="17"/>
  <c r="J172" i="17"/>
  <c r="I172" i="17"/>
  <c r="H172" i="17"/>
  <c r="G172" i="17"/>
  <c r="F172" i="17"/>
  <c r="E172" i="17"/>
  <c r="D172" i="17"/>
  <c r="I171" i="17"/>
  <c r="H171" i="17"/>
  <c r="G171" i="17"/>
  <c r="F171" i="17"/>
  <c r="E171" i="17"/>
  <c r="I170" i="17"/>
  <c r="H170" i="17"/>
  <c r="G170" i="17"/>
  <c r="F170" i="17"/>
  <c r="E170" i="17"/>
  <c r="I169" i="17"/>
  <c r="H169" i="17"/>
  <c r="G169" i="17"/>
  <c r="F169" i="17"/>
  <c r="E169" i="17"/>
  <c r="J23" i="17" l="1"/>
  <c r="I23" i="17"/>
  <c r="H23" i="17"/>
  <c r="G23" i="17"/>
  <c r="F23" i="17"/>
  <c r="E23" i="17"/>
  <c r="D23" i="17"/>
  <c r="J22" i="17"/>
  <c r="I22" i="17"/>
  <c r="H22" i="17"/>
  <c r="G22" i="17"/>
  <c r="F22" i="17"/>
  <c r="E22" i="17"/>
  <c r="D22" i="17"/>
  <c r="J21" i="17"/>
  <c r="I21" i="17"/>
  <c r="H21" i="17"/>
  <c r="G21" i="17"/>
  <c r="F21" i="17"/>
  <c r="E21" i="17"/>
  <c r="D21" i="17"/>
  <c r="J20" i="17"/>
  <c r="I20" i="17"/>
  <c r="H20" i="17"/>
  <c r="G20" i="17"/>
  <c r="F20" i="17"/>
  <c r="E20" i="17"/>
  <c r="D20" i="17"/>
  <c r="J19" i="17"/>
  <c r="I19" i="17"/>
  <c r="H19" i="17"/>
  <c r="G19" i="17"/>
  <c r="F19" i="17"/>
  <c r="E19" i="17"/>
  <c r="D19" i="17"/>
  <c r="J18" i="17"/>
  <c r="I18" i="17"/>
  <c r="H18" i="17"/>
  <c r="G18" i="17"/>
  <c r="F18" i="17"/>
  <c r="E18" i="17"/>
  <c r="D18" i="17"/>
  <c r="J17" i="17"/>
  <c r="I17" i="17"/>
  <c r="H17" i="17"/>
  <c r="G17" i="17"/>
  <c r="F17" i="17"/>
  <c r="E17" i="17"/>
  <c r="D17" i="17"/>
  <c r="J16" i="17"/>
  <c r="I16" i="17"/>
  <c r="H16" i="17"/>
  <c r="G16" i="17"/>
  <c r="F16" i="17"/>
  <c r="E16" i="17"/>
  <c r="D16" i="17"/>
  <c r="J15" i="17"/>
  <c r="I15" i="17"/>
  <c r="H15" i="17"/>
  <c r="G15" i="17"/>
  <c r="F15" i="17"/>
  <c r="E15" i="17"/>
  <c r="D15" i="17"/>
  <c r="J3" i="17"/>
  <c r="I3" i="17"/>
  <c r="H3" i="17"/>
  <c r="G3" i="17"/>
  <c r="F3" i="17"/>
  <c r="E3" i="17"/>
  <c r="G288" i="17" l="1"/>
  <c r="J288" i="17"/>
  <c r="E288" i="17"/>
  <c r="F288" i="17"/>
  <c r="I288" i="17"/>
  <c r="D288" i="17"/>
  <c r="H288" i="17"/>
  <c r="Q201" i="1" l="1"/>
  <c r="R201" i="1"/>
  <c r="S201" i="1"/>
  <c r="T201" i="1"/>
  <c r="U201" i="1"/>
  <c r="V201" i="1"/>
  <c r="W201" i="1"/>
  <c r="D126" i="2" l="1"/>
  <c r="G126" i="2"/>
  <c r="H126" i="2"/>
  <c r="I126" i="2"/>
  <c r="D255" i="1"/>
  <c r="F255" i="1"/>
  <c r="G255" i="1"/>
  <c r="H255" i="1"/>
  <c r="I255" i="1"/>
  <c r="Q155" i="1"/>
  <c r="R155" i="1"/>
  <c r="S155" i="1"/>
  <c r="T155" i="1"/>
  <c r="U155" i="1"/>
  <c r="V155" i="1"/>
  <c r="W155" i="1"/>
  <c r="Q154" i="1"/>
  <c r="R154" i="1"/>
  <c r="S154" i="1"/>
  <c r="T154" i="1"/>
  <c r="U154" i="1"/>
  <c r="V154" i="1"/>
  <c r="W154" i="1"/>
  <c r="Q153" i="1"/>
  <c r="R153" i="1"/>
  <c r="S153" i="1"/>
  <c r="T153" i="1"/>
  <c r="U153" i="1"/>
  <c r="V153" i="1"/>
  <c r="W153" i="1"/>
  <c r="Q152" i="1"/>
  <c r="R152" i="1"/>
  <c r="S152" i="1"/>
  <c r="T152" i="1"/>
  <c r="U152" i="1"/>
  <c r="V152" i="1"/>
  <c r="W152" i="1"/>
  <c r="S255" i="1" l="1"/>
  <c r="U255" i="1"/>
  <c r="W255" i="1"/>
  <c r="V255" i="1"/>
  <c r="T255" i="1"/>
  <c r="R255" i="1"/>
  <c r="R162" i="1" l="1"/>
  <c r="S162" i="1"/>
  <c r="T162" i="1"/>
  <c r="U162" i="1"/>
  <c r="V162" i="1"/>
  <c r="W162" i="1"/>
  <c r="R163" i="1"/>
  <c r="S163" i="1"/>
  <c r="T163" i="1"/>
  <c r="U163" i="1"/>
  <c r="V163" i="1"/>
  <c r="W163" i="1"/>
  <c r="R164" i="1"/>
  <c r="S164" i="1"/>
  <c r="T164" i="1"/>
  <c r="U164" i="1"/>
  <c r="V164" i="1"/>
  <c r="W164" i="1"/>
  <c r="R165" i="1"/>
  <c r="S165" i="1"/>
  <c r="T165" i="1"/>
  <c r="U165" i="1"/>
  <c r="V165" i="1"/>
  <c r="W165" i="1"/>
  <c r="R166" i="1"/>
  <c r="S166" i="1"/>
  <c r="T166" i="1"/>
  <c r="U166" i="1"/>
  <c r="V166" i="1"/>
  <c r="W166" i="1"/>
  <c r="R167" i="1"/>
  <c r="S167" i="1"/>
  <c r="T167" i="1"/>
  <c r="U167" i="1"/>
  <c r="V167" i="1"/>
  <c r="W167" i="1"/>
  <c r="R169" i="1"/>
  <c r="S169" i="1"/>
  <c r="T169" i="1"/>
  <c r="U169" i="1"/>
  <c r="V169" i="1"/>
  <c r="W169" i="1"/>
  <c r="R170" i="1"/>
  <c r="S170" i="1"/>
  <c r="T170" i="1"/>
  <c r="U170" i="1"/>
  <c r="V170" i="1"/>
  <c r="W170" i="1"/>
  <c r="R171" i="1"/>
  <c r="S171" i="1"/>
  <c r="T171" i="1"/>
  <c r="U171" i="1"/>
  <c r="V171" i="1"/>
  <c r="W171" i="1"/>
  <c r="R172" i="1"/>
  <c r="S172" i="1"/>
  <c r="T172" i="1"/>
  <c r="U172" i="1"/>
  <c r="V172" i="1"/>
  <c r="W172" i="1"/>
  <c r="R173" i="1"/>
  <c r="S173" i="1"/>
  <c r="T173" i="1"/>
  <c r="U173" i="1"/>
  <c r="V173" i="1"/>
  <c r="W173" i="1"/>
  <c r="R174" i="1"/>
  <c r="S174" i="1"/>
  <c r="T174" i="1"/>
  <c r="U174" i="1"/>
  <c r="V174" i="1"/>
  <c r="W174" i="1"/>
  <c r="R176" i="1"/>
  <c r="S176" i="1"/>
  <c r="T176" i="1"/>
  <c r="U176" i="1"/>
  <c r="V176" i="1"/>
  <c r="W176" i="1"/>
  <c r="R181" i="1"/>
  <c r="S181" i="1"/>
  <c r="T181" i="1"/>
  <c r="U181" i="1"/>
  <c r="V181" i="1"/>
  <c r="W181" i="1"/>
  <c r="R182" i="1"/>
  <c r="S182" i="1"/>
  <c r="T182" i="1"/>
  <c r="U182" i="1"/>
  <c r="V182" i="1"/>
  <c r="W182" i="1"/>
  <c r="R183" i="1"/>
  <c r="S183" i="1"/>
  <c r="T183" i="1"/>
  <c r="U183" i="1"/>
  <c r="V183" i="1"/>
  <c r="W183" i="1"/>
  <c r="R184" i="1"/>
  <c r="S184" i="1"/>
  <c r="T184" i="1"/>
  <c r="U184" i="1"/>
  <c r="V184" i="1"/>
  <c r="W184" i="1"/>
  <c r="R185" i="1"/>
  <c r="S185" i="1"/>
  <c r="T185" i="1"/>
  <c r="U185" i="1"/>
  <c r="V185" i="1"/>
  <c r="W185" i="1"/>
  <c r="R186" i="1"/>
  <c r="S186" i="1"/>
  <c r="T186" i="1"/>
  <c r="U186" i="1"/>
  <c r="V186" i="1"/>
  <c r="W186" i="1"/>
  <c r="R188" i="1"/>
  <c r="S188" i="1"/>
  <c r="T188" i="1"/>
  <c r="U188" i="1"/>
  <c r="V188" i="1"/>
  <c r="W188" i="1"/>
  <c r="R189" i="1"/>
  <c r="S189" i="1"/>
  <c r="T189" i="1"/>
  <c r="U189" i="1"/>
  <c r="V189" i="1"/>
  <c r="W189" i="1"/>
  <c r="Q164" i="1"/>
  <c r="Q165" i="1"/>
  <c r="Q166" i="1"/>
  <c r="Q167" i="1"/>
  <c r="Q169" i="1"/>
  <c r="Q170" i="1"/>
  <c r="Q171" i="1"/>
  <c r="Q172" i="1"/>
  <c r="Q173" i="1"/>
  <c r="Q174" i="1"/>
  <c r="Q176" i="1"/>
  <c r="Q181" i="1"/>
  <c r="Q182" i="1"/>
  <c r="Q183" i="1"/>
  <c r="Q184" i="1"/>
  <c r="Q185" i="1"/>
  <c r="Q186" i="1"/>
  <c r="Q188" i="1"/>
  <c r="Q189" i="1"/>
  <c r="Q163" i="1"/>
  <c r="Q162" i="1"/>
  <c r="R126" i="1"/>
  <c r="S126" i="1"/>
  <c r="T126" i="1"/>
  <c r="U126" i="1"/>
  <c r="V126" i="1"/>
  <c r="W126" i="1"/>
  <c r="R127" i="1"/>
  <c r="S127" i="1"/>
  <c r="T127" i="1"/>
  <c r="U127" i="1"/>
  <c r="V127" i="1"/>
  <c r="W127" i="1"/>
  <c r="R128" i="1"/>
  <c r="S128" i="1"/>
  <c r="T128" i="1"/>
  <c r="U128" i="1"/>
  <c r="V128" i="1"/>
  <c r="W128" i="1"/>
  <c r="R135" i="1"/>
  <c r="S135" i="1"/>
  <c r="T135" i="1"/>
  <c r="U135" i="1"/>
  <c r="V135" i="1"/>
  <c r="W135" i="1"/>
  <c r="R136" i="1"/>
  <c r="S136" i="1"/>
  <c r="T136" i="1"/>
  <c r="U136" i="1"/>
  <c r="V136" i="1"/>
  <c r="W136" i="1"/>
  <c r="R139" i="1"/>
  <c r="S139" i="1"/>
  <c r="T139" i="1"/>
  <c r="U139" i="1"/>
  <c r="V139" i="1"/>
  <c r="W139" i="1"/>
  <c r="R140" i="1"/>
  <c r="S140" i="1"/>
  <c r="T140" i="1"/>
  <c r="U140" i="1"/>
  <c r="V140" i="1"/>
  <c r="W140" i="1"/>
  <c r="R141" i="1"/>
  <c r="S141" i="1"/>
  <c r="T141" i="1"/>
  <c r="U141" i="1"/>
  <c r="V141" i="1"/>
  <c r="W141" i="1"/>
  <c r="R143" i="1"/>
  <c r="S143" i="1"/>
  <c r="T143" i="1"/>
  <c r="U143" i="1"/>
  <c r="V143" i="1"/>
  <c r="W143" i="1"/>
  <c r="R144" i="1"/>
  <c r="S144" i="1"/>
  <c r="T144" i="1"/>
  <c r="U144" i="1"/>
  <c r="V144" i="1"/>
  <c r="W144" i="1"/>
  <c r="R145" i="1"/>
  <c r="S145" i="1"/>
  <c r="T145" i="1"/>
  <c r="U145" i="1"/>
  <c r="V145" i="1"/>
  <c r="W145" i="1"/>
  <c r="R146" i="1"/>
  <c r="S146" i="1"/>
  <c r="T146" i="1"/>
  <c r="U146" i="1"/>
  <c r="V146" i="1"/>
  <c r="W146" i="1"/>
  <c r="R147" i="1"/>
  <c r="S147" i="1"/>
  <c r="T147" i="1"/>
  <c r="U147" i="1"/>
  <c r="V147" i="1"/>
  <c r="W147" i="1"/>
  <c r="R148" i="1"/>
  <c r="S148" i="1"/>
  <c r="T148" i="1"/>
  <c r="U148" i="1"/>
  <c r="V148" i="1"/>
  <c r="W148" i="1"/>
  <c r="R150" i="1"/>
  <c r="S150" i="1"/>
  <c r="T150" i="1"/>
  <c r="U150" i="1"/>
  <c r="V150" i="1"/>
  <c r="W150" i="1"/>
  <c r="R151" i="1"/>
  <c r="S151" i="1"/>
  <c r="T151" i="1"/>
  <c r="U151" i="1"/>
  <c r="V151" i="1"/>
  <c r="W151" i="1"/>
  <c r="R156" i="1"/>
  <c r="S156" i="1"/>
  <c r="T156" i="1"/>
  <c r="U156" i="1"/>
  <c r="V156" i="1"/>
  <c r="W156" i="1"/>
  <c r="R157" i="1"/>
  <c r="S157" i="1"/>
  <c r="T157" i="1"/>
  <c r="U157" i="1"/>
  <c r="V157" i="1"/>
  <c r="W157" i="1"/>
  <c r="Q127" i="1"/>
  <c r="Q128" i="1"/>
  <c r="Q135" i="1"/>
  <c r="Q136" i="1"/>
  <c r="Q140" i="1"/>
  <c r="Q141" i="1"/>
  <c r="Q143" i="1"/>
  <c r="Q144" i="1"/>
  <c r="Q145" i="1"/>
  <c r="Q146" i="1"/>
  <c r="Q147" i="1"/>
  <c r="Q148" i="1"/>
  <c r="Q150" i="1"/>
  <c r="Q151" i="1"/>
  <c r="Q156" i="1"/>
  <c r="Q157" i="1"/>
  <c r="Q126" i="1"/>
  <c r="R118" i="1"/>
  <c r="S118" i="1"/>
  <c r="T118" i="1"/>
  <c r="U118" i="1"/>
  <c r="V118" i="1"/>
  <c r="W118" i="1"/>
  <c r="R119" i="1"/>
  <c r="S119" i="1"/>
  <c r="T119" i="1"/>
  <c r="U119" i="1"/>
  <c r="V119" i="1"/>
  <c r="W119" i="1"/>
  <c r="R120" i="1"/>
  <c r="S120" i="1"/>
  <c r="T120" i="1"/>
  <c r="U120" i="1"/>
  <c r="V120" i="1"/>
  <c r="W120" i="1"/>
  <c r="R121" i="1"/>
  <c r="S121" i="1"/>
  <c r="T121" i="1"/>
  <c r="U121" i="1"/>
  <c r="V121" i="1"/>
  <c r="W121" i="1"/>
  <c r="R122" i="1"/>
  <c r="S122" i="1"/>
  <c r="T122" i="1"/>
  <c r="U122" i="1"/>
  <c r="V122" i="1"/>
  <c r="W122" i="1"/>
  <c r="R123" i="1"/>
  <c r="S123" i="1"/>
  <c r="T123" i="1"/>
  <c r="U123" i="1"/>
  <c r="V123" i="1"/>
  <c r="W123" i="1"/>
  <c r="Q119" i="1"/>
  <c r="Q120" i="1"/>
  <c r="Q121" i="1"/>
  <c r="Q122" i="1"/>
  <c r="Q123" i="1"/>
  <c r="Q118" i="1"/>
  <c r="Q193" i="1" l="1"/>
  <c r="R193" i="1"/>
  <c r="W193" i="1"/>
  <c r="V193" i="1"/>
  <c r="U193" i="1"/>
  <c r="T193" i="1"/>
  <c r="S193" i="1"/>
  <c r="D4" i="1"/>
  <c r="E4" i="1"/>
  <c r="F4" i="1"/>
  <c r="G4" i="1"/>
  <c r="H4" i="1"/>
  <c r="I4" i="1"/>
  <c r="C4" i="1"/>
  <c r="D13" i="4"/>
  <c r="E13" i="4"/>
  <c r="F13" i="4"/>
  <c r="G13" i="4"/>
  <c r="H13" i="4"/>
  <c r="I13" i="4"/>
  <c r="C13" i="4"/>
  <c r="R199" i="1" l="1"/>
  <c r="S199" i="1"/>
  <c r="T199" i="1"/>
  <c r="U199" i="1"/>
  <c r="V199" i="1"/>
  <c r="W199" i="1"/>
  <c r="R198" i="1"/>
  <c r="S198" i="1"/>
  <c r="T198" i="1"/>
  <c r="U198" i="1"/>
  <c r="V198" i="1"/>
  <c r="W198" i="1"/>
  <c r="W197" i="1"/>
  <c r="R203" i="1" l="1"/>
  <c r="S203" i="1"/>
  <c r="T203" i="1"/>
  <c r="U203" i="1"/>
  <c r="V203" i="1"/>
  <c r="W203" i="1"/>
  <c r="R200" i="1"/>
  <c r="S200" i="1"/>
  <c r="T200" i="1"/>
  <c r="U200" i="1"/>
  <c r="V200" i="1"/>
  <c r="W200" i="1"/>
  <c r="C48" i="8" l="1"/>
  <c r="D48" i="8"/>
  <c r="E48" i="8"/>
  <c r="F48" i="8"/>
  <c r="G48" i="8"/>
  <c r="H48" i="8"/>
  <c r="B48" i="8"/>
  <c r="V272" i="1"/>
  <c r="S272" i="1"/>
  <c r="T272" i="1"/>
  <c r="U272" i="1"/>
  <c r="H32" i="8"/>
  <c r="D272" i="1"/>
  <c r="E272" i="1"/>
  <c r="F272" i="1"/>
  <c r="G272" i="1"/>
  <c r="H272" i="1"/>
  <c r="I272" i="1"/>
  <c r="D32" i="8" l="1"/>
  <c r="R272" i="1"/>
  <c r="C32" i="8"/>
  <c r="E16" i="8"/>
  <c r="E64" i="8" s="1"/>
  <c r="D16" i="8"/>
  <c r="D64" i="8" s="1"/>
  <c r="B32" i="8"/>
  <c r="Q272" i="1"/>
  <c r="K272" i="1"/>
  <c r="W272" i="1"/>
  <c r="C16" i="8"/>
  <c r="C64" i="8" s="1"/>
  <c r="B16" i="8"/>
  <c r="B64" i="8" s="1"/>
  <c r="H16" i="8"/>
  <c r="H64" i="8" s="1"/>
  <c r="G32" i="8"/>
  <c r="G16" i="8"/>
  <c r="G64" i="8" s="1"/>
  <c r="F32" i="8"/>
  <c r="F16" i="8"/>
  <c r="F64" i="8" s="1"/>
  <c r="E32" i="8"/>
  <c r="I260" i="1" l="1"/>
  <c r="W260" i="1" s="1"/>
  <c r="S71" i="1" l="1"/>
  <c r="T71" i="1"/>
  <c r="U71" i="1"/>
  <c r="V71" i="1"/>
  <c r="W71" i="1"/>
  <c r="R71" i="1"/>
  <c r="Q71" i="1"/>
  <c r="Q79" i="1" s="1"/>
  <c r="W30" i="1" l="1"/>
  <c r="V30" i="1"/>
  <c r="U30" i="1"/>
  <c r="T30" i="1"/>
  <c r="S30" i="1"/>
  <c r="R30" i="1"/>
  <c r="Q30" i="1"/>
  <c r="W29" i="1"/>
  <c r="V29" i="1"/>
  <c r="U29" i="1"/>
  <c r="T29" i="1"/>
  <c r="S29" i="1"/>
  <c r="R29" i="1"/>
  <c r="Q29" i="1"/>
  <c r="W28" i="1"/>
  <c r="V28" i="1"/>
  <c r="U28" i="1"/>
  <c r="T28" i="1"/>
  <c r="S28" i="1"/>
  <c r="R28" i="1"/>
  <c r="Q28" i="1"/>
  <c r="D31" i="1"/>
  <c r="E31" i="1"/>
  <c r="F31" i="1"/>
  <c r="G31" i="1"/>
  <c r="H31" i="1"/>
  <c r="I31" i="1"/>
  <c r="Q31" i="1" l="1"/>
  <c r="I3" i="2"/>
  <c r="H4" i="3" s="1"/>
  <c r="H10" i="3" s="1"/>
  <c r="W4" i="1"/>
  <c r="H4" i="8" l="1"/>
  <c r="E98" i="2"/>
  <c r="F98" i="2"/>
  <c r="G98" i="2"/>
  <c r="H98" i="2"/>
  <c r="H36" i="8" l="1"/>
  <c r="H20" i="8"/>
  <c r="H52" i="8" s="1"/>
  <c r="E1" i="12" l="1"/>
  <c r="Q203" i="1" l="1"/>
  <c r="Q200" i="1"/>
  <c r="D30" i="7" l="1"/>
  <c r="D28" i="7" l="1"/>
  <c r="D35" i="7"/>
  <c r="D31" i="7"/>
  <c r="D29" i="7"/>
  <c r="D33" i="7"/>
  <c r="D36" i="7"/>
  <c r="D34" i="7"/>
  <c r="D32" i="7"/>
  <c r="I30" i="7" l="1"/>
  <c r="I34" i="7"/>
  <c r="I29" i="7"/>
  <c r="I31" i="7"/>
  <c r="I35" i="7"/>
  <c r="I32" i="7"/>
  <c r="I36" i="7"/>
  <c r="I33" i="7"/>
  <c r="I28" i="7"/>
  <c r="H30" i="7"/>
  <c r="H32" i="7"/>
  <c r="H34" i="7"/>
  <c r="H36" i="7"/>
  <c r="H29" i="7"/>
  <c r="H31" i="7"/>
  <c r="H33" i="7"/>
  <c r="H35" i="7"/>
  <c r="H28" i="7"/>
  <c r="G30" i="7"/>
  <c r="G34" i="7"/>
  <c r="G29" i="7"/>
  <c r="G33" i="7"/>
  <c r="G28" i="7"/>
  <c r="G32" i="7"/>
  <c r="G36" i="7"/>
  <c r="G31" i="7"/>
  <c r="G35" i="7"/>
  <c r="F30" i="7"/>
  <c r="F31" i="7"/>
  <c r="F32" i="7"/>
  <c r="F33" i="7"/>
  <c r="F34" i="7"/>
  <c r="F35" i="7"/>
  <c r="F36" i="7"/>
  <c r="F28" i="7"/>
  <c r="F29" i="7"/>
  <c r="E30" i="7"/>
  <c r="E34" i="7"/>
  <c r="E29" i="7"/>
  <c r="E31" i="7"/>
  <c r="E35" i="7"/>
  <c r="E32" i="7"/>
  <c r="E36" i="7"/>
  <c r="E33" i="7"/>
  <c r="E28" i="7"/>
  <c r="C28" i="7"/>
  <c r="C32" i="7"/>
  <c r="C36" i="7"/>
  <c r="C29" i="7"/>
  <c r="C31" i="7"/>
  <c r="C35" i="7"/>
  <c r="C30" i="7"/>
  <c r="C34" i="7"/>
  <c r="C33" i="7"/>
  <c r="D269" i="1" l="1"/>
  <c r="E269" i="1"/>
  <c r="F269" i="1"/>
  <c r="G269" i="1"/>
  <c r="H269" i="1"/>
  <c r="I269" i="1"/>
  <c r="C12" i="8"/>
  <c r="D12" i="8"/>
  <c r="F12" i="8"/>
  <c r="G12" i="8"/>
  <c r="H12" i="8"/>
  <c r="G268" i="1" l="1"/>
  <c r="B12" i="8"/>
  <c r="F268" i="1"/>
  <c r="E12" i="8"/>
  <c r="E268" i="1"/>
  <c r="I268" i="1"/>
  <c r="D268" i="1"/>
  <c r="H268" i="1"/>
  <c r="L269" i="1"/>
  <c r="K269" i="1"/>
  <c r="I8" i="4" l="1"/>
  <c r="H8" i="4"/>
  <c r="F8" i="4"/>
  <c r="G8" i="4"/>
  <c r="E8" i="4" l="1"/>
  <c r="D8" i="4"/>
  <c r="C8" i="4"/>
  <c r="B44" i="8"/>
  <c r="B60" i="8" s="1"/>
  <c r="Q213" i="1" l="1"/>
  <c r="R213" i="1"/>
  <c r="S213" i="1"/>
  <c r="T213" i="1"/>
  <c r="U213" i="1"/>
  <c r="V213" i="1"/>
  <c r="W213" i="1"/>
  <c r="W242" i="1" l="1"/>
  <c r="D41" i="2" l="1"/>
  <c r="E41" i="2"/>
  <c r="F41" i="2"/>
  <c r="E42" i="8" s="1"/>
  <c r="G41" i="2"/>
  <c r="F42" i="8" s="1"/>
  <c r="H41" i="2"/>
  <c r="G42" i="8" s="1"/>
  <c r="I41" i="2"/>
  <c r="H42" i="8" s="1"/>
  <c r="B42" i="8"/>
  <c r="D42" i="8" l="1"/>
  <c r="C42" i="8"/>
  <c r="A22" i="8"/>
  <c r="A38" i="8" s="1"/>
  <c r="A54" i="8" s="1"/>
  <c r="A23" i="8"/>
  <c r="A39" i="8" s="1"/>
  <c r="A55" i="8" s="1"/>
  <c r="A24" i="8"/>
  <c r="A40" i="8" s="1"/>
  <c r="A56" i="8" s="1"/>
  <c r="A25" i="8"/>
  <c r="A41" i="8" s="1"/>
  <c r="A57" i="8" s="1"/>
  <c r="A26" i="8"/>
  <c r="A42" i="8" s="1"/>
  <c r="A58" i="8" s="1"/>
  <c r="A27" i="8"/>
  <c r="A43" i="8" s="1"/>
  <c r="A59" i="8" s="1"/>
  <c r="A28" i="8"/>
  <c r="A44" i="8" s="1"/>
  <c r="A60" i="8" s="1"/>
  <c r="A30" i="8"/>
  <c r="A46" i="8" s="1"/>
  <c r="A62" i="8" s="1"/>
  <c r="A31" i="8"/>
  <c r="A47" i="8" s="1"/>
  <c r="A63" i="8" s="1"/>
  <c r="A21" i="8"/>
  <c r="A37" i="8" s="1"/>
  <c r="A53" i="8" s="1"/>
  <c r="P43" i="1" l="1"/>
  <c r="P42" i="1"/>
  <c r="W220" i="1" l="1"/>
  <c r="V220" i="1"/>
  <c r="U220" i="1"/>
  <c r="T220" i="1"/>
  <c r="S220" i="1"/>
  <c r="R220" i="1"/>
  <c r="W219" i="1"/>
  <c r="V219" i="1"/>
  <c r="U219" i="1"/>
  <c r="T219" i="1"/>
  <c r="S219" i="1"/>
  <c r="R219" i="1"/>
  <c r="W218" i="1"/>
  <c r="V218" i="1"/>
  <c r="U218" i="1"/>
  <c r="T218" i="1"/>
  <c r="S218" i="1"/>
  <c r="R218" i="1"/>
  <c r="W217" i="1"/>
  <c r="V217" i="1"/>
  <c r="U217" i="1"/>
  <c r="T217" i="1"/>
  <c r="S217" i="1"/>
  <c r="R217" i="1"/>
  <c r="W216" i="1"/>
  <c r="V216" i="1"/>
  <c r="U216" i="1"/>
  <c r="T216" i="1"/>
  <c r="S216" i="1"/>
  <c r="R216" i="1"/>
  <c r="W215" i="1"/>
  <c r="V215" i="1"/>
  <c r="U215" i="1"/>
  <c r="T215" i="1"/>
  <c r="S215" i="1"/>
  <c r="R215" i="1"/>
  <c r="W214" i="1"/>
  <c r="V214" i="1"/>
  <c r="U214" i="1"/>
  <c r="T214" i="1"/>
  <c r="S214" i="1"/>
  <c r="R214" i="1"/>
  <c r="W212" i="1"/>
  <c r="V212" i="1"/>
  <c r="U212" i="1"/>
  <c r="T212" i="1"/>
  <c r="S212" i="1"/>
  <c r="R212" i="1"/>
  <c r="W211" i="1"/>
  <c r="V211" i="1"/>
  <c r="U211" i="1"/>
  <c r="T211" i="1"/>
  <c r="S211" i="1"/>
  <c r="R211" i="1"/>
  <c r="Q220" i="1"/>
  <c r="Q219" i="1"/>
  <c r="Q218" i="1"/>
  <c r="Q217" i="1"/>
  <c r="Q216" i="1"/>
  <c r="Q215" i="1"/>
  <c r="Q214" i="1"/>
  <c r="Q212" i="1"/>
  <c r="Q211" i="1"/>
  <c r="Q199" i="1"/>
  <c r="V197" i="1"/>
  <c r="U197" i="1"/>
  <c r="T197" i="1"/>
  <c r="S197" i="1"/>
  <c r="R197" i="1"/>
  <c r="Q197" i="1"/>
  <c r="H109" i="2"/>
  <c r="G109" i="2"/>
  <c r="F109" i="2"/>
  <c r="E109" i="2"/>
  <c r="H45" i="8" l="1"/>
  <c r="C45" i="8"/>
  <c r="D45" i="8"/>
  <c r="B45" i="8"/>
  <c r="E45" i="8"/>
  <c r="F45" i="8"/>
  <c r="G45" i="8"/>
  <c r="C41" i="8" l="1"/>
  <c r="D41" i="8"/>
  <c r="E41" i="8"/>
  <c r="F41" i="8"/>
  <c r="G41" i="8"/>
  <c r="H41" i="8"/>
  <c r="B41" i="8"/>
  <c r="C30" i="8"/>
  <c r="D30" i="8"/>
  <c r="E30" i="8"/>
  <c r="F30" i="8"/>
  <c r="G30" i="8"/>
  <c r="H30" i="8"/>
  <c r="B30" i="8"/>
  <c r="C22" i="8"/>
  <c r="D22" i="8"/>
  <c r="E22" i="8"/>
  <c r="F22" i="8"/>
  <c r="G22" i="8"/>
  <c r="H22" i="8"/>
  <c r="B22" i="8"/>
  <c r="C21" i="8"/>
  <c r="D21" i="8"/>
  <c r="E21" i="8"/>
  <c r="F21" i="8"/>
  <c r="G21" i="8"/>
  <c r="H21" i="8"/>
  <c r="F11" i="8" l="1"/>
  <c r="H11" i="8"/>
  <c r="E11" i="8"/>
  <c r="D11" i="8"/>
  <c r="B11" i="8"/>
  <c r="G11" i="8"/>
  <c r="C11" i="8"/>
  <c r="E44" i="8"/>
  <c r="E60" i="8" s="1"/>
  <c r="D2" i="2"/>
  <c r="E2" i="2"/>
  <c r="F2" i="2"/>
  <c r="C2" i="2"/>
  <c r="Q198" i="1"/>
  <c r="F44" i="8" l="1"/>
  <c r="F60" i="8" s="1"/>
  <c r="H44" i="8"/>
  <c r="H60" i="8" s="1"/>
  <c r="C44" i="8"/>
  <c r="C60" i="8" s="1"/>
  <c r="D44" i="8"/>
  <c r="D60" i="8" s="1"/>
  <c r="G44" i="8"/>
  <c r="G60" i="8" s="1"/>
  <c r="F13" i="8" l="1"/>
  <c r="F61" i="8" s="1"/>
  <c r="B13" i="8"/>
  <c r="B61" i="8" s="1"/>
  <c r="E13" i="8"/>
  <c r="E61" i="8" s="1"/>
  <c r="C13" i="8"/>
  <c r="C61" i="8" s="1"/>
  <c r="H13" i="8"/>
  <c r="H61" i="8" s="1"/>
  <c r="D13" i="8" l="1"/>
  <c r="D61" i="8" s="1"/>
  <c r="G13" i="8"/>
  <c r="G61" i="8" s="1"/>
  <c r="E115" i="2"/>
  <c r="F115" i="2"/>
  <c r="G115" i="2"/>
  <c r="H115" i="2"/>
  <c r="I115" i="2"/>
  <c r="D234" i="1"/>
  <c r="C14" i="8" s="1"/>
  <c r="E234" i="1"/>
  <c r="D14" i="8" s="1"/>
  <c r="F234" i="1"/>
  <c r="E14" i="8" s="1"/>
  <c r="G234" i="1"/>
  <c r="F14" i="8" s="1"/>
  <c r="H234" i="1"/>
  <c r="G14" i="8" s="1"/>
  <c r="I234" i="1"/>
  <c r="B14" i="8"/>
  <c r="Q4" i="1"/>
  <c r="R4" i="1"/>
  <c r="S4" i="1"/>
  <c r="T4" i="1"/>
  <c r="U4" i="1"/>
  <c r="V4" i="1"/>
  <c r="H14" i="8" l="1"/>
  <c r="H46" i="8"/>
  <c r="F46" i="8"/>
  <c r="F62" i="8" s="1"/>
  <c r="D46" i="8"/>
  <c r="D62" i="8" s="1"/>
  <c r="G46" i="8"/>
  <c r="G62" i="8" s="1"/>
  <c r="E46" i="8"/>
  <c r="E62" i="8" s="1"/>
  <c r="C46" i="8"/>
  <c r="C62" i="8" s="1"/>
  <c r="B46" i="8"/>
  <c r="B62" i="8" s="1"/>
  <c r="G3" i="2"/>
  <c r="F4" i="3" s="1"/>
  <c r="F10" i="3" s="1"/>
  <c r="C3" i="2"/>
  <c r="F3" i="2"/>
  <c r="E260" i="1"/>
  <c r="S260" i="1" s="1"/>
  <c r="E3" i="2"/>
  <c r="D4" i="3" s="1"/>
  <c r="D10" i="3" s="1"/>
  <c r="D3" i="2"/>
  <c r="C4" i="3" s="1"/>
  <c r="C10" i="3" s="1"/>
  <c r="H3" i="2"/>
  <c r="H260" i="1"/>
  <c r="V260" i="1" s="1"/>
  <c r="F260" i="1"/>
  <c r="T260" i="1" s="1"/>
  <c r="D260" i="1"/>
  <c r="R260" i="1" s="1"/>
  <c r="G260" i="1"/>
  <c r="U260" i="1" s="1"/>
  <c r="C260" i="1"/>
  <c r="Q260" i="1" s="1"/>
  <c r="H62" i="8" l="1"/>
  <c r="E4" i="8"/>
  <c r="E20" i="8" s="1"/>
  <c r="E52" i="8" s="1"/>
  <c r="E4" i="3"/>
  <c r="E10" i="3" s="1"/>
  <c r="B4" i="8"/>
  <c r="B20" i="8" s="1"/>
  <c r="B52" i="8" s="1"/>
  <c r="B4" i="3"/>
  <c r="B10" i="3" s="1"/>
  <c r="F4" i="8"/>
  <c r="F20" i="8" s="1"/>
  <c r="F52" i="8" s="1"/>
  <c r="C4" i="8"/>
  <c r="C20" i="8" s="1"/>
  <c r="C52" i="8" s="1"/>
  <c r="G4" i="3"/>
  <c r="G10" i="3" s="1"/>
  <c r="G4" i="8"/>
  <c r="G20" i="8" s="1"/>
  <c r="G52" i="8" s="1"/>
  <c r="D4" i="8"/>
  <c r="D20" i="8" s="1"/>
  <c r="D52" i="8" s="1"/>
  <c r="E9" i="8" l="1"/>
  <c r="E57" i="8" s="1"/>
  <c r="F9" i="8"/>
  <c r="F57" i="8" s="1"/>
  <c r="G9" i="8"/>
  <c r="G57" i="8" s="1"/>
  <c r="I267" i="1"/>
  <c r="H267" i="1"/>
  <c r="G267" i="1"/>
  <c r="D267" i="1"/>
  <c r="B36" i="8"/>
  <c r="C36" i="8"/>
  <c r="D36" i="8"/>
  <c r="E36" i="8"/>
  <c r="F36" i="8"/>
  <c r="G36" i="8"/>
  <c r="F265" i="1"/>
  <c r="D270" i="1"/>
  <c r="E270" i="1"/>
  <c r="F270" i="1"/>
  <c r="G270" i="1"/>
  <c r="H270" i="1"/>
  <c r="I270" i="1"/>
  <c r="E267" i="1"/>
  <c r="F267" i="1"/>
  <c r="D79" i="1"/>
  <c r="E79" i="1"/>
  <c r="F79" i="1"/>
  <c r="G79" i="1"/>
  <c r="H79" i="1"/>
  <c r="I79" i="1"/>
  <c r="D25" i="1"/>
  <c r="E25" i="1"/>
  <c r="D7" i="8" s="1"/>
  <c r="D55" i="8" s="1"/>
  <c r="F25" i="1"/>
  <c r="G25" i="1"/>
  <c r="H25" i="1"/>
  <c r="I25" i="1"/>
  <c r="D8" i="1"/>
  <c r="E8" i="1"/>
  <c r="F8" i="1"/>
  <c r="G8" i="1"/>
  <c r="H8" i="1"/>
  <c r="I8" i="1"/>
  <c r="C8" i="1"/>
  <c r="C257" i="1" s="1"/>
  <c r="D18" i="1"/>
  <c r="C6" i="8" s="1"/>
  <c r="C54" i="8" s="1"/>
  <c r="E18" i="1"/>
  <c r="D6" i="8" s="1"/>
  <c r="D54" i="8" s="1"/>
  <c r="F18" i="1"/>
  <c r="E6" i="8" s="1"/>
  <c r="E54" i="8" s="1"/>
  <c r="G18" i="1"/>
  <c r="F6" i="8" s="1"/>
  <c r="F54" i="8" s="1"/>
  <c r="H18" i="1"/>
  <c r="G6" i="8" s="1"/>
  <c r="G54" i="8" s="1"/>
  <c r="I18" i="1"/>
  <c r="B6" i="8"/>
  <c r="B54" i="8" s="1"/>
  <c r="B43" i="8"/>
  <c r="Q210" i="1"/>
  <c r="Q225" i="1" s="1"/>
  <c r="R210" i="1"/>
  <c r="R225" i="1" s="1"/>
  <c r="S210" i="1"/>
  <c r="S225" i="1" s="1"/>
  <c r="T210" i="1"/>
  <c r="T225" i="1" s="1"/>
  <c r="U210" i="1"/>
  <c r="U225" i="1" s="1"/>
  <c r="V210" i="1"/>
  <c r="V225" i="1" s="1"/>
  <c r="W210" i="1"/>
  <c r="W225" i="1" s="1"/>
  <c r="R237" i="1"/>
  <c r="S237" i="1"/>
  <c r="T237" i="1"/>
  <c r="U237" i="1"/>
  <c r="V237" i="1"/>
  <c r="W237" i="1"/>
  <c r="R239" i="1"/>
  <c r="S239" i="1"/>
  <c r="T239" i="1"/>
  <c r="U239" i="1"/>
  <c r="V239" i="1"/>
  <c r="W239" i="1"/>
  <c r="R242" i="1"/>
  <c r="S242" i="1"/>
  <c r="T242" i="1"/>
  <c r="U242" i="1"/>
  <c r="V242" i="1"/>
  <c r="R245" i="1"/>
  <c r="S245" i="1"/>
  <c r="T245" i="1"/>
  <c r="U245" i="1"/>
  <c r="V245" i="1"/>
  <c r="W245" i="1"/>
  <c r="Q245" i="1"/>
  <c r="Q242" i="1"/>
  <c r="Q239" i="1"/>
  <c r="Q237" i="1"/>
  <c r="F25" i="8"/>
  <c r="H25" i="8"/>
  <c r="G25" i="8"/>
  <c r="E25" i="8"/>
  <c r="D25" i="8"/>
  <c r="C25" i="8"/>
  <c r="D120" i="2"/>
  <c r="D128" i="2" s="1"/>
  <c r="D7" i="4"/>
  <c r="E120" i="2"/>
  <c r="E128" i="2" s="1"/>
  <c r="F120" i="2"/>
  <c r="F128" i="2" s="1"/>
  <c r="F7" i="4"/>
  <c r="F16" i="4" s="1"/>
  <c r="G128" i="2"/>
  <c r="G7" i="4"/>
  <c r="G16" i="4" s="1"/>
  <c r="H120" i="2"/>
  <c r="H128" i="2" s="1"/>
  <c r="H7" i="4"/>
  <c r="H16" i="4" s="1"/>
  <c r="I120" i="2"/>
  <c r="I128" i="2" s="1"/>
  <c r="I7" i="4"/>
  <c r="C6" i="4"/>
  <c r="C7" i="4"/>
  <c r="C16" i="4" s="1"/>
  <c r="R261" i="1"/>
  <c r="S261" i="1"/>
  <c r="T261" i="1"/>
  <c r="U261" i="1"/>
  <c r="V261" i="1"/>
  <c r="W261" i="1"/>
  <c r="R262" i="1"/>
  <c r="S262" i="1"/>
  <c r="T262" i="1"/>
  <c r="U262" i="1"/>
  <c r="V262" i="1"/>
  <c r="W262" i="1"/>
  <c r="R270" i="1"/>
  <c r="S270" i="1"/>
  <c r="T270" i="1"/>
  <c r="U270" i="1"/>
  <c r="V270" i="1"/>
  <c r="W270" i="1"/>
  <c r="Q270" i="1"/>
  <c r="Q262" i="1"/>
  <c r="Q261" i="1"/>
  <c r="R24" i="1"/>
  <c r="S24" i="1"/>
  <c r="T24" i="1"/>
  <c r="U24" i="1"/>
  <c r="V24" i="1"/>
  <c r="W24" i="1"/>
  <c r="W25" i="1" s="1"/>
  <c r="H257" i="1" l="1"/>
  <c r="I257" i="1"/>
  <c r="E257" i="1"/>
  <c r="F257" i="1"/>
  <c r="D257" i="1"/>
  <c r="G257" i="1"/>
  <c r="T249" i="1"/>
  <c r="U249" i="1"/>
  <c r="W249" i="1"/>
  <c r="R249" i="1"/>
  <c r="V249" i="1"/>
  <c r="S249" i="1"/>
  <c r="Q249" i="1"/>
  <c r="C261" i="1"/>
  <c r="C273" i="1" s="1"/>
  <c r="C4" i="4" s="1"/>
  <c r="B5" i="8"/>
  <c r="H6" i="8"/>
  <c r="H54" i="8" s="1"/>
  <c r="I16" i="4"/>
  <c r="B59" i="8"/>
  <c r="E29" i="8"/>
  <c r="C47" i="8"/>
  <c r="E47" i="8"/>
  <c r="D47" i="8"/>
  <c r="G47" i="8"/>
  <c r="F47" i="8"/>
  <c r="B47" i="8"/>
  <c r="B49" i="8" s="1"/>
  <c r="H47" i="8"/>
  <c r="H5" i="8"/>
  <c r="B27" i="8"/>
  <c r="F43" i="8"/>
  <c r="E43" i="8"/>
  <c r="C43" i="8"/>
  <c r="G43" i="8"/>
  <c r="H43" i="8"/>
  <c r="F27" i="8"/>
  <c r="D43" i="8"/>
  <c r="E7" i="4"/>
  <c r="D37" i="7"/>
  <c r="E37" i="7"/>
  <c r="C37" i="7"/>
  <c r="G37" i="7"/>
  <c r="H37" i="7"/>
  <c r="I37" i="7"/>
  <c r="E27" i="8"/>
  <c r="D27" i="8"/>
  <c r="H27" i="8"/>
  <c r="F261" i="1"/>
  <c r="E5" i="8"/>
  <c r="I263" i="1"/>
  <c r="H7" i="8"/>
  <c r="H55" i="8" s="1"/>
  <c r="H264" i="1"/>
  <c r="G8" i="8"/>
  <c r="G56" i="8" s="1"/>
  <c r="D264" i="1"/>
  <c r="C8" i="8"/>
  <c r="C56" i="8" s="1"/>
  <c r="G266" i="1"/>
  <c r="F10" i="8"/>
  <c r="F58" i="8" s="1"/>
  <c r="B15" i="8"/>
  <c r="F271" i="1"/>
  <c r="E15" i="8"/>
  <c r="H263" i="1"/>
  <c r="G7" i="8"/>
  <c r="G55" i="8" s="1"/>
  <c r="G264" i="1"/>
  <c r="F8" i="8"/>
  <c r="F56" i="8" s="1"/>
  <c r="B10" i="8"/>
  <c r="B58" i="8" s="1"/>
  <c r="E271" i="1"/>
  <c r="D15" i="8"/>
  <c r="H261" i="1"/>
  <c r="G5" i="8"/>
  <c r="D261" i="1"/>
  <c r="C5" i="8"/>
  <c r="G263" i="1"/>
  <c r="F7" i="8"/>
  <c r="F55" i="8" s="1"/>
  <c r="B8" i="8"/>
  <c r="B56" i="8" s="1"/>
  <c r="F264" i="1"/>
  <c r="E8" i="8"/>
  <c r="E56" i="8" s="1"/>
  <c r="I266" i="1"/>
  <c r="H10" i="8"/>
  <c r="H58" i="8" s="1"/>
  <c r="E266" i="1"/>
  <c r="D10" i="8"/>
  <c r="D58" i="8" s="1"/>
  <c r="H271" i="1"/>
  <c r="G15" i="8"/>
  <c r="D271" i="1"/>
  <c r="C15" i="8"/>
  <c r="E261" i="1"/>
  <c r="D5" i="8"/>
  <c r="D263" i="1"/>
  <c r="C7" i="8"/>
  <c r="C55" i="8" s="1"/>
  <c r="F266" i="1"/>
  <c r="E10" i="8"/>
  <c r="E58" i="8" s="1"/>
  <c r="I271" i="1"/>
  <c r="H15" i="8"/>
  <c r="W263" i="1"/>
  <c r="H23" i="8"/>
  <c r="C27" i="8"/>
  <c r="G27" i="8"/>
  <c r="G261" i="1"/>
  <c r="F5" i="8"/>
  <c r="B7" i="8"/>
  <c r="B55" i="8" s="1"/>
  <c r="F263" i="1"/>
  <c r="E7" i="8"/>
  <c r="E55" i="8" s="1"/>
  <c r="I264" i="1"/>
  <c r="H8" i="8"/>
  <c r="H56" i="8" s="1"/>
  <c r="E264" i="1"/>
  <c r="D8" i="8"/>
  <c r="D56" i="8" s="1"/>
  <c r="H266" i="1"/>
  <c r="G10" i="8"/>
  <c r="G58" i="8" s="1"/>
  <c r="D266" i="1"/>
  <c r="C10" i="8"/>
  <c r="C58" i="8" s="1"/>
  <c r="G271" i="1"/>
  <c r="F15" i="8"/>
  <c r="I265" i="1"/>
  <c r="H9" i="8"/>
  <c r="H57" i="8" s="1"/>
  <c r="E265" i="1"/>
  <c r="D9" i="8"/>
  <c r="D57" i="8" s="1"/>
  <c r="D265" i="1"/>
  <c r="C9" i="8"/>
  <c r="C57" i="8" s="1"/>
  <c r="B9" i="8"/>
  <c r="B57" i="8" s="1"/>
  <c r="G262" i="1"/>
  <c r="F262" i="1"/>
  <c r="I262" i="1"/>
  <c r="E262" i="1"/>
  <c r="H262" i="1"/>
  <c r="D262" i="1"/>
  <c r="W265" i="1"/>
  <c r="V265" i="1"/>
  <c r="U265" i="1"/>
  <c r="T265" i="1"/>
  <c r="S265" i="1"/>
  <c r="R265" i="1"/>
  <c r="Q265" i="1"/>
  <c r="K267" i="1"/>
  <c r="S25" i="1"/>
  <c r="V25" i="1"/>
  <c r="R25" i="1"/>
  <c r="Q25" i="1"/>
  <c r="L268" i="1"/>
  <c r="E263" i="1"/>
  <c r="T25" i="1"/>
  <c r="W31" i="1"/>
  <c r="S31" i="1"/>
  <c r="U25" i="1"/>
  <c r="K268" i="1"/>
  <c r="I261" i="1"/>
  <c r="L270" i="1"/>
  <c r="R79" i="1"/>
  <c r="L267" i="1"/>
  <c r="K270" i="1"/>
  <c r="R31" i="1"/>
  <c r="V79" i="1"/>
  <c r="T79" i="1"/>
  <c r="W79" i="1"/>
  <c r="U79" i="1"/>
  <c r="S79" i="1"/>
  <c r="D26" i="8" s="1"/>
  <c r="V31" i="1"/>
  <c r="U31" i="1"/>
  <c r="T31" i="1"/>
  <c r="F37" i="7"/>
  <c r="D16" i="4"/>
  <c r="H265" i="1"/>
  <c r="G265" i="1"/>
  <c r="C14" i="4" l="1"/>
  <c r="I289" i="17"/>
  <c r="J289" i="17"/>
  <c r="H289" i="17"/>
  <c r="G289" i="17"/>
  <c r="F289" i="17"/>
  <c r="E289" i="17"/>
  <c r="D289" i="17"/>
  <c r="F273" i="1"/>
  <c r="F4" i="4" s="1"/>
  <c r="F14" i="4" s="1"/>
  <c r="G273" i="1"/>
  <c r="G4" i="4" s="1"/>
  <c r="G14" i="4" s="1"/>
  <c r="H273" i="1"/>
  <c r="H4" i="4" s="1"/>
  <c r="H14" i="4" s="1"/>
  <c r="E273" i="1"/>
  <c r="D273" i="1"/>
  <c r="D4" i="4" s="1"/>
  <c r="D14" i="4" s="1"/>
  <c r="I273" i="1"/>
  <c r="G59" i="8"/>
  <c r="G49" i="8"/>
  <c r="H59" i="8"/>
  <c r="H49" i="8"/>
  <c r="C59" i="8"/>
  <c r="C49" i="8"/>
  <c r="E59" i="8"/>
  <c r="E49" i="8"/>
  <c r="D59" i="8"/>
  <c r="D49" i="8"/>
  <c r="F59" i="8"/>
  <c r="F49" i="8"/>
  <c r="H53" i="8"/>
  <c r="H17" i="8"/>
  <c r="D53" i="8"/>
  <c r="D17" i="8"/>
  <c r="E53" i="8"/>
  <c r="E17" i="8"/>
  <c r="F53" i="8"/>
  <c r="F17" i="8"/>
  <c r="C53" i="8"/>
  <c r="C17" i="8"/>
  <c r="G53" i="8"/>
  <c r="G17" i="8"/>
  <c r="B53" i="8"/>
  <c r="B17" i="8"/>
  <c r="B63" i="8"/>
  <c r="T269" i="1"/>
  <c r="B28" i="8"/>
  <c r="G63" i="8"/>
  <c r="E63" i="8"/>
  <c r="D63" i="8"/>
  <c r="S257" i="1"/>
  <c r="F63" i="8"/>
  <c r="H63" i="8"/>
  <c r="C63" i="8"/>
  <c r="B29" i="8"/>
  <c r="Q269" i="1"/>
  <c r="V269" i="1"/>
  <c r="G29" i="8"/>
  <c r="F29" i="8"/>
  <c r="U269" i="1"/>
  <c r="D29" i="8"/>
  <c r="S269" i="1"/>
  <c r="W269" i="1"/>
  <c r="H29" i="8"/>
  <c r="C29" i="8"/>
  <c r="R269" i="1"/>
  <c r="W257" i="1"/>
  <c r="R257" i="1"/>
  <c r="T257" i="1"/>
  <c r="V257" i="1"/>
  <c r="U257" i="1"/>
  <c r="Q264" i="1"/>
  <c r="R264" i="1"/>
  <c r="C24" i="8" s="1"/>
  <c r="W264" i="1"/>
  <c r="H24" i="8" s="1"/>
  <c r="T264" i="1"/>
  <c r="E24" i="8" s="1"/>
  <c r="U264" i="1"/>
  <c r="F24" i="8" s="1"/>
  <c r="S264" i="1"/>
  <c r="D24" i="8" s="1"/>
  <c r="W267" i="1"/>
  <c r="V267" i="1"/>
  <c r="Q267" i="1"/>
  <c r="K271" i="1"/>
  <c r="U267" i="1"/>
  <c r="T267" i="1"/>
  <c r="K262" i="1"/>
  <c r="S267" i="1"/>
  <c r="K264" i="1"/>
  <c r="K266" i="1"/>
  <c r="L265" i="1"/>
  <c r="E16" i="4"/>
  <c r="F6" i="4"/>
  <c r="F15" i="4" s="1"/>
  <c r="I6" i="4"/>
  <c r="L262" i="1"/>
  <c r="V266" i="1"/>
  <c r="G26" i="8"/>
  <c r="Q266" i="1"/>
  <c r="B26" i="8"/>
  <c r="T263" i="1"/>
  <c r="E23" i="8"/>
  <c r="S263" i="1"/>
  <c r="D23" i="8"/>
  <c r="L266" i="1"/>
  <c r="K263" i="1"/>
  <c r="U263" i="1"/>
  <c r="F23" i="8"/>
  <c r="V271" i="1"/>
  <c r="G31" i="8"/>
  <c r="L263" i="1"/>
  <c r="T266" i="1"/>
  <c r="E26" i="8"/>
  <c r="R266" i="1"/>
  <c r="C26" i="8"/>
  <c r="R267" i="1"/>
  <c r="W271" i="1"/>
  <c r="H31" i="8"/>
  <c r="Q263" i="1"/>
  <c r="B23" i="8"/>
  <c r="V263" i="1"/>
  <c r="G23" i="8"/>
  <c r="T271" i="1"/>
  <c r="E31" i="8"/>
  <c r="L264" i="1"/>
  <c r="U266" i="1"/>
  <c r="F26" i="8"/>
  <c r="L271" i="1"/>
  <c r="U271" i="1"/>
  <c r="F31" i="8"/>
  <c r="R271" i="1"/>
  <c r="C31" i="8"/>
  <c r="W266" i="1"/>
  <c r="H26" i="8"/>
  <c r="S271" i="1"/>
  <c r="D31" i="8"/>
  <c r="R263" i="1"/>
  <c r="C23" i="8"/>
  <c r="K265" i="1"/>
  <c r="H6" i="4"/>
  <c r="D6" i="4"/>
  <c r="G6" i="4"/>
  <c r="G15" i="4" s="1"/>
  <c r="E6" i="4"/>
  <c r="K261" i="1"/>
  <c r="L261" i="1"/>
  <c r="V264" i="1"/>
  <c r="G24" i="8" s="1"/>
  <c r="S266" i="1"/>
  <c r="I4" i="4" l="1"/>
  <c r="I14" i="4" s="1"/>
  <c r="M272" i="1"/>
  <c r="E4" i="4"/>
  <c r="E14" i="4" s="1"/>
  <c r="B24" i="8"/>
  <c r="C9" i="4"/>
  <c r="C17" i="4" s="1"/>
  <c r="D9" i="4"/>
  <c r="D17" i="4" s="1"/>
  <c r="I15" i="4"/>
  <c r="C65" i="8"/>
  <c r="H9" i="4"/>
  <c r="H17" i="4" s="1"/>
  <c r="H15" i="4"/>
  <c r="H65" i="8"/>
  <c r="D65" i="8"/>
  <c r="B65" i="8"/>
  <c r="F65" i="8"/>
  <c r="E65" i="8"/>
  <c r="G65" i="8"/>
  <c r="M261" i="1"/>
  <c r="M266" i="1"/>
  <c r="M270" i="1"/>
  <c r="M268" i="1"/>
  <c r="M273" i="1"/>
  <c r="M269" i="1"/>
  <c r="M265" i="1"/>
  <c r="M267" i="1"/>
  <c r="M271" i="1"/>
  <c r="M263" i="1"/>
  <c r="M264" i="1"/>
  <c r="M262" i="1"/>
  <c r="Q268" i="1"/>
  <c r="D28" i="8"/>
  <c r="D33" i="8" s="1"/>
  <c r="S268" i="1"/>
  <c r="S273" i="1" s="1"/>
  <c r="T268" i="1"/>
  <c r="T273" i="1" s="1"/>
  <c r="E28" i="8"/>
  <c r="E33" i="8" s="1"/>
  <c r="W268" i="1"/>
  <c r="W273" i="1" s="1"/>
  <c r="H28" i="8"/>
  <c r="H33" i="8" s="1"/>
  <c r="V268" i="1"/>
  <c r="V273" i="1" s="1"/>
  <c r="G28" i="8"/>
  <c r="G33" i="8" s="1"/>
  <c r="H5" i="4"/>
  <c r="R268" i="1"/>
  <c r="R273" i="1" s="1"/>
  <c r="C28" i="8"/>
  <c r="C33" i="8" s="1"/>
  <c r="I5" i="4"/>
  <c r="U268" i="1"/>
  <c r="U273" i="1" s="1"/>
  <c r="F28" i="8"/>
  <c r="F33" i="8" s="1"/>
  <c r="F9" i="4"/>
  <c r="F17" i="4" s="1"/>
  <c r="C15" i="4"/>
  <c r="L273" i="1"/>
  <c r="F5" i="4"/>
  <c r="E5" i="4"/>
  <c r="G9" i="4"/>
  <c r="G17" i="4" s="1"/>
  <c r="D15" i="4"/>
  <c r="E15" i="4"/>
  <c r="G5" i="4"/>
  <c r="D5" i="4"/>
  <c r="D10" i="4" s="1"/>
  <c r="K273" i="1"/>
  <c r="I9" i="4" l="1"/>
  <c r="I17" i="4" s="1"/>
  <c r="E9" i="4"/>
  <c r="E17" i="4" s="1"/>
  <c r="F10" i="4"/>
  <c r="F18" i="4" s="1"/>
  <c r="I10" i="4"/>
  <c r="D18" i="4"/>
  <c r="G10" i="4"/>
  <c r="G18" i="4" s="1"/>
  <c r="E10" i="4"/>
  <c r="E18" i="4" s="1"/>
  <c r="H10" i="4"/>
  <c r="H18" i="4" s="1"/>
  <c r="I11" i="4" l="1"/>
  <c r="I18" i="4"/>
  <c r="F11" i="4"/>
  <c r="E11" i="4"/>
  <c r="H11" i="4"/>
  <c r="D11" i="4"/>
  <c r="G11" i="4"/>
  <c r="Q257" i="1" l="1"/>
  <c r="C5" i="4" s="1"/>
  <c r="B31" i="8"/>
  <c r="B33" i="8" s="1"/>
  <c r="Q271" i="1"/>
  <c r="Q273" i="1" s="1"/>
  <c r="C10" i="4" l="1"/>
  <c r="C11" i="4" l="1"/>
  <c r="C18" i="4"/>
</calcChain>
</file>

<file path=xl/comments1.xml><?xml version="1.0" encoding="utf-8"?>
<comments xmlns="http://schemas.openxmlformats.org/spreadsheetml/2006/main">
  <authors>
    <author>Nelleke van den Broek-Honingh</author>
  </authors>
  <commentList>
    <comment ref="C169" authorId="0" shapeId="0">
      <text>
        <r>
          <rPr>
            <b/>
            <sz val="9"/>
            <color indexed="81"/>
            <rFont val="Tahoma"/>
            <family val="2"/>
          </rPr>
          <t>Nelleke van den Broek-Honingh:</t>
        </r>
        <r>
          <rPr>
            <sz val="9"/>
            <color indexed="81"/>
            <rFont val="Tahoma"/>
            <family val="2"/>
          </rPr>
          <t xml:space="preserve">
Nieuw</t>
        </r>
      </text>
    </comment>
    <comment ref="C170" authorId="0" shapeId="0">
      <text>
        <r>
          <rPr>
            <b/>
            <sz val="9"/>
            <color indexed="81"/>
            <rFont val="Tahoma"/>
            <family val="2"/>
          </rPr>
          <t>Nelleke van den Broek-Honingh:</t>
        </r>
        <r>
          <rPr>
            <sz val="9"/>
            <color indexed="81"/>
            <rFont val="Tahoma"/>
            <family val="2"/>
          </rPr>
          <t xml:space="preserve">
Nieuw</t>
        </r>
      </text>
    </comment>
    <comment ref="C171" authorId="0" shapeId="0">
      <text>
        <r>
          <rPr>
            <b/>
            <sz val="9"/>
            <color indexed="81"/>
            <rFont val="Tahoma"/>
            <family val="2"/>
          </rPr>
          <t>Nelleke van den Broek-Honingh:</t>
        </r>
        <r>
          <rPr>
            <sz val="9"/>
            <color indexed="81"/>
            <rFont val="Tahoma"/>
            <family val="2"/>
          </rPr>
          <t xml:space="preserve">
Nieuw</t>
        </r>
      </text>
    </comment>
    <comment ref="C176" authorId="0" shapeId="0">
      <text>
        <r>
          <rPr>
            <b/>
            <sz val="9"/>
            <color indexed="81"/>
            <rFont val="Tahoma"/>
            <family val="2"/>
          </rPr>
          <t>Nelleke van den Broek-Honingh:</t>
        </r>
        <r>
          <rPr>
            <sz val="9"/>
            <color indexed="81"/>
            <rFont val="Tahoma"/>
            <family val="2"/>
          </rPr>
          <t xml:space="preserve">
Nieuw</t>
        </r>
      </text>
    </comment>
    <comment ref="C177" authorId="0" shapeId="0">
      <text>
        <r>
          <rPr>
            <b/>
            <sz val="9"/>
            <color indexed="81"/>
            <rFont val="Tahoma"/>
            <family val="2"/>
          </rPr>
          <t>Nelleke van den Broek-Honingh:</t>
        </r>
        <r>
          <rPr>
            <sz val="9"/>
            <color indexed="81"/>
            <rFont val="Tahoma"/>
            <family val="2"/>
          </rPr>
          <t xml:space="preserve">
Nieuw</t>
        </r>
      </text>
    </comment>
    <comment ref="C178" authorId="0" shapeId="0">
      <text>
        <r>
          <rPr>
            <b/>
            <sz val="9"/>
            <color indexed="81"/>
            <rFont val="Tahoma"/>
            <family val="2"/>
          </rPr>
          <t>Nelleke van den Broek-Honingh:</t>
        </r>
        <r>
          <rPr>
            <sz val="9"/>
            <color indexed="81"/>
            <rFont val="Tahoma"/>
            <family val="2"/>
          </rPr>
          <t xml:space="preserve">
Nieuw</t>
        </r>
      </text>
    </comment>
    <comment ref="C180" authorId="0" shapeId="0">
      <text>
        <r>
          <rPr>
            <b/>
            <sz val="9"/>
            <color indexed="81"/>
            <rFont val="Tahoma"/>
            <family val="2"/>
          </rPr>
          <t>Nelleke van den Broek-Honingh:</t>
        </r>
        <r>
          <rPr>
            <sz val="9"/>
            <color indexed="81"/>
            <rFont val="Tahoma"/>
            <family val="2"/>
          </rPr>
          <t xml:space="preserve">
Nieuw</t>
        </r>
      </text>
    </comment>
    <comment ref="C181" authorId="0" shapeId="0">
      <text>
        <r>
          <rPr>
            <b/>
            <sz val="9"/>
            <color indexed="81"/>
            <rFont val="Tahoma"/>
            <family val="2"/>
          </rPr>
          <t>Nelleke van den Broek-Honingh:</t>
        </r>
        <r>
          <rPr>
            <sz val="9"/>
            <color indexed="81"/>
            <rFont val="Tahoma"/>
            <family val="2"/>
          </rPr>
          <t xml:space="preserve">
Nieuw</t>
        </r>
      </text>
    </comment>
    <comment ref="C182" authorId="0" shapeId="0">
      <text>
        <r>
          <rPr>
            <b/>
            <sz val="9"/>
            <color indexed="81"/>
            <rFont val="Tahoma"/>
            <family val="2"/>
          </rPr>
          <t>Nelleke van den Broek-Honingh:</t>
        </r>
        <r>
          <rPr>
            <sz val="9"/>
            <color indexed="81"/>
            <rFont val="Tahoma"/>
            <family val="2"/>
          </rPr>
          <t xml:space="preserve">
Nieuw</t>
        </r>
      </text>
    </comment>
    <comment ref="C183" authorId="0" shapeId="0">
      <text>
        <r>
          <rPr>
            <b/>
            <sz val="9"/>
            <color indexed="81"/>
            <rFont val="Tahoma"/>
            <family val="2"/>
          </rPr>
          <t>Nelleke van den Broek-Honingh:</t>
        </r>
        <r>
          <rPr>
            <sz val="9"/>
            <color indexed="81"/>
            <rFont val="Tahoma"/>
            <family val="2"/>
          </rPr>
          <t xml:space="preserve">
Nieuw</t>
        </r>
      </text>
    </comment>
    <comment ref="C184" authorId="0" shapeId="0">
      <text>
        <r>
          <rPr>
            <b/>
            <sz val="9"/>
            <color indexed="81"/>
            <rFont val="Tahoma"/>
            <family val="2"/>
          </rPr>
          <t>Nelleke van den Broek-Honingh:</t>
        </r>
        <r>
          <rPr>
            <sz val="9"/>
            <color indexed="81"/>
            <rFont val="Tahoma"/>
            <family val="2"/>
          </rPr>
          <t xml:space="preserve">
Nieuw</t>
        </r>
      </text>
    </comment>
    <comment ref="C185" authorId="0" shapeId="0">
      <text>
        <r>
          <rPr>
            <b/>
            <sz val="9"/>
            <color indexed="81"/>
            <rFont val="Tahoma"/>
            <family val="2"/>
          </rPr>
          <t>Nelleke van den Broek-Honingh:</t>
        </r>
        <r>
          <rPr>
            <sz val="9"/>
            <color indexed="81"/>
            <rFont val="Tahoma"/>
            <family val="2"/>
          </rPr>
          <t xml:space="preserve">
Nieuw</t>
        </r>
      </text>
    </comment>
    <comment ref="C186" authorId="0" shapeId="0">
      <text>
        <r>
          <rPr>
            <b/>
            <sz val="9"/>
            <color indexed="81"/>
            <rFont val="Tahoma"/>
            <family val="2"/>
          </rPr>
          <t>Nelleke van den Broek-Honingh:</t>
        </r>
        <r>
          <rPr>
            <sz val="9"/>
            <color indexed="81"/>
            <rFont val="Tahoma"/>
            <family val="2"/>
          </rPr>
          <t xml:space="preserve">
Nieuw</t>
        </r>
      </text>
    </comment>
    <comment ref="C187" authorId="0" shapeId="0">
      <text>
        <r>
          <rPr>
            <b/>
            <sz val="9"/>
            <color indexed="81"/>
            <rFont val="Tahoma"/>
            <family val="2"/>
          </rPr>
          <t>Nelleke van den Broek-Honingh:</t>
        </r>
        <r>
          <rPr>
            <sz val="9"/>
            <color indexed="81"/>
            <rFont val="Tahoma"/>
            <family val="2"/>
          </rPr>
          <t xml:space="preserve">
Nieuw</t>
        </r>
      </text>
    </comment>
    <comment ref="C188" authorId="0" shapeId="0">
      <text>
        <r>
          <rPr>
            <b/>
            <sz val="9"/>
            <color indexed="81"/>
            <rFont val="Tahoma"/>
            <family val="2"/>
          </rPr>
          <t>Nelleke van den Broek-Honingh:</t>
        </r>
        <r>
          <rPr>
            <sz val="9"/>
            <color indexed="81"/>
            <rFont val="Tahoma"/>
            <family val="2"/>
          </rPr>
          <t xml:space="preserve">
Nieuw</t>
        </r>
      </text>
    </comment>
    <comment ref="C189" authorId="0" shapeId="0">
      <text>
        <r>
          <rPr>
            <b/>
            <sz val="9"/>
            <color indexed="81"/>
            <rFont val="Tahoma"/>
            <family val="2"/>
          </rPr>
          <t>Nelleke van den Broek-Honingh:</t>
        </r>
        <r>
          <rPr>
            <sz val="9"/>
            <color indexed="81"/>
            <rFont val="Tahoma"/>
            <family val="2"/>
          </rPr>
          <t xml:space="preserve">
Nieuw</t>
        </r>
      </text>
    </comment>
    <comment ref="C190" authorId="0" shapeId="0">
      <text>
        <r>
          <rPr>
            <b/>
            <sz val="9"/>
            <color indexed="81"/>
            <rFont val="Tahoma"/>
            <family val="2"/>
          </rPr>
          <t>Nelleke van den Broek-Honingh:</t>
        </r>
        <r>
          <rPr>
            <sz val="9"/>
            <color indexed="81"/>
            <rFont val="Tahoma"/>
            <family val="2"/>
          </rPr>
          <t xml:space="preserve">
Nieuw</t>
        </r>
      </text>
    </comment>
    <comment ref="C191" authorId="0" shapeId="0">
      <text>
        <r>
          <rPr>
            <b/>
            <sz val="9"/>
            <color indexed="81"/>
            <rFont val="Tahoma"/>
            <family val="2"/>
          </rPr>
          <t>Nelleke van den Broek-Honingh:</t>
        </r>
        <r>
          <rPr>
            <sz val="9"/>
            <color indexed="81"/>
            <rFont val="Tahoma"/>
            <family val="2"/>
          </rPr>
          <t xml:space="preserve">
Nieuw</t>
        </r>
      </text>
    </comment>
    <comment ref="C203" authorId="0" shapeId="0">
      <text>
        <r>
          <rPr>
            <b/>
            <sz val="9"/>
            <color indexed="81"/>
            <rFont val="Tahoma"/>
            <family val="2"/>
          </rPr>
          <t>Nelleke van den Broek-Honingh:</t>
        </r>
        <r>
          <rPr>
            <sz val="9"/>
            <color indexed="81"/>
            <rFont val="Tahoma"/>
            <family val="2"/>
          </rPr>
          <t xml:space="preserve">
Nieuw</t>
        </r>
      </text>
    </comment>
    <comment ref="C204" authorId="0" shapeId="0">
      <text>
        <r>
          <rPr>
            <b/>
            <sz val="9"/>
            <color indexed="81"/>
            <rFont val="Tahoma"/>
            <family val="2"/>
          </rPr>
          <t>Nelleke van den Broek-Honingh:</t>
        </r>
        <r>
          <rPr>
            <sz val="9"/>
            <color indexed="81"/>
            <rFont val="Tahoma"/>
            <family val="2"/>
          </rPr>
          <t xml:space="preserve">
Nieuw</t>
        </r>
      </text>
    </comment>
    <comment ref="C205" authorId="0" shapeId="0">
      <text>
        <r>
          <rPr>
            <b/>
            <sz val="9"/>
            <color indexed="81"/>
            <rFont val="Tahoma"/>
            <family val="2"/>
          </rPr>
          <t>Nelleke van den Broek-Honingh:</t>
        </r>
        <r>
          <rPr>
            <sz val="9"/>
            <color indexed="81"/>
            <rFont val="Tahoma"/>
            <family val="2"/>
          </rPr>
          <t xml:space="preserve">
Nieuw</t>
        </r>
      </text>
    </comment>
    <comment ref="C206" authorId="0" shapeId="0">
      <text>
        <r>
          <rPr>
            <b/>
            <sz val="9"/>
            <color indexed="81"/>
            <rFont val="Tahoma"/>
            <family val="2"/>
          </rPr>
          <t>Nelleke van den Broek-Honingh:</t>
        </r>
        <r>
          <rPr>
            <sz val="9"/>
            <color indexed="81"/>
            <rFont val="Tahoma"/>
            <family val="2"/>
          </rPr>
          <t xml:space="preserve">
Nieuw</t>
        </r>
      </text>
    </comment>
    <comment ref="C207" authorId="0" shapeId="0">
      <text>
        <r>
          <rPr>
            <b/>
            <sz val="9"/>
            <color indexed="81"/>
            <rFont val="Tahoma"/>
            <family val="2"/>
          </rPr>
          <t>Nelleke van den Broek-Honingh:</t>
        </r>
        <r>
          <rPr>
            <sz val="9"/>
            <color indexed="81"/>
            <rFont val="Tahoma"/>
            <family val="2"/>
          </rPr>
          <t xml:space="preserve">
Nieuw</t>
        </r>
      </text>
    </comment>
    <comment ref="C208" authorId="0" shapeId="0">
      <text>
        <r>
          <rPr>
            <b/>
            <sz val="9"/>
            <color indexed="81"/>
            <rFont val="Tahoma"/>
            <family val="2"/>
          </rPr>
          <t>Nelleke van den Broek-Honingh:</t>
        </r>
        <r>
          <rPr>
            <sz val="9"/>
            <color indexed="81"/>
            <rFont val="Tahoma"/>
            <family val="2"/>
          </rPr>
          <t xml:space="preserve">
Nieuw</t>
        </r>
      </text>
    </comment>
    <comment ref="C209" authorId="0" shapeId="0">
      <text>
        <r>
          <rPr>
            <b/>
            <sz val="9"/>
            <color indexed="81"/>
            <rFont val="Tahoma"/>
            <family val="2"/>
          </rPr>
          <t>Nelleke van den Broek-Honingh:</t>
        </r>
        <r>
          <rPr>
            <sz val="9"/>
            <color indexed="81"/>
            <rFont val="Tahoma"/>
            <family val="2"/>
          </rPr>
          <t xml:space="preserve">
Nieuw</t>
        </r>
      </text>
    </comment>
    <comment ref="C210" authorId="0" shapeId="0">
      <text>
        <r>
          <rPr>
            <b/>
            <sz val="9"/>
            <color indexed="81"/>
            <rFont val="Tahoma"/>
            <family val="2"/>
          </rPr>
          <t>Nelleke van den Broek-Honingh:</t>
        </r>
        <r>
          <rPr>
            <sz val="9"/>
            <color indexed="81"/>
            <rFont val="Tahoma"/>
            <family val="2"/>
          </rPr>
          <t xml:space="preserve">
Nieuw</t>
        </r>
      </text>
    </comment>
    <comment ref="C211" authorId="0" shapeId="0">
      <text>
        <r>
          <rPr>
            <b/>
            <sz val="9"/>
            <color indexed="81"/>
            <rFont val="Tahoma"/>
            <family val="2"/>
          </rPr>
          <t>Nelleke van den Broek-Honingh:</t>
        </r>
        <r>
          <rPr>
            <sz val="9"/>
            <color indexed="81"/>
            <rFont val="Tahoma"/>
            <family val="2"/>
          </rPr>
          <t xml:space="preserve">
Nieuw</t>
        </r>
      </text>
    </comment>
  </commentList>
</comments>
</file>

<file path=xl/sharedStrings.xml><?xml version="1.0" encoding="utf-8"?>
<sst xmlns="http://schemas.openxmlformats.org/spreadsheetml/2006/main" count="3170" uniqueCount="892">
  <si>
    <t>Type</t>
  </si>
  <si>
    <t>Goed functionerende economie en markten</t>
  </si>
  <si>
    <t>R/O</t>
  </si>
  <si>
    <t>R/SO/O</t>
  </si>
  <si>
    <t>SO</t>
  </si>
  <si>
    <t>Bijdrage aan het CBS</t>
  </si>
  <si>
    <t>R</t>
  </si>
  <si>
    <t>IO</t>
  </si>
  <si>
    <t>O</t>
  </si>
  <si>
    <t>12.01.04</t>
  </si>
  <si>
    <t>12.01.05</t>
  </si>
  <si>
    <t>U/TNO/DLO/SO/O</t>
  </si>
  <si>
    <t>12.01.06</t>
  </si>
  <si>
    <t>TNO</t>
  </si>
  <si>
    <t>12.10.01</t>
  </si>
  <si>
    <t>12.10.02</t>
  </si>
  <si>
    <t>12.10.03</t>
  </si>
  <si>
    <t>NWO</t>
  </si>
  <si>
    <t>TNO/DLO/SO/NWO</t>
  </si>
  <si>
    <t>SO/O</t>
  </si>
  <si>
    <t>Een doelmatige en duurzame energievoorziening</t>
  </si>
  <si>
    <t>Carbon Capture and Storage</t>
  </si>
  <si>
    <t>HFR/NRG</t>
  </si>
  <si>
    <t>RIVM</t>
  </si>
  <si>
    <t>ECN</t>
  </si>
  <si>
    <t>Concurrerende, duurzame, veilige agro-, visserij- en voedselketens</t>
  </si>
  <si>
    <t>DLO</t>
  </si>
  <si>
    <t>Topsectoren</t>
  </si>
  <si>
    <t>ZonMW</t>
  </si>
  <si>
    <t>12.01.02</t>
  </si>
  <si>
    <t>12.01.03</t>
  </si>
  <si>
    <t>13.10.04</t>
  </si>
  <si>
    <t>Inst.</t>
  </si>
  <si>
    <t>Proj.</t>
  </si>
  <si>
    <t>X Defensie</t>
  </si>
  <si>
    <t>III Algemene Zaken</t>
  </si>
  <si>
    <t>V Buitenlandse Zaken</t>
  </si>
  <si>
    <t>VIII Onderwijs, Cultuur en Wetenschap</t>
  </si>
  <si>
    <t>Bijdrage aan TNO</t>
  </si>
  <si>
    <t>Internationaal Innoveren</t>
  </si>
  <si>
    <t>Grote Technologische Instituten (MARIN)</t>
  </si>
  <si>
    <t>Grote Technologische Instituten (Deltares)</t>
  </si>
  <si>
    <t>Grote Technologische Instituten (NLR)</t>
  </si>
  <si>
    <t>NABS</t>
  </si>
  <si>
    <t>Totaal generaal</t>
  </si>
  <si>
    <t>U0604</t>
  </si>
  <si>
    <t>Defensie</t>
  </si>
  <si>
    <t>TOTAAL DEFENSIE</t>
  </si>
  <si>
    <t>Politieke en soc. systemen, structuren/processen</t>
  </si>
  <si>
    <t>TOTAAL ALGEMENE ZAKEN</t>
  </si>
  <si>
    <t>TOTAAL BUITENLANDSE ZAKEN</t>
  </si>
  <si>
    <t>TOTAAL VEILIGHEID EN JUSTITIE</t>
  </si>
  <si>
    <t>TOTAAL ONDERWIJS, CULTUUR EN WETENSCHAP</t>
  </si>
  <si>
    <t>VII Binnenlandse Zaken en Koninkrijksrelaties</t>
  </si>
  <si>
    <t>TOTAAL BINNENLANDSE ZAKEN EN KONINKRIJKSRELATIES</t>
  </si>
  <si>
    <t>Cultuur, recreatie, religie en massamedia</t>
  </si>
  <si>
    <t>U</t>
  </si>
  <si>
    <t>13.3</t>
  </si>
  <si>
    <t>Artikelnr.</t>
  </si>
  <si>
    <t>Begrotingsartikel</t>
  </si>
  <si>
    <t xml:space="preserve">stand begr. </t>
  </si>
  <si>
    <t>ontwerp</t>
  </si>
  <si>
    <t>meerjarencijfers</t>
  </si>
  <si>
    <t>Nabscode</t>
  </si>
  <si>
    <t>XV Sociale Zaken en Werkgelegenheid</t>
  </si>
  <si>
    <t>XVI Volksgezondheid, Welzijn en Sport</t>
  </si>
  <si>
    <t>TOTAAL GENERAAL</t>
  </si>
  <si>
    <t>TOTAAL SOCIALE ZAKEN EN WERKGELEGENHEID</t>
  </si>
  <si>
    <t>TOTAAL VOLKSGEZONDHEID, WELZIJN EN SPORT</t>
  </si>
  <si>
    <t xml:space="preserve">Onderzoek UMC's </t>
  </si>
  <si>
    <t>NUFFIC</t>
  </si>
  <si>
    <t>UNU-MERIT</t>
  </si>
  <si>
    <t>13.5</t>
  </si>
  <si>
    <t>Sociale wetenschappen</t>
  </si>
  <si>
    <t>KNAW</t>
  </si>
  <si>
    <t>13.1</t>
  </si>
  <si>
    <t>Natuurwetenschappen</t>
  </si>
  <si>
    <t>Naturalis</t>
  </si>
  <si>
    <t>EMBC</t>
  </si>
  <si>
    <t>EMBL</t>
  </si>
  <si>
    <t>ESA</t>
  </si>
  <si>
    <t>Exploratie en exploitatie van de ruimte</t>
  </si>
  <si>
    <t>CERN</t>
  </si>
  <si>
    <t>ESO</t>
  </si>
  <si>
    <t>Primatencentrum (BPRC)</t>
  </si>
  <si>
    <t>Gezondheid</t>
  </si>
  <si>
    <t>STT</t>
  </si>
  <si>
    <t>13.2</t>
  </si>
  <si>
    <t>Technische wetenschappen</t>
  </si>
  <si>
    <t>Poolonderzoek</t>
  </si>
  <si>
    <t>Medische wetenschappen</t>
  </si>
  <si>
    <t>NIVEL</t>
  </si>
  <si>
    <t>Onderwijs</t>
  </si>
  <si>
    <t>STW</t>
  </si>
  <si>
    <t>Niet in te delen wetenschappen</t>
  </si>
  <si>
    <t>Exploratie en exploitatie van het aards milieu</t>
  </si>
  <si>
    <t>Nationale coördinatie</t>
  </si>
  <si>
    <t>14.4</t>
  </si>
  <si>
    <t>Rijksbureau voor Kunsthistorisch onderzoek (RKD)</t>
  </si>
  <si>
    <t>Culturele zaken: onderzoek</t>
  </si>
  <si>
    <t>Subsidie Boekmanstichting</t>
  </si>
  <si>
    <t>Centrum Ondergronds Bouwen</t>
  </si>
  <si>
    <t>COB</t>
  </si>
  <si>
    <t>PianOo</t>
  </si>
  <si>
    <t>Vern.Bouw</t>
  </si>
  <si>
    <t>Apparaat Planbureau Leefomgeving (PBL)</t>
  </si>
  <si>
    <t>Milieubeheer en milieuzorg</t>
  </si>
  <si>
    <t>PBL</t>
  </si>
  <si>
    <t>KNMI</t>
  </si>
  <si>
    <t>Mainports en logistiek (proj.)</t>
  </si>
  <si>
    <t>KDC</t>
  </si>
  <si>
    <t>CROW</t>
  </si>
  <si>
    <t>KiM</t>
  </si>
  <si>
    <t>InfraQuest</t>
  </si>
  <si>
    <t>TNO/TUD</t>
  </si>
  <si>
    <t>Veiligheid en mobiliteit (SWOV)</t>
  </si>
  <si>
    <t>SWOV</t>
  </si>
  <si>
    <t>NNI</t>
  </si>
  <si>
    <t>Beperken van verzuring en grootschalige luchtverontreiniging</t>
  </si>
  <si>
    <t>CUR</t>
  </si>
  <si>
    <t>IF 12.06.02</t>
  </si>
  <si>
    <t>Doorontwikkeling kennismanagement HWN</t>
  </si>
  <si>
    <t>Innovatie HWBP2</t>
  </si>
  <si>
    <t>HWBP 3: Overige programmakosten  (innovatie)</t>
  </si>
  <si>
    <t>6501U</t>
  </si>
  <si>
    <t>WBSO</t>
  </si>
  <si>
    <t>RDA</t>
  </si>
  <si>
    <t>Totaal</t>
  </si>
  <si>
    <t>Overige uitgaven voor innovatie, niet zijnde R&amp;D, in miljoenen euro</t>
  </si>
  <si>
    <t>Algemene Zaken</t>
  </si>
  <si>
    <t xml:space="preserve">Buitenlandse Zaken </t>
  </si>
  <si>
    <t>Binnenlandse Zaken en Koninkrijksrelaties</t>
  </si>
  <si>
    <t>Onderwijs, Cultuur en Wetenschap</t>
  </si>
  <si>
    <t>Sociale Zaken en Werkgelegenheid</t>
  </si>
  <si>
    <t>Volksgezondheid, Welzijn en Sport</t>
  </si>
  <si>
    <t>Fiscale instrumenten voor R&amp;D en innovatie</t>
  </si>
  <si>
    <t>Uitgaven voor R&amp;D</t>
  </si>
  <si>
    <t>Overzicht per departement</t>
  </si>
  <si>
    <t>- waarvan innovatierelevant</t>
  </si>
  <si>
    <t>Uitgaven voor innovatie, niet zijnde R&amp;D</t>
  </si>
  <si>
    <t>Stichting Instituut Clingendael</t>
  </si>
  <si>
    <t>Onderzoeksprogramma</t>
  </si>
  <si>
    <t xml:space="preserve"> </t>
  </si>
  <si>
    <t>AZ</t>
  </si>
  <si>
    <t>BuZa</t>
  </si>
  <si>
    <t>BZK</t>
  </si>
  <si>
    <t>OCW</t>
  </si>
  <si>
    <t>Def</t>
  </si>
  <si>
    <t>SZW</t>
  </si>
  <si>
    <t>VWS</t>
  </si>
  <si>
    <t>Wettelijke onderzoekstaken</t>
  </si>
  <si>
    <t xml:space="preserve">Landbouw </t>
  </si>
  <si>
    <t>Energie</t>
  </si>
  <si>
    <t>Industriële productie en technologie</t>
  </si>
  <si>
    <t>4.3</t>
  </si>
  <si>
    <t>ZonMw</t>
  </si>
  <si>
    <t>1.2</t>
  </si>
  <si>
    <t>2.1</t>
  </si>
  <si>
    <t>Netwerkplatform innovatie overheid</t>
  </si>
  <si>
    <t>Contributie aan internationale organisaties</t>
  </si>
  <si>
    <t>BBP (miljarden euro)</t>
  </si>
  <si>
    <t>Projectfinanciering</t>
  </si>
  <si>
    <t>UMC</t>
  </si>
  <si>
    <t>Definitie van onderzoek en ontwikkelingswerk (R&amp;D)</t>
  </si>
  <si>
    <t>Kenmerkend voor R&amp;D is het element van oorspronkelijkheid of vernieuwing in het onderzoek.</t>
  </si>
  <si>
    <t>- routinematig verzamelen van gegevens of het routinematig verrichten van metingen;</t>
  </si>
  <si>
    <t>- documentatiewerkzaamheden en vertaalwerk, verspreiding van wetenschappelijke publicaties;</t>
  </si>
  <si>
    <t>A. Institutionele financiering: Vaste bijdragen aan instituten</t>
  </si>
  <si>
    <t xml:space="preserve">Uitgaven die samenhangen met min of meer vaste bijdragen aan onderzoeksinstituten. Het betreft de financiering van instellingen zonder dat er sprake is van een directe selectie van projecten of programma’s vanuit het departement en zonder directe inhoudelijke invulling vanuit de departementen. De uitgaven kunnen de vorm hebben van een basisfinanciering, gericht op de instandhouding van een basisvoorziening, en/of een vorm van doelfinanciering, waarbij de invulling plaatsvindt door het instituut. Dat sluit overigens niet uit dat wensen van het departement daarbij een rol kunnen spelen. </t>
  </si>
  <si>
    <t>B. Projectfinancering: Uitgaven voor onderzoek en ontwikkelingswerk in projecten en programma's</t>
  </si>
  <si>
    <t>%-R&amp;D</t>
  </si>
  <si>
    <t>Aandeel van de vermelde uitgaven voor onderzoek en ontwikkelingswerk in de totale uitgaven van het begrotingsartikel.</t>
  </si>
  <si>
    <t>Code NABS-categorie</t>
  </si>
  <si>
    <t xml:space="preserve">De NABS-classificatie is een indeling van het statistische bureau van de EU (EUROSTAT) met als doel de uitgaven voor R&amp;D te classificeren naar het doel dat het departement voor ogen heeft met de uitgaven. De classificatie kent twee niveaus. Deze twee niveaus gelden echter alleen voor twee categorieën (niet-toepassingsgericht onderzoek).
</t>
  </si>
  <si>
    <t>Bestemming</t>
  </si>
  <si>
    <t>ALGEMENE TOELICHTING</t>
  </si>
  <si>
    <r>
      <t>Niet</t>
    </r>
    <r>
      <rPr>
        <sz val="11"/>
        <rFont val="Calibri"/>
        <family val="2"/>
        <scheme val="minor"/>
      </rPr>
      <t xml:space="preserve"> als onderzoek aan te merken zijn activiteiten zoals: </t>
    </r>
  </si>
  <si>
    <t>SPECIFIEKE TOELICHTING</t>
  </si>
  <si>
    <t>Budgetten voor innovatie</t>
  </si>
  <si>
    <t>Overheidsbudgetten, die gericht zijn op het financieren van:</t>
  </si>
  <si>
    <t>- nieuwe of sterk verbeterde producten</t>
  </si>
  <si>
    <t>- nieuwe processen / methoden</t>
  </si>
  <si>
    <t>- nieuwe of sterk verbeterde diensten</t>
  </si>
  <si>
    <t>- administratieve, organisatorische of marketinginnovatie</t>
  </si>
  <si>
    <t>Geschat aandeel innovatie (%)</t>
  </si>
  <si>
    <t xml:space="preserve">Aandeel van de vermelde R&amp;D-uitgaven dat innovatierelevant is. </t>
  </si>
  <si>
    <t>Overige uitgaven voor innovatie, niet zijnde R&amp;D</t>
  </si>
  <si>
    <t>Het betreft departementale budgetten die geen R&amp;D component hebben, maar specifiek gericht zijn op de bevordering van innovatie.</t>
  </si>
  <si>
    <t>Landbouw</t>
  </si>
  <si>
    <t>Politieke en sociale systemen, structuren en processen</t>
  </si>
  <si>
    <t>Niet-toepassingsgericht onderzoek: Onderzoek gefinancierd uit algemene universitaire fondsen (1ste geldstroom)</t>
  </si>
  <si>
    <t>12.3</t>
  </si>
  <si>
    <t>Niet-toepassingsgericht onderzoek: Onderzoek gefinancierd uit andere bronnen dan hoofdstuk 12</t>
  </si>
  <si>
    <t>Omvang fiscale instrumenten voor R&amp;D en innovatie, in miljoenen euro</t>
  </si>
  <si>
    <t>MIA</t>
  </si>
  <si>
    <t>VAMIL</t>
  </si>
  <si>
    <t>Wet Bevordering Speur- en Ontwikkelingswerk</t>
  </si>
  <si>
    <t>Research &amp; Development Aftrek</t>
  </si>
  <si>
    <t>Regeling Willekeurige afschrijving milieu-investeringen</t>
  </si>
  <si>
    <t>Regeling Milieu Investeringsaftrek</t>
  </si>
  <si>
    <t>9.3</t>
  </si>
  <si>
    <t>Beschikbaarheidsbijdrage academische zorg</t>
  </si>
  <si>
    <t>- Toelichting</t>
  </si>
  <si>
    <t>INHOUD VAN HET DOCUMENT</t>
  </si>
  <si>
    <t>Strategisch onderzoek RIVM</t>
  </si>
  <si>
    <t>realisatie</t>
  </si>
  <si>
    <t>- in procenten van het totaal</t>
  </si>
  <si>
    <t xml:space="preserve">Totaal </t>
  </si>
  <si>
    <t>R&amp;D-uitgaven per departement, miljoenen euro</t>
  </si>
  <si>
    <t>Innovatie-uitgaven per departement, miljoenen euro</t>
  </si>
  <si>
    <t>Totale uitgaven voor R&amp;D en innovatie per departement, miljoenen euro</t>
  </si>
  <si>
    <t xml:space="preserve">Welke organisatie heeft het onderzoek verricht? </t>
  </si>
  <si>
    <t>% innovatie-</t>
  </si>
  <si>
    <t>relevant</t>
  </si>
  <si>
    <t>Inst+Proj.</t>
  </si>
  <si>
    <t>NWO STW</t>
  </si>
  <si>
    <t>NWO Grootschalige researchinfrastructuur</t>
  </si>
  <si>
    <t>NWO Regieorgaan onderwijsonderzoek</t>
  </si>
  <si>
    <t>Rijksdienst voor het Cultureel Erfgoed (RCE)</t>
  </si>
  <si>
    <t>BKZ</t>
  </si>
  <si>
    <t>Kwaliteit en Veiligheid / Instellingssubsidie Nictiz</t>
  </si>
  <si>
    <t>18.10</t>
  </si>
  <si>
    <t>Co-financiering EFRO en Interreg</t>
  </si>
  <si>
    <t>Innovatiefonds: risicokapitaal Seed</t>
  </si>
  <si>
    <t>MKB-Innovatiestimulering Topsectoren (MIT)</t>
  </si>
  <si>
    <t>Innovatiefonds: Fund to Fund</t>
  </si>
  <si>
    <t>Landenspecifieke sectorale samenwerking</t>
  </si>
  <si>
    <t>Thematische samenwerking</t>
  </si>
  <si>
    <t>Speciale activiteiten</t>
  </si>
  <si>
    <t>13.01.09</t>
  </si>
  <si>
    <t>Kamers van Koophandel / ondernemerspleinen</t>
  </si>
  <si>
    <t>Uitgaven voor R&amp;D en innovatie, per departement, in miljoenen euro</t>
  </si>
  <si>
    <t>A.</t>
  </si>
  <si>
    <t xml:space="preserve">B. </t>
  </si>
  <si>
    <t xml:space="preserve">C. </t>
  </si>
  <si>
    <t>Uitgaven voor R&amp;D, als % BBP</t>
  </si>
  <si>
    <t>Uitgaven voor innovatie, niet zijnde R&amp;D, als % BBP</t>
  </si>
  <si>
    <t>Totale uitgaven voor R&amp;D en innovatie, als % BBP</t>
  </si>
  <si>
    <t>Fiscale instrumenten voor R&amp;D en innovatie, als % BBP</t>
  </si>
  <si>
    <t>in procenten van het BBP</t>
  </si>
  <si>
    <t>in miljoenen euro</t>
  </si>
  <si>
    <t>Hoge Flux Reactor</t>
  </si>
  <si>
    <t>waarvan innovatierelevante R&amp;D-uitgaven, miljoenen euro</t>
  </si>
  <si>
    <t>Overzicht per departement van de R&amp;D-uitgaven, die innovatierelevant zijn</t>
  </si>
  <si>
    <t>R&amp;D-uitgaven van de overheid naar doelstelling volgens de NABS-classificatie 2007, in miljoenen euro's</t>
  </si>
  <si>
    <t>TOELICHTING</t>
  </si>
  <si>
    <t>Afdrachten CROW</t>
  </si>
  <si>
    <t xml:space="preserve">NEN </t>
  </si>
  <si>
    <t>Kennisontwikkeling (allianties) universiteiten</t>
  </si>
  <si>
    <t>98.02.18</t>
  </si>
  <si>
    <t>Meteorologie, seismologie en Aardobservatie</t>
  </si>
  <si>
    <t>1297U01020003</t>
  </si>
  <si>
    <t>Onderzoek / Kennis (KIS)</t>
  </si>
  <si>
    <t>1297U01010005</t>
  </si>
  <si>
    <t>1297U01010009</t>
  </si>
  <si>
    <t>1214U02020003</t>
  </si>
  <si>
    <t>1220u01070001</t>
  </si>
  <si>
    <t>Traffic Quest</t>
  </si>
  <si>
    <t>DF 5.01</t>
  </si>
  <si>
    <t>Topsectoren overig (NWO)</t>
  </si>
  <si>
    <t>proj.</t>
  </si>
  <si>
    <t>Regionaal investeringsfonds (pps in het mbo)</t>
  </si>
  <si>
    <t xml:space="preserve">6501U </t>
  </si>
  <si>
    <t>1217U</t>
  </si>
  <si>
    <t>1218U</t>
  </si>
  <si>
    <t>via Connekt en (onderzoeks-)projecten</t>
  </si>
  <si>
    <t>via NWO en TKI</t>
  </si>
  <si>
    <t>via STICHTING PROJECTEN BINNENVAART</t>
  </si>
  <si>
    <t>Publiek/Privaat Projectfinanciering</t>
  </si>
  <si>
    <t>19.15.05</t>
  </si>
  <si>
    <t>Innovatiefonds: ROM's</t>
  </si>
  <si>
    <t>TUD/TUE e.a.</t>
  </si>
  <si>
    <t>Per 2016 is de Research &amp; Development Aftrek (RDA) samengevoegd met de WBSO</t>
  </si>
  <si>
    <t>in procenten van het totaal</t>
  </si>
  <si>
    <t xml:space="preserve">Uitgaven van een departement voor het onderzoek dat het departement zelf verricht of laat doen door eigen onderzoeksdiensten dan wel uitbesteedt aan universiteiten, instituten of andere derden (private non profit of private partijen). Het gaat om geld dat wordt toegekend aan een groep of individu voor de uitvoering van een R&amp;D-activiteit, dat beperkt is in reikwijdte, budget en tijd, en meestal wordt uitgevoerd op basis van de indiening van een onderzoeksvoorstel dat de onderzoeksactiviteiten beschrijft. </t>
  </si>
  <si>
    <t>- haalbaarheidsonderzoeken, kwaliteitscontroles en vergelijkende onderzoeken;</t>
  </si>
  <si>
    <t>- marketing en implementatie van toepassingen.</t>
  </si>
  <si>
    <t>Transport, telecommunicatie en ov. infrastructuren</t>
  </si>
  <si>
    <t>Transport, telecommunicatie en overige infrastructuren</t>
  </si>
  <si>
    <t>Arbeidsmarkt</t>
  </si>
  <si>
    <t>Integratie en Maatschappelijke samenhang</t>
  </si>
  <si>
    <t>Bijstand, Participatiewet en Toeslagenwet</t>
  </si>
  <si>
    <t>Kwaliteit en veiligheid: Zorg voor innoveren</t>
  </si>
  <si>
    <t>U/R/SO/O</t>
  </si>
  <si>
    <t>12.10</t>
  </si>
  <si>
    <t>Small Business Innovation Research</t>
  </si>
  <si>
    <t>Art. 1</t>
  </si>
  <si>
    <t>Art. 2</t>
  </si>
  <si>
    <t>Art. 3</t>
  </si>
  <si>
    <t>Bedrijvenbeleid: innovatief en duurzaam ondernemen</t>
  </si>
  <si>
    <t>Toekomstfonds</t>
  </si>
  <si>
    <t>U/HBO/TNO/SO/O/GTI</t>
  </si>
  <si>
    <t>12.01.07</t>
  </si>
  <si>
    <t>Art.4</t>
  </si>
  <si>
    <t>14.01</t>
  </si>
  <si>
    <t>14.06</t>
  </si>
  <si>
    <t>14.10</t>
  </si>
  <si>
    <t>14.08</t>
  </si>
  <si>
    <t>Div.</t>
  </si>
  <si>
    <t>Art. 6</t>
  </si>
  <si>
    <t>16.06</t>
  </si>
  <si>
    <t>13.4</t>
  </si>
  <si>
    <t>16.40</t>
  </si>
  <si>
    <t>Opdrachtverlening via RIVM</t>
  </si>
  <si>
    <t>11.06</t>
  </si>
  <si>
    <t>11.08</t>
  </si>
  <si>
    <t>%</t>
  </si>
  <si>
    <t>KIRE (CPB)</t>
  </si>
  <si>
    <t>Veiligheid en mobiliteit Universiteit Utrecht Rijvaardiheid cat III medicijnen</t>
  </si>
  <si>
    <t>1214U02010001</t>
  </si>
  <si>
    <t>1219U02010001</t>
  </si>
  <si>
    <t>Aandeel Kennisvragen in opdracht - RIVM</t>
  </si>
  <si>
    <t>Onderzoek / Kennis (KiM)</t>
  </si>
  <si>
    <t>KIS</t>
  </si>
  <si>
    <t>DF 07</t>
  </si>
  <si>
    <t>Bron: TWIN-database Rathenau Instituut</t>
  </si>
  <si>
    <t>VO: CITO (digitale examens)</t>
  </si>
  <si>
    <t>VO: CvTE (digitale examens)</t>
  </si>
  <si>
    <t>VO: DUO (FACET)</t>
  </si>
  <si>
    <t>PO: Doorbraak ICT: PO-Raad</t>
  </si>
  <si>
    <t>PO: Onderwijs 2032</t>
  </si>
  <si>
    <t>PO: Kennisrotonde - NRO</t>
  </si>
  <si>
    <t>PO: Evaluatie tweetalig PO - ITS</t>
  </si>
  <si>
    <t xml:space="preserve">HO: Subsidieregeling open en online onderwijs </t>
  </si>
  <si>
    <t>NWO: Praktijkgericht onderzoek hbo</t>
  </si>
  <si>
    <t>Nationaal Archief tbv Archief Innovatie</t>
  </si>
  <si>
    <t>Stimuleringsfonds voor de Journalistiek</t>
  </si>
  <si>
    <t>Naturalis - Biodiversity center</t>
  </si>
  <si>
    <t>TNO/GTI/DGI</t>
  </si>
  <si>
    <t xml:space="preserve">Caribisch Nederland </t>
  </si>
  <si>
    <t>12 div.</t>
  </si>
  <si>
    <t>NWO Talentenontwikkeling (o.a. VI)</t>
  </si>
  <si>
    <t>- waarvan (relevante) uitgaven voor innovatie</t>
  </si>
  <si>
    <t>- (relevante) uitgaven voor innovatie</t>
  </si>
  <si>
    <t>6/7</t>
  </si>
  <si>
    <t>Fiscale instrumenten voor R&amp;D</t>
  </si>
  <si>
    <t>% R&amp;D van (sub)-artikel</t>
  </si>
  <si>
    <t>Aandeel innovatie in % van (sub-)artikel</t>
  </si>
  <si>
    <t>% R&amp;D van (sub-)artikel</t>
  </si>
  <si>
    <t>33.3</t>
  </si>
  <si>
    <t>Ziektepreventie (vaccinonderzoek RIVM en InTraVacc)</t>
  </si>
  <si>
    <t>XI Infrastructuur en Waterstaat</t>
  </si>
  <si>
    <t>TOTAAL INFRASTRUCTUUR EN WATERSTAAT</t>
  </si>
  <si>
    <t>1214u</t>
  </si>
  <si>
    <t>Talking Traffic</t>
  </si>
  <si>
    <t>ITS uitgaven Beter Benutten</t>
  </si>
  <si>
    <t>ontwikkeling software</t>
  </si>
  <si>
    <t>publiek projectfinanciering</t>
  </si>
  <si>
    <t>TNO/RIVM</t>
  </si>
  <si>
    <t>Netspar</t>
  </si>
  <si>
    <t>DF 65.05.01</t>
  </si>
  <si>
    <t>Kennisontwikkeling (allianties) universiteiten (HWS)</t>
  </si>
  <si>
    <t>Eurostars: Eurostars</t>
  </si>
  <si>
    <t>Topsectoren overig (phase 2)</t>
  </si>
  <si>
    <t>Topsectoren overig (innovatieprogramma life sciences and health)</t>
  </si>
  <si>
    <t>Topsectoren overig (BE basic)</t>
  </si>
  <si>
    <t>U/O/TNO</t>
  </si>
  <si>
    <t>12.10.05</t>
  </si>
  <si>
    <t>Innovatiefonds: vroege fase / informal investors: RVO</t>
  </si>
  <si>
    <t>Innovatiefonds: vroege fase / informal investors: STW</t>
  </si>
  <si>
    <t>12.01.08</t>
  </si>
  <si>
    <t>Innovatiefonds: vroege fase / informal investors: haalbaarheidsstudies STW</t>
  </si>
  <si>
    <t>Energie-innovatie (IA) - O: meerjarenafspraken energie (MJA-E)</t>
  </si>
  <si>
    <t>Energie-innovatie (IA) - O: duurzaamheid energiebesparing UKR</t>
  </si>
  <si>
    <t>Overige subsidies: transitiemanagement</t>
  </si>
  <si>
    <t>15.08</t>
  </si>
  <si>
    <t>16.01</t>
  </si>
  <si>
    <t>Duurzame veehouderij: projecten intensieve veehouderij (UDV)</t>
  </si>
  <si>
    <t>Plantaardige productie: Energie efficientie en hernieuwbare energie glastuinbouw (EHG)</t>
  </si>
  <si>
    <t>Plantaardige productie: MEI</t>
  </si>
  <si>
    <t>Plantaardige productie: FES innovatieprogramma energie</t>
  </si>
  <si>
    <t>Dierenwelzijn: project dierenwelzijn landbouwhuisd.</t>
  </si>
  <si>
    <t>Kennisbasis: kennisbasis</t>
  </si>
  <si>
    <t>Kennisbasis: autonome bijdragen</t>
  </si>
  <si>
    <t>Onderzoeksprogrammering</t>
  </si>
  <si>
    <t>Bijdrage aan ZonMw voor dierproeven</t>
  </si>
  <si>
    <t>Agrokennis: onderzoeksprojecten</t>
  </si>
  <si>
    <t>Agrokennis: innovatieprojecten</t>
  </si>
  <si>
    <t>Agrokennis: basisfinanciering overige kennisinstellingen</t>
  </si>
  <si>
    <t>Agrokennis: vernieuwen onderzoeksinfrastructuur</t>
  </si>
  <si>
    <t>Agrokennis: RVO vernieuwen onderzoeksinfrastructuur</t>
  </si>
  <si>
    <t>Agrokennis: ontwikkelen kennisbeleid</t>
  </si>
  <si>
    <t>Agrokennis: innovatienetwerk kpl. 290100</t>
  </si>
  <si>
    <t>Koninklijke Bibliotheek (hoofdbekostiging, zie ook art. 14)</t>
  </si>
  <si>
    <t>VO: Kennisrotonde</t>
  </si>
  <si>
    <t>Creatieve industrie</t>
  </si>
  <si>
    <t>Stimuleringsfonds creatieve industrie</t>
  </si>
  <si>
    <t>4,5,6,7,8,10</t>
  </si>
  <si>
    <t>4,5,6,7</t>
  </si>
  <si>
    <t>Afdrachtsvermindering speur- en ontwikkelingswerk WBSO (incl. RDA)</t>
  </si>
  <si>
    <t>De innovatiebox wordt niet meegenomen in de TWIN-tabellen, voornamelijk omdat het een ander type regeling is dan bijvoorbeeld de WBSO.</t>
  </si>
  <si>
    <t>Waar het bij de WBSO gaat om belastingvoordelen over uitgaven aan R&amp;D en innovatie, gaat het bij de innovatiebox om een lager belastingtarief</t>
  </si>
  <si>
    <t>Justitie en Veiligheid</t>
  </si>
  <si>
    <t>Infrastructuur en Waterstaat</t>
  </si>
  <si>
    <t>Economische Zaken en Klimaat</t>
  </si>
  <si>
    <t>JenV</t>
  </si>
  <si>
    <t>I&amp;W</t>
  </si>
  <si>
    <t>EZK</t>
  </si>
  <si>
    <t>VI Justitie en Veiligheid</t>
  </si>
  <si>
    <t>XIII Economische Zaken en Klimaat</t>
  </si>
  <si>
    <t>TOTAAL ECONOMISCHE ZAKEN EN KLIMAAT</t>
  </si>
  <si>
    <t xml:space="preserve">Justitie en Veiligheid </t>
  </si>
  <si>
    <t>Ministerie van Economische Zaken en Klimaat</t>
  </si>
  <si>
    <t xml:space="preserve">- De cijfers van EZK zijn vanaf 2011 inclusief de bijdragen van de ministeries van OCW, I&amp;M, SZW en VWS voor de vraagfinanciering TNO. </t>
  </si>
  <si>
    <t xml:space="preserve">activiteiten (technologisch, organisatorisch, commercieel) die primair gericht zijn op en de intentie hebben om vernieuwing </t>
  </si>
  <si>
    <t>in zowel de private als de publieke sector tot stand te brengen, leidend tot:</t>
  </si>
  <si>
    <t>Het gaat om afgebakende overheidsinitiatieven of -interventies waar uit het doel duidelijk blijkt dat ze innovatie of</t>
  </si>
  <si>
    <t>innovatiegerelateerde activiteiten bevorderen in de betreffende sector.</t>
  </si>
  <si>
    <t xml:space="preserve">Onderzoek (en ontwikkeling) omvat systematisch verrichte, creatieve activiteiten, gebaseerd op wetenschappelijke methoden en </t>
  </si>
  <si>
    <t>gericht op het vergroten van wetenschappelijke kennis en op het ontwikkelen van toepassingen van die kennis.</t>
  </si>
  <si>
    <t>Absolute bedragen innovatierelevant</t>
  </si>
  <si>
    <t>Onderzoek uit algemene universitaire fondsen</t>
  </si>
  <si>
    <t>Eventuele toelichting</t>
  </si>
  <si>
    <t>Totaal fiscale instrumenten</t>
  </si>
  <si>
    <r>
      <t xml:space="preserve">Naast de fiscale R&amp;D en innovatieregelingen WBSO en de RDA is er de </t>
    </r>
    <r>
      <rPr>
        <u/>
        <sz val="11"/>
        <color theme="1"/>
        <rFont val="Calibri"/>
        <family val="2"/>
        <scheme val="minor"/>
      </rPr>
      <t>Innovatiebox</t>
    </r>
    <r>
      <rPr>
        <sz val="11"/>
        <color theme="1"/>
        <rFont val="Calibri"/>
        <family val="2"/>
        <scheme val="minor"/>
      </rPr>
      <t xml:space="preserve">. </t>
    </r>
  </si>
  <si>
    <t>In de internationale statistieken worden de met de innovatiebox vergelijkbare "patent boxes" om die reden ook niet meegenomen bij de fiscale steun voor</t>
  </si>
  <si>
    <t>R&amp;D en innovatie (zie OECD Frascati Manual 2015, blz. 346). Het toekomstig budgettair belang en het daarmee samenhangende gebruik van de WBSO is niet</t>
  </si>
  <si>
    <t>beperkt tot een bepaald budget, zodat het kan meelopen met economische ontwikkelingen. Bij de introductie van de innovatiebox werd de jaarlijkse derving</t>
  </si>
  <si>
    <t>voor de structurele situatie geraamd op €625 miljoen. Tussen 2013 en 2014 liep het bedrag verder op van €883 mln. naar €1.081 mln. Voor 2016 is het budgettair</t>
  </si>
  <si>
    <r>
      <t xml:space="preserve">over </t>
    </r>
    <r>
      <rPr>
        <u/>
        <sz val="11"/>
        <color theme="1"/>
        <rFont val="Calibri"/>
        <family val="2"/>
        <scheme val="minor"/>
      </rPr>
      <t>winst</t>
    </r>
    <r>
      <rPr>
        <sz val="11"/>
        <color theme="1"/>
        <rFont val="Calibri"/>
        <family val="2"/>
        <scheme val="minor"/>
      </rPr>
      <t xml:space="preserve"> die voortkomt uit R&amp;D- of innovatieactiviteiten die bedrijven in het verleden hebben ondernomen.</t>
    </r>
  </si>
  <si>
    <t>Contractonderzoek en kennistoepassing</t>
  </si>
  <si>
    <t>Technologie en kennistoepassing</t>
  </si>
  <si>
    <t>UO604</t>
  </si>
  <si>
    <t>Overig wetenschappelijk</t>
  </si>
  <si>
    <t>R/SO</t>
  </si>
  <si>
    <t>Vernieuwing bouw (exclusief bouwcampus)</t>
  </si>
  <si>
    <t>1297U0101</t>
  </si>
  <si>
    <t>1217U01020004</t>
  </si>
  <si>
    <t>HWS - Waterkwaliteit (studiekosten &amp; overleg aanleg projecten</t>
  </si>
  <si>
    <t>1219u</t>
  </si>
  <si>
    <t>1.4.1</t>
  </si>
  <si>
    <t>Ethiek</t>
  </si>
  <si>
    <t>6.4</t>
  </si>
  <si>
    <t>Sport verenigt Nederland</t>
  </si>
  <si>
    <t>1.1</t>
  </si>
  <si>
    <t>Nationaal programma preventie</t>
  </si>
  <si>
    <t>9.1</t>
  </si>
  <si>
    <t>Internationale samenwerking: IHTSDO (SNOMED CT)</t>
  </si>
  <si>
    <t>Versterking aanpak cybersecurity</t>
  </si>
  <si>
    <t>Overig: bijdrage aan NML</t>
  </si>
  <si>
    <t>Overig: innovatieve onderzoeksprogramma's</t>
  </si>
  <si>
    <t>Overig: bijdrage aan overige instituten</t>
  </si>
  <si>
    <t>U02</t>
  </si>
  <si>
    <t>Cyber KI</t>
  </si>
  <si>
    <t>4,5,6,7,8,14</t>
  </si>
  <si>
    <t xml:space="preserve">U/NWO/TNO/SO/O </t>
  </si>
  <si>
    <t>Innovatiefonds: Investeringen in fundamenteel en toegepast onderzoek (met vermogensbehoud)</t>
  </si>
  <si>
    <t>landbouw</t>
  </si>
  <si>
    <t>Agrokennis: Onderzoeksprojecten RVO</t>
  </si>
  <si>
    <t>Onderzoekscomponent hogescholen (HBO Bekostiging Deel ontwerp en ontwikkeling)(incl. groen)</t>
  </si>
  <si>
    <t xml:space="preserve"> belang van de Innovatiebox uitgekomen op €1.368 miljoen, hoger dan in 2015 (€1.264)  wegens een grondslagstijging dankzij de economische groei. </t>
  </si>
  <si>
    <t xml:space="preserve">Sub-totaal Groen beleggen / MIA / VAMIL </t>
  </si>
  <si>
    <t>Groen beleggen Mia/Vamil (uitvoering)</t>
  </si>
  <si>
    <t>- De cijfers van OCW zijn wat betreft het onderzoeksgedeelte van de eerste geldstroom van de universiteiten inclusief de bijdrage</t>
  </si>
  <si>
    <t>aan het onderzoeksgedeelte van de Wageningen Universiteit.</t>
  </si>
  <si>
    <t>Universiteiten (incl. WUR)</t>
  </si>
  <si>
    <t xml:space="preserve">De raming van het budgettaire belang in 2017 is € 133 miljoen naar beneden bijgesteld ten opzichte van de Miljoenennota 2018. </t>
  </si>
  <si>
    <t xml:space="preserve">Dit komt door verwerking van de meest recente realisaties en een aanpassing in de ramingsmethode. </t>
  </si>
  <si>
    <t xml:space="preserve">Op basis van realisaties uit 2015 is het percentage van de innovatiebox ten opzichte van de VPB-opbrengsten naar beneden bijgesteld. </t>
  </si>
  <si>
    <t xml:space="preserve">Dit verklaart € 89 miljoen van de neerwaartse bijstelling in 2017. </t>
  </si>
  <si>
    <t xml:space="preserve">Daarnaast wordt in de raming een correctie gedaan voor uit het buitenland ontvangen royalty’s, die weliswaar in de Nederlandse innovatiebox belast worden, </t>
  </si>
  <si>
    <t xml:space="preserve">maar waarop in verband met verdragen of het besluit voorkoming dubbele belasting, buitenlandse bronbelasting in Nederland verrekend kan worden. </t>
  </si>
  <si>
    <t xml:space="preserve">Voor deze royalty-ontvangsten wordt met een lager voordeel gerekend, omdat een deel al in het buitenland is belast. </t>
  </si>
  <si>
    <t>Het gaat om ongeveer 5,5% van de grondslag van de innovatiebox. Deze correctie verklaart de overige € 44 miljoen van de neerwaartse bijstelling in 2017.</t>
  </si>
  <si>
    <t>Beleidsmatig is de tariefsverhoging van 5% naar 7% verwerkt vanaf 2018.</t>
  </si>
  <si>
    <t xml:space="preserve"> In 2019 is de tariefsverlaging in de VPB verwerkt. Hierdoor komt het innovatieboxvoordeel lager uit.</t>
  </si>
  <si>
    <t>Cijfers WBSO en RDA gebaseerd op:</t>
  </si>
  <si>
    <t>Bronnen:</t>
  </si>
  <si>
    <t>Notities:</t>
  </si>
  <si>
    <t>Afkortingen:</t>
  </si>
  <si>
    <t>% innovatie van (sub)-artikel</t>
  </si>
  <si>
    <t>XIV Landbouw, Natuur en Voedselkwaliteit</t>
  </si>
  <si>
    <t>TOTAAL LANDBOUW, NATUUR en VOEDSELKWALITEIT</t>
  </si>
  <si>
    <t>Landbouw, Natuur en Voedselkwaliteit</t>
  </si>
  <si>
    <t>TOTAAL LANDBOUW, NATUUR EN VOEDSELKWALITEIT</t>
  </si>
  <si>
    <t>NWO NWA</t>
  </si>
  <si>
    <t>Landbouw, natuur en voedselkwaliteit</t>
  </si>
  <si>
    <t>LNV</t>
  </si>
  <si>
    <t>- waarvan alleen voor innovatie: MIA/VAMIL/Groen beleggen</t>
  </si>
  <si>
    <t>Uitgevoerd door eigen diensten/kenniscentra (WODC)</t>
  </si>
  <si>
    <t>uitgevoerd door universiteiten</t>
  </si>
  <si>
    <t>uitgevoerd door onderzoeksinstituten</t>
  </si>
  <si>
    <t>Programmafinanciering MARIN</t>
  </si>
  <si>
    <t>Dierenwelzijn: dierproeven (opdrachten)</t>
  </si>
  <si>
    <t>16.02</t>
  </si>
  <si>
    <t>Innovatieprogramma visserij</t>
  </si>
  <si>
    <t>Europees fonds voor maritieme zaken en visserij</t>
  </si>
  <si>
    <t>Kwaliteit, transparantie en kennisontwikkeling (ZonMw: programmering)</t>
  </si>
  <si>
    <t>Kwaliteit, transparantie en kennisontwikkeling (NIVEL)</t>
  </si>
  <si>
    <t>Basisfinanciering CUR</t>
  </si>
  <si>
    <t>Programma Planbureau Leefomgeving (PBL)</t>
  </si>
  <si>
    <t>Studiekosten zoetwatervoorziening</t>
  </si>
  <si>
    <t>Studiekosten waterveiligheid</t>
  </si>
  <si>
    <t>Ruimtegebruik bodem</t>
  </si>
  <si>
    <t>1213U0401</t>
  </si>
  <si>
    <t>Deltares</t>
  </si>
  <si>
    <t>6501u0301</t>
  </si>
  <si>
    <t>6502u0301</t>
  </si>
  <si>
    <t>RWS Corporate innovatie (HWV, HWVN)</t>
  </si>
  <si>
    <t>RWS Corporate innovatie (HWS Waterinnovatie)</t>
  </si>
  <si>
    <t>6507U0301</t>
  </si>
  <si>
    <t>Studiekosten waterkwaliteit</t>
  </si>
  <si>
    <t>030070-U01</t>
  </si>
  <si>
    <t>Economische ontwikkeling en technologie</t>
  </si>
  <si>
    <t>U/O</t>
  </si>
  <si>
    <t>UO2</t>
  </si>
  <si>
    <t>Verduurzaming industrie KD</t>
  </si>
  <si>
    <t xml:space="preserve">Verduurzaming industrie  </t>
  </si>
  <si>
    <t>2, 6</t>
  </si>
  <si>
    <t>U19.10</t>
  </si>
  <si>
    <t>Thematische technology transfer (subsidiedeel)</t>
  </si>
  <si>
    <t>2, 6, 7</t>
  </si>
  <si>
    <t>U/UMC/TNO</t>
  </si>
  <si>
    <t>PO: DUO (FACET)</t>
  </si>
  <si>
    <t>VO: Onderwijs 2032 (curriculum</t>
  </si>
  <si>
    <t>VO: Kennisnet (Externe connectiviteit)</t>
  </si>
  <si>
    <t>structurele subsidie en aanvullende projectsubsidies</t>
  </si>
  <si>
    <t>Koninklijke bibliotheek</t>
  </si>
  <si>
    <t>innovatie KB is opgenomen op overzicht onderzoeksuitgaven (maakt deel uit van structureel budget aan KB)</t>
  </si>
  <si>
    <t>% van totaal</t>
  </si>
  <si>
    <t>Ontwikkeling in %</t>
  </si>
  <si>
    <t>Buitenlandse Zaken</t>
  </si>
  <si>
    <t>Binnenlandse Zaken</t>
  </si>
  <si>
    <t>Ministerie</t>
  </si>
  <si>
    <t>Topsectoren overig (Innovatieprogramma's algemeen)</t>
  </si>
  <si>
    <t>TKI-toeslag: NABS 1</t>
  </si>
  <si>
    <t>TKI-toeslag: NABS 4</t>
  </si>
  <si>
    <t>TKI-toeslag: NABS 5</t>
  </si>
  <si>
    <t>TKI-toeslag: NABS 6</t>
  </si>
  <si>
    <t>TKI-toeslag: NABS 7</t>
  </si>
  <si>
    <t>TKI-toeslag: NABS 8</t>
  </si>
  <si>
    <t>13.6</t>
  </si>
  <si>
    <t>12.1</t>
  </si>
  <si>
    <t>12.2</t>
  </si>
  <si>
    <t>12.4</t>
  </si>
  <si>
    <t>12.5</t>
  </si>
  <si>
    <t>12.6</t>
  </si>
  <si>
    <t>Row Labels</t>
  </si>
  <si>
    <t>Grand Total</t>
  </si>
  <si>
    <t>Column Labels</t>
  </si>
  <si>
    <t>Sum of 2024</t>
  </si>
  <si>
    <t>VAMIL daalt tussen 2017 en 2018  vanwege budget verlaging</t>
  </si>
  <si>
    <t xml:space="preserve">MIA stijgt tussen 2017 en 2018 vanwege budgetverhoging en in 2020 een eenmalige verhoging </t>
  </si>
  <si>
    <t>€ Mln.</t>
  </si>
  <si>
    <t>Voorlopig</t>
  </si>
  <si>
    <t>Begroting</t>
  </si>
  <si>
    <r>
      <t>Ministerie van Financi</t>
    </r>
    <r>
      <rPr>
        <b/>
        <i/>
        <sz val="10"/>
        <color theme="1"/>
        <rFont val="Arial"/>
        <family val="2"/>
      </rPr>
      <t>ё</t>
    </r>
    <r>
      <rPr>
        <b/>
        <i/>
        <sz val="11"/>
        <color theme="1"/>
        <rFont val="Calibri"/>
        <family val="2"/>
        <scheme val="minor"/>
      </rPr>
      <t>n</t>
    </r>
  </si>
  <si>
    <t>Innovatiebox*</t>
  </si>
  <si>
    <t>-</t>
  </si>
  <si>
    <t xml:space="preserve">Bron: Rijksoverheid, Bijlagen bij de Miljoenennota 2018 en 2019 en Dialogic, Evaluatiebox 2010-2012. </t>
  </si>
  <si>
    <t>Alleen voor innovatie:</t>
  </si>
  <si>
    <t>Hier niet mee werken</t>
  </si>
  <si>
    <t>1-2</t>
  </si>
  <si>
    <t>Eenheid van het algemeen regeringsbeleid</t>
  </si>
  <si>
    <t>H7: artikel 3.1, 4.1 en 4.2</t>
  </si>
  <si>
    <t>Woningmarkt/Energietransitie en duurzaamheid/Bouwregelgeving en bouwkwaliteit</t>
  </si>
  <si>
    <t>1,3,5</t>
  </si>
  <si>
    <t>U0945</t>
  </si>
  <si>
    <t>Programmafinanciering NLR</t>
  </si>
  <si>
    <t>Nederlands Forensisch Instituut (opsporing en vervolging)</t>
  </si>
  <si>
    <t>Kwaliteit, toegankelijkheid en betaalbaarheid van de zorg (NKI)</t>
  </si>
  <si>
    <t>ZonMW: (topsectoren)</t>
  </si>
  <si>
    <t>Subsidies hybride vliegen en klimaatbeleid</t>
  </si>
  <si>
    <t>Cijfers MIA/VAMIL/Groen beleggen o.b.v Budgettair belang 2019-2021 in:</t>
  </si>
  <si>
    <t>Bron: bedrijvenbeleid in beeld (want in Miljoenennota 2020 staat fout volgens Piet Donselaar, EZ)</t>
  </si>
  <si>
    <t xml:space="preserve">PO: Adaptieve eindtoets - CITO </t>
  </si>
  <si>
    <t>PO: Adaptieve eindtoets - CvE</t>
  </si>
  <si>
    <t>VO: Verschillende universiteiten</t>
  </si>
  <si>
    <t>Kennis en innovatie ICT</t>
  </si>
  <si>
    <t xml:space="preserve">O/U </t>
  </si>
  <si>
    <t>Just Transition Fund</t>
  </si>
  <si>
    <t xml:space="preserve">064060-U02 </t>
  </si>
  <si>
    <t>Regmed XB</t>
  </si>
  <si>
    <t>O, UMC</t>
  </si>
  <si>
    <t>04 EU-cofinanciering Digital Europe</t>
  </si>
  <si>
    <t>Hyperloop</t>
  </si>
  <si>
    <t>Europees Defensie Fonds cofinanciering</t>
  </si>
  <si>
    <t>O, TNO, GTI</t>
  </si>
  <si>
    <t>1,2,3,4,5,6,7,8,9,10,12,13,14</t>
  </si>
  <si>
    <t>7, 9, 12, 13</t>
  </si>
  <si>
    <t>U/UMC/NWO/KNAW/R/SO</t>
  </si>
  <si>
    <t>UMC/O</t>
  </si>
  <si>
    <t>Nationale cofinanciering EU Innovation Fund</t>
  </si>
  <si>
    <t>Onderzoek &amp; opdrachten: Onderzoeksprojecten K&amp;E</t>
  </si>
  <si>
    <t>XVII Nationaal groeifonds</t>
  </si>
  <si>
    <t>Mogelijk alle</t>
  </si>
  <si>
    <t>Alle</t>
  </si>
  <si>
    <t xml:space="preserve">Proj. </t>
  </si>
  <si>
    <t>TOTAAL NATIONAAL GROEIFONDS</t>
  </si>
  <si>
    <t>Nationaal groeifonds</t>
  </si>
  <si>
    <t>Groeifonds</t>
  </si>
  <si>
    <t>Nationaal Groeifonds</t>
  </si>
  <si>
    <t>Aftrek speur- en ontwikkelingswerk</t>
  </si>
  <si>
    <t>Opdrachten KDC</t>
  </si>
  <si>
    <t>topsector logistiek - opdrachten</t>
  </si>
  <si>
    <t>topsector logistiek - subsidies</t>
  </si>
  <si>
    <t>J&amp;V</t>
  </si>
  <si>
    <t>NWO FOM-instituten</t>
  </si>
  <si>
    <t>NWO Ruimte-onderzoek (SRON)</t>
  </si>
  <si>
    <t>NWO Sterrenkundig onderzoek (ASTRON)</t>
  </si>
  <si>
    <t>NWO Zee-onderzoek (NIOZ/SOZ)</t>
  </si>
  <si>
    <t>NWO Rechtswetenschappen (NSCR)</t>
  </si>
  <si>
    <t>NWO natuurwetenschappen</t>
  </si>
  <si>
    <t>NWO technische wetenschappen</t>
  </si>
  <si>
    <t>NWO medische wetenschappen</t>
  </si>
  <si>
    <t>NWO sociale wetenschappen</t>
  </si>
  <si>
    <t>NWO geesteswetenschappen</t>
  </si>
  <si>
    <t>NWO VI Exacte en Natuurwetenschappen</t>
  </si>
  <si>
    <t>NWO VI Technische wetenschappen</t>
  </si>
  <si>
    <t>NWO VI Medische wetenschappen</t>
  </si>
  <si>
    <t>NWO VI Sociale wetenschappen</t>
  </si>
  <si>
    <t>NWO VI Geesteswetenschappen</t>
  </si>
  <si>
    <t>13.0</t>
  </si>
  <si>
    <t>COVID-aanvulling</t>
  </si>
  <si>
    <t>5 en 17</t>
  </si>
  <si>
    <t>11.55</t>
  </si>
  <si>
    <t>Klimaatvriendelijke veehouderij</t>
  </si>
  <si>
    <t>11.05</t>
  </si>
  <si>
    <t>Subsidieregeling brongerichte aanpak emissies (klimaat)</t>
  </si>
  <si>
    <t>Regeling brongerichte verduurz. Stallen varkenshouderij</t>
  </si>
  <si>
    <t>Regeling brongerichte verduurz. Stallen pluimveehouderij</t>
  </si>
  <si>
    <t>Regeling brongerichte verduurz. Stallen melkgeitenhouderij</t>
  </si>
  <si>
    <t>TO2</t>
  </si>
  <si>
    <t>Samenleving en integratie</t>
  </si>
  <si>
    <t>Kinderopvang</t>
  </si>
  <si>
    <t>Bijstand, Participatie en Toeslagenwet</t>
  </si>
  <si>
    <t>4.1</t>
  </si>
  <si>
    <t>Onderzoek &amp; opdrachten</t>
  </si>
  <si>
    <t>Beleidsvoorbereiding en evaluaties Veiligheid en Frequenties</t>
  </si>
  <si>
    <t>U/NWO/TNO/SO/O</t>
  </si>
  <si>
    <t>Bijdrage Metrologie</t>
  </si>
  <si>
    <t>U12,10</t>
  </si>
  <si>
    <t>Lucht- en Ruimtevaart</t>
  </si>
  <si>
    <t>3, 6</t>
  </si>
  <si>
    <t>IO/O</t>
  </si>
  <si>
    <t>Topsectoren overig bijdrage NWO-TTW</t>
  </si>
  <si>
    <t>Topsectoren overig: Wetsus</t>
  </si>
  <si>
    <t>Topsectoren overig (Holst centrum)</t>
  </si>
  <si>
    <t>Ruimtevaart (ESA)</t>
  </si>
  <si>
    <t>Onderzoek</t>
  </si>
  <si>
    <t>6,7,5,8</t>
  </si>
  <si>
    <t>Infrastructuur duurzame industrie (PIDI)</t>
  </si>
  <si>
    <t>2,5,6</t>
  </si>
  <si>
    <t>Verduurzaming industrie</t>
  </si>
  <si>
    <t>5, 6</t>
  </si>
  <si>
    <t>R&amp;D mobiliteitssectoren</t>
  </si>
  <si>
    <t>4,5,6</t>
  </si>
  <si>
    <t>U/HBO/O/TO2</t>
  </si>
  <si>
    <t>Overig: Topsector High Tech Vliegtuigindustie</t>
  </si>
  <si>
    <t>Innovatiefonds: Innovatiekredieten</t>
  </si>
  <si>
    <t>Oncode institute</t>
  </si>
  <si>
    <t>Smart industry</t>
  </si>
  <si>
    <t>09 Dutch Future Fund</t>
  </si>
  <si>
    <t>Dutch Future Fund</t>
  </si>
  <si>
    <t>10 Deep Tech Fund</t>
  </si>
  <si>
    <t>11 Fonds Alternatieve Financiering</t>
  </si>
  <si>
    <t>Deep Tech Fund</t>
  </si>
  <si>
    <t>Fonds Alternatieve Financiering</t>
  </si>
  <si>
    <t>Topsectoren energie: RVO</t>
  </si>
  <si>
    <t>Energie-Akkoord SER: RVO</t>
  </si>
  <si>
    <t>O/IO</t>
  </si>
  <si>
    <t>O&amp;O bodembeheer</t>
  </si>
  <si>
    <t>Onderwijsonderzoek</t>
  </si>
  <si>
    <t>div.</t>
  </si>
  <si>
    <t>U/HBO/NWO/SO</t>
  </si>
  <si>
    <t>De MIA/VAMIL wordt tijdelijk verhoogd met € 30 miljoen voor drie jaren 2022-2024.</t>
  </si>
  <si>
    <t>MIA/VAMIL</t>
  </si>
  <si>
    <t>Uitbreiding MIA/VAMIL</t>
  </si>
  <si>
    <t>Bron Bijlagen bij de Miljoenennota 2022</t>
  </si>
  <si>
    <t>In 2017 is het bedrag voor de Innovatiebox €1.581 mln., in 2018 €1.646 mln. en in 2019 €1.597 mln en in 2020 €1636.</t>
  </si>
  <si>
    <t>In 2021 en 2022 is het geraamd op € 1410 mln. En € 1433 mln.</t>
  </si>
  <si>
    <t>NGF - project AINed</t>
  </si>
  <si>
    <t>9, 13</t>
  </si>
  <si>
    <t>NGF-project Groenvermogen</t>
  </si>
  <si>
    <t>NGF-project Health RI</t>
  </si>
  <si>
    <t>NGF-project Regmed</t>
  </si>
  <si>
    <t>NGF-project Quantum</t>
  </si>
  <si>
    <t>5,6,9,13</t>
  </si>
  <si>
    <t>4,7,13</t>
  </si>
  <si>
    <t>4,9,13</t>
  </si>
  <si>
    <t>U/UMC/O</t>
  </si>
  <si>
    <t>U/HBO/TO2/O</t>
  </si>
  <si>
    <t>Artikel 2 R&amp;D en innovatie subsidies onverdeeld</t>
  </si>
  <si>
    <t>NGF-project AiNed voorwaardelijke toekenning</t>
  </si>
  <si>
    <t>NGF-project QuantumDeltaNL, voorwaardelijke toekenning</t>
  </si>
  <si>
    <t>NGF-project Regmed voorwaardelijke toekenning</t>
  </si>
  <si>
    <t>U, HBO, O, TO2</t>
  </si>
  <si>
    <t>U, UMC, O</t>
  </si>
  <si>
    <t>Subsidies ASA</t>
  </si>
  <si>
    <t>1211U</t>
  </si>
  <si>
    <t>Totaal integraal waterbeleid</t>
  </si>
  <si>
    <t>Deltares/WUR/U/KNMI/IO</t>
  </si>
  <si>
    <t>subsidie electrisch varen</t>
  </si>
  <si>
    <t>Integraal Waterbeheer</t>
  </si>
  <si>
    <t>12.23U.01</t>
  </si>
  <si>
    <t>Ontwikkeling Early Warning Centre en implementatie Innovatie strategie</t>
  </si>
  <si>
    <t>Duurzame Visserij: projecten visserij</t>
  </si>
  <si>
    <t>Duurzame Visserij: Noordzeeakkoord (KD)</t>
  </si>
  <si>
    <t>U22</t>
  </si>
  <si>
    <t xml:space="preserve">Bijdrage TNO bodembeheer projectfinanciering </t>
  </si>
  <si>
    <t>NGF</t>
  </si>
  <si>
    <t>NWO CWI</t>
  </si>
  <si>
    <t>NWO NWA natuurwetenschappen</t>
  </si>
  <si>
    <t>NWO NWA technische wetenschappen</t>
  </si>
  <si>
    <t>NWO NWA medische wetenschappen</t>
  </si>
  <si>
    <t>NWO NWA sociale wetenschappen</t>
  </si>
  <si>
    <t>NWO NWA geesteswetenschappen</t>
  </si>
  <si>
    <t>Rijlabels</t>
  </si>
  <si>
    <t>Som van 2020</t>
  </si>
  <si>
    <t>Som van 2021</t>
  </si>
  <si>
    <t>Som van 2022</t>
  </si>
  <si>
    <t>Som van 2023</t>
  </si>
  <si>
    <t>Som van 2024</t>
  </si>
  <si>
    <t>Som van 2025</t>
  </si>
  <si>
    <t>Som van 2026</t>
  </si>
  <si>
    <t>Wetenschappelijk HO - natuurwetenschappen</t>
  </si>
  <si>
    <t>Wetenschappelijk HO - technische wetenschappen</t>
  </si>
  <si>
    <t>Wetenschappelijk HO - medische wetenschappen (incl. umc)</t>
  </si>
  <si>
    <t>Wetenschappelijk HO - landbouwwetenschappen</t>
  </si>
  <si>
    <t>Wetenschappelijk HO - sociale wetenschappen</t>
  </si>
  <si>
    <t>Wetenschappelijk HO - geesteswetenschappen</t>
  </si>
  <si>
    <t>landbouwwetenschappen</t>
  </si>
  <si>
    <t>Geesteswetenschappen</t>
  </si>
  <si>
    <t>Niet gebruiken voor Eurostat NABS 13</t>
  </si>
  <si>
    <t>totaal</t>
  </si>
  <si>
    <t>Programmafinanciering TNO (zie verdeling onder EZK)</t>
  </si>
  <si>
    <t>Bijdrage aan TNO NABS 1</t>
  </si>
  <si>
    <t>Bijdrage aan TNO NABS 2</t>
  </si>
  <si>
    <t>Bijdrage aan TNO NABS 3</t>
  </si>
  <si>
    <t>Bijdrage aan TNO NABS 4</t>
  </si>
  <si>
    <t>Bijdrage aan TNO NABS 5</t>
  </si>
  <si>
    <t>Bijdrage aan TNO NABS 6</t>
  </si>
  <si>
    <t>Bijdrage aan TNO NABS 7</t>
  </si>
  <si>
    <t>Bijdrage aan TNO NABS 13</t>
  </si>
  <si>
    <t>Bijdrage aan TNO NABS 14</t>
  </si>
  <si>
    <t>Bijdrage TNO bodembeheer institutionele financiering, zie hierboven bij verdeling TNO</t>
  </si>
  <si>
    <t>Bijdrage aan ECN, zie hierboven bij verdeling TNO</t>
  </si>
  <si>
    <t>SodM onderzoek TNO-AGE, zie hierboven bij verdeling TNO</t>
  </si>
  <si>
    <t>Bbp volumegroei % 2023-2026</t>
  </si>
  <si>
    <t>Dit omdat in de meerjarenraming nog niet alle loon- en prijsbijstellingen zijn opgenomen.</t>
  </si>
  <si>
    <t>Platform 31, CBS, e.a.</t>
  </si>
  <si>
    <t>Overheidsuitgaven voor R&amp;D 2021-2027, op basis van begrotingscijfers 2023, per begrotingsartikel, per departement, in miljoenen euro</t>
  </si>
  <si>
    <t>2021-2027</t>
  </si>
  <si>
    <t>PO: ICT-Kennisnet (Externe connectiviteit)</t>
  </si>
  <si>
    <t>VO: CITO/CvTE (rekentoets)</t>
  </si>
  <si>
    <t>VO: lerarenontwikkelfonds (LOF)</t>
  </si>
  <si>
    <t>Programma ontwerpend onderzoek</t>
  </si>
  <si>
    <t>Stimuleren digitale transformatie</t>
  </si>
  <si>
    <t>Ondersteunen innovatie tentoonstellingen musea</t>
  </si>
  <si>
    <t>HO: comeniusbeurs/onderwijsprijs/NRO-onderzoek</t>
  </si>
  <si>
    <t>Kwaliteitsafspraken investeringsbudget (practoraten)</t>
  </si>
  <si>
    <t>Overige subsidies</t>
  </si>
  <si>
    <t>Opdrachten</t>
  </si>
  <si>
    <t>NWO: NRO-Programma's MBO (comeniusbeurs)</t>
  </si>
  <si>
    <t>NationaalGroeiFonds: Digitale Impuls NL</t>
  </si>
  <si>
    <t>projecten, gefinancierd door artikel 14 Cultuur</t>
  </si>
  <si>
    <t>Kennisplatform Integratie en Samenleving (KIS)</t>
  </si>
  <si>
    <t>ZonMw (topsectoren)</t>
  </si>
  <si>
    <t>Programmafinanciering TNO/NLR/MARIN</t>
  </si>
  <si>
    <t>TNO/NLR/MARIN</t>
  </si>
  <si>
    <t>U0945/U0604</t>
  </si>
  <si>
    <t>Co-fin voor internat R&amp;T-projecten</t>
  </si>
  <si>
    <t xml:space="preserve">Div. </t>
  </si>
  <si>
    <t>Projecten uitgevoerd door universiteiten</t>
  </si>
  <si>
    <t>Projecten uitgevoerd door private derden</t>
  </si>
  <si>
    <t>Verduurzamen en aanpassen van de visserijsector (WOZ)</t>
  </si>
  <si>
    <t>DBE Medegebruik (WOZ)</t>
  </si>
  <si>
    <t>Versterking Noordzee ecosysteem (WOZ)</t>
  </si>
  <si>
    <t>Programmauitgaven Stikstof II</t>
  </si>
  <si>
    <t>Tegemoetkoming advieskosten PAS-melders (RVO)</t>
  </si>
  <si>
    <t>Opdrachten NPLG</t>
  </si>
  <si>
    <t>Overheidsuitgaven voor R&amp;D en innovatie, 2021-2027, in miljoenen euro en in procenten BBP</t>
  </si>
  <si>
    <t xml:space="preserve">- De cijfers voor 2021 zijn de realisatiecijfers. De cijfers voor 2022 zijn de voorlopige realisatiecijfers 2022, stand begroting 2023. </t>
  </si>
  <si>
    <t xml:space="preserve">De tabel bevat voor 2023 de cijfers van de ontwerpbegroting. De cijfers voor de jaren 2024-2027 zijn de meerjarenramingen. </t>
  </si>
  <si>
    <t>- Totaaloverzicht: overheidsuitgaven voor R&amp;D en innovatie 2021-2027, in miljoenen euro en procenten van het BBP</t>
  </si>
  <si>
    <t>- Overheidsuitgaven voor R&amp;D en het aandeel innovatierelevante R&amp;D-uitgaven, per begrotingsartikel, 2021-2027, in miljoenen euro</t>
  </si>
  <si>
    <t>- Overheidsuitgaven voor innovatie per begrotingsartikel, 2021-2027, in miljoenen euro</t>
  </si>
  <si>
    <t>- Overzicht: overheidsuitgaven voor R&amp;D en innovatie, per departement, 2021-2027, in miljoenen euro</t>
  </si>
  <si>
    <t>- Fiscale instrumenten voor R&amp;D en innovatie, 2021-2027, in miljoenen euro</t>
  </si>
  <si>
    <t>- R&amp;D-uitgaven per NABS-categorie, 2021-2027 (Europese classificatie 2007)</t>
  </si>
  <si>
    <t>Subsidie KIT</t>
  </si>
  <si>
    <t>1220U01030004</t>
  </si>
  <si>
    <t>Participatieve Milieumonitoring ( RIVM)</t>
  </si>
  <si>
    <t>Luchtkwaliteitsmetingen en Verbeteren Luchtkwaliteit (TNO)</t>
  </si>
  <si>
    <t>nieuw</t>
  </si>
  <si>
    <t>heette vorig jaar 'Beperken van verzuring en grootschalige luchtverontreiniging'</t>
  </si>
  <si>
    <t>Publiek/Privaat</t>
  </si>
  <si>
    <t>073010-U01</t>
  </si>
  <si>
    <t>IPCEI Cludinfrastructuur en services</t>
  </si>
  <si>
    <t>IPCEI Micro Eletronica</t>
  </si>
  <si>
    <t>U604</t>
  </si>
  <si>
    <t>Institutionele financiering- bijdrage grote onderzoeksfacn</t>
  </si>
  <si>
    <t>Institutionele financiering TNO</t>
  </si>
  <si>
    <t>Institutionele financiering NLR</t>
  </si>
  <si>
    <t>Institutionele financiering MARIN</t>
  </si>
  <si>
    <t>NLR</t>
  </si>
  <si>
    <t>Marin</t>
  </si>
  <si>
    <t>U/TO2/SO/O</t>
  </si>
  <si>
    <t>1, 6</t>
  </si>
  <si>
    <t>4, 7, 13</t>
  </si>
  <si>
    <t>7, 9, 13</t>
  </si>
  <si>
    <t>U/HBO/TO2/SO/O</t>
  </si>
  <si>
    <t>5, 6, 7, 8</t>
  </si>
  <si>
    <t>Haalbaarheiddstudies NWO-TTW</t>
  </si>
  <si>
    <t>U/TO2/O</t>
  </si>
  <si>
    <t>IPCEI Waterstof</t>
  </si>
  <si>
    <t>Infrastructuur Duurzame Industrie (PIDI)</t>
  </si>
  <si>
    <t>2, 5, 6</t>
  </si>
  <si>
    <t>Onderzoek, ontwikkeling en innovatie onverdeeld departementale route</t>
  </si>
  <si>
    <t>Bijdragen aan (andere) begrotingshoofdstukken; voorwaardelijke toekenningen - O&amp;O&amp;I</t>
  </si>
  <si>
    <t>Subsidieregeling Nationaal Groeifonds – O&amp;O&amp;I</t>
  </si>
  <si>
    <t>Mogelijk alle categorieën m.u.v. 12</t>
  </si>
  <si>
    <t>Mogelijk alle bestemmingen</t>
  </si>
  <si>
    <t>divers</t>
  </si>
  <si>
    <t>Wageningen research (kennisbasis en autonome bijdragen)</t>
  </si>
  <si>
    <t>Wageningen research (wettelijke onderzoekstaken)</t>
  </si>
  <si>
    <t>Divers</t>
  </si>
  <si>
    <t>1,5% van totale budget</t>
  </si>
  <si>
    <t>3% van totale budget</t>
  </si>
  <si>
    <t>NGF - project Circulaire Plastics</t>
  </si>
  <si>
    <t>142730-U04</t>
  </si>
  <si>
    <t xml:space="preserve">142440-U04 </t>
  </si>
  <si>
    <t xml:space="preserve">141350-U04 </t>
  </si>
  <si>
    <t xml:space="preserve">144390-U04 </t>
  </si>
  <si>
    <t xml:space="preserve">140810-U04 </t>
  </si>
  <si>
    <t xml:space="preserve">140760 / U04 </t>
  </si>
  <si>
    <t>NGF-CROP-XR</t>
  </si>
  <si>
    <t>lan</t>
  </si>
  <si>
    <t>NGF-PharmaNL</t>
  </si>
  <si>
    <t>NGF- Digitale Infrastructuur en Logistiek</t>
  </si>
  <si>
    <t>NGF- Luchtvaart in Transitie</t>
  </si>
  <si>
    <t>NGF- Zero emissie binnenvaart batterij-elektrisch</t>
  </si>
  <si>
    <t>Diverse</t>
  </si>
  <si>
    <t>Projj.</t>
  </si>
  <si>
    <t>NGF- Einstein Telescope</t>
  </si>
  <si>
    <t>NGF- BioTech Booster</t>
  </si>
  <si>
    <t xml:space="preserve">BBP-cijfers voor 2021 tot en met 2023 betreffen de nominale cijfers van het CPB uit de Kerngegevenstabel CEP 2023 maart 2023. </t>
  </si>
  <si>
    <t>HBO</t>
  </si>
  <si>
    <t xml:space="preserve">Voor de bepaling van het BBP vanaf 2023 zijn de volumegroeipercentages gebruikt van CPB uit het CEP, maart 2023. Kerngegevenstabel MLT 2024-2027 (maart 2023). </t>
  </si>
  <si>
    <t xml:space="preserve"> Bijlagen bij de Miljoenennota 2023</t>
  </si>
  <si>
    <t xml:space="preserve"> Begroting EZK 2023 (cijfers 2021-2027)</t>
  </si>
  <si>
    <t>Cyber security</t>
  </si>
  <si>
    <t>ICT beleid</t>
  </si>
  <si>
    <t>NGF-project AINed</t>
  </si>
  <si>
    <t>Eurostars</t>
  </si>
  <si>
    <t xml:space="preserve">XIII Economische Zaken en Klimaat </t>
  </si>
  <si>
    <t>EuroHPC</t>
  </si>
  <si>
    <t>Euro QCI</t>
  </si>
  <si>
    <t>Overig</t>
  </si>
  <si>
    <t>4,11</t>
  </si>
  <si>
    <t>MKB-innovatiestimulering Topsectoren (Bijdragen aan mede-overheden) MIT</t>
  </si>
  <si>
    <t>PPS Toeslag</t>
  </si>
  <si>
    <t>Grote Technologische Instituten</t>
  </si>
  <si>
    <t>3,4</t>
  </si>
  <si>
    <t>Bijdrage NWO-TTW</t>
  </si>
  <si>
    <t>4,6,8,13</t>
  </si>
  <si>
    <t>SO/U/O/TNO/NWO</t>
  </si>
  <si>
    <t>Topsectoren overig (proj.)</t>
  </si>
  <si>
    <t>Topsectoren overig (inst.)</t>
  </si>
  <si>
    <t>Onderzoek en opdrachten</t>
  </si>
  <si>
    <t>Cybersecurity</t>
  </si>
  <si>
    <t>2,6</t>
  </si>
  <si>
    <t xml:space="preserve">NGF-project Groenvermogen </t>
  </si>
  <si>
    <t xml:space="preserve">NGF-project Oncode-PACT </t>
  </si>
  <si>
    <t xml:space="preserve">NGF-project Circulaire Plastics </t>
  </si>
  <si>
    <t xml:space="preserve">NXTGEN HIGH TECH </t>
  </si>
  <si>
    <t>EU-cofinanciering JTF</t>
  </si>
  <si>
    <t>Innovatiefonds: Innovatiekrediet</t>
  </si>
  <si>
    <t>Innovatiefonds: vroege fase / informal investors</t>
  </si>
  <si>
    <t>Thematische technology transfer regeling</t>
  </si>
  <si>
    <t>Missiegedreven Onderzoek Ontwikkeling en Innovatie (MOOI)</t>
  </si>
  <si>
    <t>Hernieuwbare Energietransitie</t>
  </si>
  <si>
    <t>Demonstratieregeling Klimaat en Energie Innovatie (DEI+)</t>
  </si>
  <si>
    <t>Subsidie regeling Duurzame Scheepsbouw (SDS)</t>
  </si>
  <si>
    <t>Energie-efficiency</t>
  </si>
  <si>
    <t>E</t>
  </si>
  <si>
    <t>Bijdrage aan Nucleair Research Group (NRG)</t>
  </si>
  <si>
    <t>TNO kerndepartement</t>
  </si>
  <si>
    <t>TNO SodM</t>
  </si>
  <si>
    <t xml:space="preserve">NGF-project NieuweWarmteNu! </t>
  </si>
  <si>
    <t>EU-cofinanciering Digital Europe</t>
  </si>
  <si>
    <t>Uitfinanciering subsidies</t>
  </si>
  <si>
    <t>Oncode Institute</t>
  </si>
  <si>
    <t>Haalbaarheidstudies NWO-TTW</t>
  </si>
  <si>
    <t xml:space="preserve">Thematische technology transfer regeling </t>
  </si>
  <si>
    <t>U/UMC/TNO/O</t>
  </si>
  <si>
    <t xml:space="preserve">Demonstratieregeling Klimaat- en Energie-innovatie (DEI+) </t>
  </si>
  <si>
    <t>Subsidieregeling Duurzame Scheepsbouw (SDS)</t>
  </si>
  <si>
    <t xml:space="preserve">IPCEI Waterstof </t>
  </si>
  <si>
    <t>Investeringen verduurzaming industrie</t>
  </si>
  <si>
    <t>NationaalGroeiFonds: Katalysator LevenLangOntwikkelen</t>
  </si>
  <si>
    <t xml:space="preserve">- Groen gemarkeerde cijfers in dit document zijn gecorrigeerd in oktober 2023 ten opzichte van de cijfers gepubliceerd in april 2023, naar aanleiding van een fout in de eerder aangeleverde cijfers.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</si>
</sst>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5" formatCode="&quot;€&quot;\ #,##0;&quot;€&quot;\ \-#,##0"/>
    <numFmt numFmtId="41" formatCode="_ * #,##0_ ;_ * \-#,##0_ ;_ * &quot;-&quot;_ ;_ @_ "/>
    <numFmt numFmtId="44" formatCode="_ &quot;€&quot;\ * #,##0.00_ ;_ &quot;€&quot;\ * \-#,##0.00_ ;_ &quot;€&quot;\ * &quot;-&quot;??_ ;_ @_ "/>
    <numFmt numFmtId="43" formatCode="_ * #,##0.00_ ;_ * \-#,##0.00_ ;_ * &quot;-&quot;??_ ;_ @_ "/>
    <numFmt numFmtId="164" formatCode="_(&quot;$&quot;* #,##0_);_(&quot;$&quot;* \(#,##0\);_(&quot;$&quot;* &quot;-&quot;_);_(@_)"/>
    <numFmt numFmtId="165" formatCode="_(&quot;$&quot;* #,##0.00_);_(&quot;$&quot;* \(#,##0.00\);_(&quot;$&quot;* &quot;-&quot;??_);_(@_)"/>
    <numFmt numFmtId="166" formatCode="0.000"/>
    <numFmt numFmtId="167" formatCode="#,##0.000"/>
    <numFmt numFmtId="168" formatCode="&quot;fl&quot;\ #,##0.00_-;&quot;fl&quot;\ #,##0.00\-"/>
    <numFmt numFmtId="169" formatCode="#,##0.0"/>
    <numFmt numFmtId="170" formatCode="d\ m\a\a\nd\ \J\J\J\J"/>
    <numFmt numFmtId="171" formatCode="0.0"/>
    <numFmt numFmtId="172" formatCode="_-&quot;€&quot;\ * #,##0.00_-;_-&quot;€&quot;\ * #,##0.00\-;_-&quot;€&quot;\ * &quot;-&quot;??_-;_-@_-"/>
    <numFmt numFmtId="173" formatCode="s\t\a\nd\a\a\rd"/>
    <numFmt numFmtId="174" formatCode="mm/dd"/>
    <numFmt numFmtId="175" formatCode="mmmm\ d\,\ yyyy"/>
    <numFmt numFmtId="176" formatCode="_-* #,##0.00_-;_-* #,##0.00\-;_-* &quot;-&quot;??_-;_-@_-"/>
    <numFmt numFmtId="177" formatCode="&quot;fl&quot;\ #,##0_-;&quot;fl&quot;\ #,##0\-"/>
    <numFmt numFmtId="178" formatCode="_ * #,##0.0_ ;_ * \-#,##0.0_ ;_ * &quot;-&quot;??_ ;_ @_ "/>
    <numFmt numFmtId="179" formatCode="_ * #,##0.000_ ;_ * \-#,##0.000_ ;_ * &quot;-&quot;???_ ;_ @_ "/>
    <numFmt numFmtId="180" formatCode="_ * #,##0.000_ ;_ * \-#,##0.000_ ;_ * &quot;-&quot;??_ ;_ @_ "/>
    <numFmt numFmtId="181" formatCode="0_)"/>
    <numFmt numFmtId="182" formatCode="&quot;€&quot;\ #,##0_-;&quot;€&quot;\ #,##0\-"/>
    <numFmt numFmtId="183" formatCode="_ * #,##0.0_ ;_ * \-#,##0.0_ ;_ * &quot;-&quot;???_ ;_ @_ "/>
    <numFmt numFmtId="184" formatCode="0.0%"/>
    <numFmt numFmtId="185" formatCode="_ * #,##0_ ;_ * \-#,##0_ ;_ * &quot;-&quot;??_ ;_ @_ "/>
  </numFmts>
  <fonts count="147">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0"/>
      <name val="Calibri"/>
      <family val="2"/>
      <scheme val="minor"/>
    </font>
    <font>
      <sz val="11"/>
      <name val="Calibri"/>
      <family val="2"/>
      <scheme val="minor"/>
    </font>
    <font>
      <b/>
      <sz val="11"/>
      <name val="Calibri"/>
      <family val="2"/>
      <scheme val="minor"/>
    </font>
    <font>
      <sz val="10"/>
      <name val="Calibri"/>
      <family val="2"/>
      <scheme val="minor"/>
    </font>
    <font>
      <sz val="10"/>
      <color theme="1"/>
      <name val="Calibri"/>
      <family val="2"/>
      <scheme val="minor"/>
    </font>
    <font>
      <b/>
      <sz val="11"/>
      <color theme="1"/>
      <name val="Calibri"/>
      <family val="2"/>
      <scheme val="minor"/>
    </font>
    <font>
      <b/>
      <sz val="12"/>
      <name val="Calibri"/>
      <family val="2"/>
      <scheme val="minor"/>
    </font>
    <font>
      <sz val="10"/>
      <name val="MS Sans Serif"/>
      <family val="2"/>
    </font>
    <font>
      <b/>
      <sz val="14"/>
      <name val="Calibri"/>
      <family val="2"/>
      <scheme val="minor"/>
    </font>
    <font>
      <sz val="12"/>
      <name val="Arial"/>
      <family val="2"/>
    </font>
    <font>
      <sz val="10"/>
      <name val="Arial"/>
      <family val="2"/>
    </font>
    <font>
      <b/>
      <sz val="18"/>
      <name val="Arial"/>
      <family val="2"/>
    </font>
    <font>
      <b/>
      <sz val="12"/>
      <name val="Arial"/>
      <family val="2"/>
    </font>
    <font>
      <sz val="10"/>
      <name val="Arial"/>
      <family val="2"/>
    </font>
    <font>
      <sz val="11"/>
      <color theme="1"/>
      <name val="Calibri"/>
      <family val="2"/>
      <scheme val="minor"/>
    </font>
    <font>
      <i/>
      <sz val="11"/>
      <color theme="1"/>
      <name val="Calibri"/>
      <family val="2"/>
      <scheme val="minor"/>
    </font>
    <font>
      <b/>
      <sz val="12"/>
      <color theme="1"/>
      <name val="Calibri"/>
      <family val="2"/>
      <scheme val="minor"/>
    </font>
    <font>
      <sz val="10"/>
      <name val="Calibri"/>
      <family val="2"/>
    </font>
    <font>
      <b/>
      <i/>
      <sz val="11"/>
      <color theme="1"/>
      <name val="Calibri"/>
      <family val="2"/>
      <scheme val="minor"/>
    </font>
    <font>
      <b/>
      <sz val="14"/>
      <color theme="1"/>
      <name val="Calibri"/>
      <family val="2"/>
      <scheme val="minor"/>
    </font>
    <font>
      <i/>
      <sz val="10"/>
      <color theme="1"/>
      <name val="Calibri"/>
      <family val="2"/>
      <scheme val="minor"/>
    </font>
    <font>
      <b/>
      <sz val="10"/>
      <color theme="1"/>
      <name val="Calibri"/>
      <family val="2"/>
      <scheme val="minor"/>
    </font>
    <font>
      <sz val="12"/>
      <name val="Times New Roman"/>
      <family val="1"/>
    </font>
    <font>
      <sz val="10"/>
      <name val="Times New Roman"/>
      <family val="1"/>
    </font>
    <font>
      <sz val="8"/>
      <name val="Times New Roman"/>
      <family val="1"/>
    </font>
    <font>
      <sz val="6"/>
      <name val="Times New Roman"/>
      <family val="1"/>
    </font>
    <font>
      <sz val="24"/>
      <name val="Arial"/>
      <family val="2"/>
    </font>
    <font>
      <sz val="14"/>
      <name val="Arial"/>
      <family val="2"/>
    </font>
    <font>
      <u/>
      <sz val="10"/>
      <color theme="10"/>
      <name val="Arial"/>
      <family val="2"/>
    </font>
    <font>
      <sz val="11"/>
      <color rgb="FFFF0000"/>
      <name val="Calibri"/>
      <family val="2"/>
      <scheme val="minor"/>
    </font>
    <font>
      <sz val="10"/>
      <color rgb="FFFF0000"/>
      <name val="Calibri"/>
      <family val="2"/>
      <scheme val="minor"/>
    </font>
    <font>
      <b/>
      <sz val="11"/>
      <color rgb="FFFF0000"/>
      <name val="Calibri"/>
      <family val="2"/>
      <scheme val="minor"/>
    </font>
    <font>
      <sz val="9"/>
      <color indexed="81"/>
      <name val="Tahoma"/>
      <family val="2"/>
    </font>
    <font>
      <b/>
      <sz val="9"/>
      <color indexed="81"/>
      <name val="Tahoma"/>
      <family val="2"/>
    </font>
    <font>
      <sz val="10"/>
      <color rgb="FF3E3E3E"/>
      <name val="Verdana"/>
      <family val="2"/>
    </font>
    <font>
      <sz val="10"/>
      <color rgb="FF0000FF"/>
      <name val="Calibri"/>
      <family val="2"/>
      <scheme val="minor"/>
    </font>
    <font>
      <sz val="11"/>
      <color rgb="FF9C6500"/>
      <name val="Calibri"/>
      <family val="2"/>
      <scheme val="minor"/>
    </font>
    <font>
      <sz val="10"/>
      <color theme="1"/>
      <name val="Arial"/>
      <family val="2"/>
    </font>
    <font>
      <b/>
      <i/>
      <sz val="10"/>
      <name val="Calibri"/>
      <family val="2"/>
      <scheme val="minor"/>
    </font>
    <font>
      <sz val="8"/>
      <color theme="1"/>
      <name val="Verdana"/>
      <family val="2"/>
    </font>
    <font>
      <sz val="8.5"/>
      <color theme="1"/>
      <name val="Verdana"/>
      <family val="2"/>
    </font>
    <font>
      <b/>
      <sz val="10"/>
      <name val="Arial"/>
      <family val="2"/>
    </font>
    <font>
      <sz val="8.5"/>
      <color rgb="FF006100"/>
      <name val="Verdana"/>
      <family val="2"/>
    </font>
    <font>
      <sz val="8.5"/>
      <color rgb="FF9C0006"/>
      <name val="Verdana"/>
      <family val="2"/>
    </font>
    <font>
      <sz val="8.5"/>
      <color rgb="FF9C6500"/>
      <name val="Verdana"/>
      <family val="2"/>
    </font>
    <font>
      <sz val="8.5"/>
      <color rgb="FF3F3F76"/>
      <name val="Verdana"/>
      <family val="2"/>
    </font>
    <font>
      <b/>
      <sz val="8.5"/>
      <color rgb="FF3F3F3F"/>
      <name val="Verdana"/>
      <family val="2"/>
    </font>
    <font>
      <b/>
      <sz val="8.5"/>
      <color rgb="FFFA7D00"/>
      <name val="Verdana"/>
      <family val="2"/>
    </font>
    <font>
      <sz val="8.5"/>
      <color rgb="FFFA7D00"/>
      <name val="Verdana"/>
      <family val="2"/>
    </font>
    <font>
      <b/>
      <sz val="8.5"/>
      <color theme="0"/>
      <name val="Verdana"/>
      <family val="2"/>
    </font>
    <font>
      <sz val="8.5"/>
      <color rgb="FFFF0000"/>
      <name val="Verdana"/>
      <family val="2"/>
    </font>
    <font>
      <i/>
      <sz val="8.5"/>
      <color rgb="FF7F7F7F"/>
      <name val="Verdana"/>
      <family val="2"/>
    </font>
    <font>
      <sz val="8.5"/>
      <color theme="0"/>
      <name val="Verdana"/>
      <family val="2"/>
    </font>
    <font>
      <sz val="11"/>
      <color theme="0"/>
      <name val="Calibri"/>
      <family val="2"/>
      <scheme val="minor"/>
    </font>
    <font>
      <sz val="11"/>
      <color indexed="20"/>
      <name val="Calibri"/>
      <family val="2"/>
    </font>
    <font>
      <b/>
      <sz val="11"/>
      <color rgb="FFFA7D00"/>
      <name val="Calibri"/>
      <family val="2"/>
      <scheme val="minor"/>
    </font>
    <font>
      <sz val="8"/>
      <name val="Arial"/>
      <family val="2"/>
    </font>
    <font>
      <b/>
      <sz val="8"/>
      <color indexed="8"/>
      <name val="MS Sans Serif"/>
      <family val="2"/>
    </font>
    <font>
      <sz val="11"/>
      <name val="µ¸¿ò"/>
      <charset val="129"/>
    </font>
    <font>
      <b/>
      <sz val="11"/>
      <color indexed="52"/>
      <name val="Calibri"/>
      <family val="2"/>
    </font>
    <font>
      <b/>
      <sz val="11"/>
      <color indexed="9"/>
      <name val="Calibri"/>
      <family val="2"/>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b/>
      <sz val="11"/>
      <color theme="0"/>
      <name val="Calibri"/>
      <family val="2"/>
      <scheme val="minor"/>
    </font>
    <font>
      <sz val="10"/>
      <color indexed="8"/>
      <name val="MS Sans Serif"/>
      <family val="2"/>
    </font>
    <font>
      <b/>
      <sz val="12"/>
      <color indexed="12"/>
      <name val="Bookman"/>
      <family val="1"/>
    </font>
    <font>
      <b/>
      <i/>
      <u/>
      <sz val="10"/>
      <color indexed="10"/>
      <name val="Bookman"/>
      <family val="1"/>
    </font>
    <font>
      <sz val="8.5"/>
      <color indexed="8"/>
      <name val="MS Sans Serif"/>
      <family val="2"/>
    </font>
    <font>
      <i/>
      <sz val="11"/>
      <color indexed="23"/>
      <name val="Calibri"/>
      <family val="2"/>
    </font>
    <font>
      <sz val="8"/>
      <color indexed="8"/>
      <name val="Arial"/>
      <family val="2"/>
    </font>
    <font>
      <sz val="10"/>
      <color indexed="8"/>
      <name val="Arial"/>
      <family val="2"/>
      <charset val="238"/>
    </font>
    <font>
      <sz val="11"/>
      <color rgb="FFFA7D00"/>
      <name val="Calibri"/>
      <family val="2"/>
      <scheme val="minor"/>
    </font>
    <font>
      <sz val="11"/>
      <color rgb="FF006100"/>
      <name val="Calibri"/>
      <family val="2"/>
      <scheme val="minor"/>
    </font>
    <font>
      <sz val="11"/>
      <color indexed="17"/>
      <name val="Calibri"/>
      <family val="2"/>
    </font>
    <font>
      <b/>
      <sz val="10"/>
      <color indexed="8"/>
      <name val="MS Sans Serif"/>
      <family val="2"/>
    </font>
    <font>
      <b/>
      <sz val="8"/>
      <name val="Arial"/>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u/>
      <sz val="10"/>
      <color indexed="20"/>
      <name val="Arial"/>
      <family val="2"/>
    </font>
    <font>
      <sz val="11"/>
      <color indexed="62"/>
      <name val="Calibri"/>
      <family val="2"/>
    </font>
    <font>
      <sz val="11"/>
      <color rgb="FF3F3F76"/>
      <name val="Calibri"/>
      <family val="2"/>
      <scheme val="minor"/>
    </font>
    <font>
      <b/>
      <sz val="8.5"/>
      <color indexed="8"/>
      <name val="MS Sans Serif"/>
      <family val="2"/>
    </font>
    <font>
      <sz val="10"/>
      <name val="Helv"/>
    </font>
    <font>
      <b/>
      <sz val="15"/>
      <color theme="3"/>
      <name val="Calibri"/>
      <family val="2"/>
      <scheme val="minor"/>
    </font>
    <font>
      <b/>
      <sz val="13"/>
      <color theme="3"/>
      <name val="Calibri"/>
      <family val="2"/>
      <scheme val="minor"/>
    </font>
    <font>
      <b/>
      <sz val="11"/>
      <color theme="3"/>
      <name val="Calibri"/>
      <family val="2"/>
      <scheme val="minor"/>
    </font>
    <font>
      <sz val="8"/>
      <name val="Arial"/>
      <family val="2"/>
      <charset val="238"/>
    </font>
    <font>
      <sz val="11"/>
      <color indexed="52"/>
      <name val="Calibri"/>
      <family val="2"/>
    </font>
    <font>
      <sz val="11"/>
      <color indexed="60"/>
      <name val="Calibri"/>
      <family val="2"/>
    </font>
    <font>
      <sz val="10"/>
      <color indexed="8"/>
      <name val="Arial"/>
      <family val="2"/>
    </font>
    <font>
      <sz val="11"/>
      <color rgb="FF9C0006"/>
      <name val="Calibri"/>
      <family val="2"/>
      <scheme val="minor"/>
    </font>
    <font>
      <b/>
      <sz val="11"/>
      <color indexed="63"/>
      <name val="Calibri"/>
      <family val="2"/>
    </font>
    <font>
      <sz val="9"/>
      <color theme="1"/>
      <name val="Verdana"/>
      <family val="2"/>
    </font>
    <font>
      <b/>
      <u/>
      <sz val="10"/>
      <color indexed="8"/>
      <name val="MS Sans Serif"/>
      <family val="2"/>
    </font>
    <font>
      <sz val="7.5"/>
      <color indexed="8"/>
      <name val="MS Sans Serif"/>
      <family val="2"/>
    </font>
    <font>
      <b/>
      <sz val="12"/>
      <color indexed="8"/>
      <name val="Arial"/>
      <family val="2"/>
    </font>
    <font>
      <b/>
      <sz val="10"/>
      <color indexed="8"/>
      <name val="Arial"/>
      <family val="2"/>
    </font>
    <font>
      <b/>
      <i/>
      <sz val="12"/>
      <color indexed="8"/>
      <name val="Arial"/>
      <family val="2"/>
    </font>
    <font>
      <b/>
      <sz val="10"/>
      <color indexed="39"/>
      <name val="Arial"/>
      <family val="2"/>
    </font>
    <font>
      <sz val="12"/>
      <color indexed="8"/>
      <name val="Arial"/>
      <family val="2"/>
    </font>
    <font>
      <i/>
      <sz val="12"/>
      <color indexed="8"/>
      <name val="Arial"/>
      <family val="2"/>
    </font>
    <font>
      <sz val="10"/>
      <color indexed="39"/>
      <name val="Arial"/>
      <family val="2"/>
    </font>
    <font>
      <sz val="19"/>
      <color indexed="48"/>
      <name val="Arial"/>
      <family val="2"/>
    </font>
    <font>
      <sz val="12"/>
      <color indexed="14"/>
      <name val="Arial"/>
      <family val="2"/>
    </font>
    <font>
      <sz val="10"/>
      <color indexed="10"/>
      <name val="Arial"/>
      <family val="2"/>
    </font>
    <font>
      <sz val="11"/>
      <color indexed="8"/>
      <name val="Calibri"/>
      <family val="2"/>
    </font>
    <font>
      <b/>
      <sz val="14"/>
      <name val="Helv"/>
    </font>
    <font>
      <b/>
      <sz val="12"/>
      <name val="Helv"/>
    </font>
    <font>
      <b/>
      <sz val="18"/>
      <color indexed="56"/>
      <name val="Cambria"/>
      <family val="2"/>
    </font>
    <font>
      <b/>
      <sz val="11"/>
      <color rgb="FF3F3F3F"/>
      <name val="Calibri"/>
      <family val="2"/>
      <scheme val="minor"/>
    </font>
    <font>
      <i/>
      <sz val="11"/>
      <color rgb="FF7F7F7F"/>
      <name val="Calibri"/>
      <family val="2"/>
      <scheme val="minor"/>
    </font>
    <font>
      <sz val="11"/>
      <color indexed="10"/>
      <name val="Calibri"/>
      <family val="2"/>
    </font>
    <font>
      <u/>
      <sz val="11"/>
      <color theme="1"/>
      <name val="Calibri"/>
      <family val="2"/>
      <scheme val="minor"/>
    </font>
    <font>
      <sz val="11"/>
      <color rgb="FF0000FF"/>
      <name val="Calibri"/>
      <family val="2"/>
      <scheme val="minor"/>
    </font>
    <font>
      <sz val="11"/>
      <color indexed="8"/>
      <name val="Calibri"/>
      <family val="2"/>
      <scheme val="minor"/>
    </font>
    <font>
      <sz val="6.5"/>
      <name val="Univers"/>
      <family val="2"/>
    </font>
    <font>
      <u/>
      <sz val="11"/>
      <color theme="10"/>
      <name val="Calibri"/>
      <family val="2"/>
      <scheme val="minor"/>
    </font>
    <font>
      <sz val="8"/>
      <name val="Verdana"/>
      <family val="2"/>
    </font>
    <font>
      <b/>
      <sz val="10"/>
      <color theme="1"/>
      <name val="Arial"/>
      <family val="2"/>
    </font>
    <font>
      <i/>
      <sz val="10"/>
      <name val="Calibri"/>
      <family val="2"/>
      <scheme val="minor"/>
    </font>
    <font>
      <b/>
      <i/>
      <sz val="11"/>
      <name val="Calibri"/>
      <family val="2"/>
      <scheme val="minor"/>
    </font>
    <font>
      <sz val="10"/>
      <color rgb="FF0000FF"/>
      <name val="Calibri"/>
      <family val="2"/>
    </font>
    <font>
      <b/>
      <sz val="10"/>
      <color rgb="FF3E3E3E"/>
      <name val="Verdana"/>
      <family val="2"/>
    </font>
    <font>
      <sz val="10"/>
      <color rgb="FFFF0000"/>
      <name val="Calibri"/>
      <family val="2"/>
    </font>
    <font>
      <sz val="10"/>
      <color rgb="FFFF0000"/>
      <name val="Arial"/>
      <family val="2"/>
    </font>
    <font>
      <b/>
      <i/>
      <sz val="10"/>
      <color theme="1"/>
      <name val="Arial"/>
      <family val="2"/>
    </font>
    <font>
      <i/>
      <sz val="10"/>
      <color theme="1"/>
      <name val="Arial"/>
      <family val="2"/>
    </font>
    <font>
      <b/>
      <sz val="10"/>
      <color rgb="FFFF0000"/>
      <name val="Calibri"/>
      <family val="2"/>
      <scheme val="minor"/>
    </font>
    <font>
      <i/>
      <sz val="11"/>
      <name val="Calibri"/>
      <family val="2"/>
      <scheme val="minor"/>
    </font>
    <font>
      <sz val="18"/>
      <color theme="3"/>
      <name val="Cambria"/>
      <family val="2"/>
      <scheme val="major"/>
    </font>
    <font>
      <b/>
      <sz val="18"/>
      <color theme="3"/>
      <name val="Cambria"/>
      <family val="2"/>
      <scheme val="major"/>
    </font>
    <font>
      <u/>
      <sz val="8"/>
      <color rgb="FF0000FF"/>
      <name val="Calibri"/>
      <family val="2"/>
      <scheme val="minor"/>
    </font>
    <font>
      <u/>
      <sz val="8"/>
      <color rgb="FF800080"/>
      <name val="Calibri"/>
      <family val="2"/>
      <scheme val="minor"/>
    </font>
    <font>
      <sz val="9"/>
      <color theme="1"/>
      <name val="Arial"/>
      <family val="2"/>
    </font>
    <font>
      <b/>
      <sz val="9"/>
      <color theme="1"/>
      <name val="Arial"/>
      <family val="2"/>
    </font>
    <font>
      <b/>
      <sz val="10"/>
      <color rgb="FF0000FF"/>
      <name val="Calibri"/>
      <family val="2"/>
      <scheme val="minor"/>
    </font>
    <font>
      <sz val="9"/>
      <color rgb="FFFF0000"/>
      <name val="Arial"/>
      <family val="2"/>
    </font>
    <font>
      <sz val="9"/>
      <name val="Arial"/>
      <family val="2"/>
    </font>
    <font>
      <u/>
      <sz val="10"/>
      <name val="Arial"/>
      <family val="2"/>
    </font>
  </fonts>
  <fills count="81">
    <fill>
      <patternFill patternType="none"/>
    </fill>
    <fill>
      <patternFill patternType="gray125"/>
    </fill>
    <fill>
      <patternFill patternType="solid">
        <fgColor theme="9" tint="0.59999389629810485"/>
        <bgColor indexed="64"/>
      </patternFill>
    </fill>
    <fill>
      <patternFill patternType="solid">
        <fgColor rgb="FFFFEB9C"/>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patternFill>
    </fill>
    <fill>
      <patternFill patternType="solid">
        <fgColor indexed="31"/>
        <bgColor indexed="64"/>
      </patternFill>
    </fill>
    <fill>
      <patternFill patternType="solid">
        <fgColor indexed="44"/>
        <bgColor indexed="8"/>
      </patternFill>
    </fill>
    <fill>
      <patternFill patternType="solid">
        <fgColor indexed="22"/>
      </patternFill>
    </fill>
    <fill>
      <patternFill patternType="solid">
        <fgColor indexed="55"/>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8"/>
      </patternFill>
    </fill>
    <fill>
      <patternFill patternType="solid">
        <fgColor indexed="9"/>
        <bgColor indexed="64"/>
      </patternFill>
    </fill>
    <fill>
      <patternFill patternType="solid">
        <fgColor indexed="42"/>
      </patternFill>
    </fill>
    <fill>
      <patternFill patternType="solid">
        <fgColor indexed="10"/>
        <bgColor indexed="64"/>
      </patternFill>
    </fill>
    <fill>
      <patternFill patternType="solid">
        <fgColor indexed="22"/>
        <bgColor indexed="8"/>
      </patternFill>
    </fill>
    <fill>
      <patternFill patternType="solid">
        <fgColor indexed="47"/>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40"/>
        <bgColor indexed="64"/>
      </patternFill>
    </fill>
    <fill>
      <patternFill patternType="solid">
        <fgColor indexed="45"/>
        <bgColor indexed="64"/>
      </patternFill>
    </fill>
    <fill>
      <patternFill patternType="solid">
        <fgColor indexed="29"/>
      </patternFill>
    </fill>
    <fill>
      <patternFill patternType="solid">
        <fgColor indexed="29"/>
        <bgColor indexed="64"/>
      </patternFill>
    </fill>
    <fill>
      <patternFill patternType="solid">
        <fgColor indexed="10"/>
      </patternFill>
    </fill>
    <fill>
      <patternFill patternType="solid">
        <fgColor indexed="42"/>
        <bgColor indexed="64"/>
      </patternFill>
    </fill>
    <fill>
      <patternFill patternType="solid">
        <fgColor indexed="51"/>
      </patternFill>
    </fill>
    <fill>
      <patternFill patternType="solid">
        <fgColor indexed="51"/>
        <bgColor indexed="64"/>
      </patternFill>
    </fill>
    <fill>
      <patternFill patternType="solid">
        <fgColor indexed="52"/>
      </patternFill>
    </fill>
    <fill>
      <patternFill patternType="solid">
        <fgColor indexed="47"/>
        <bgColor indexed="64"/>
      </patternFill>
    </fill>
    <fill>
      <patternFill patternType="solid">
        <fgColor indexed="53"/>
      </patternFill>
    </fill>
    <fill>
      <patternFill patternType="solid">
        <fgColor indexed="50"/>
        <bgColor indexed="64"/>
      </patternFill>
    </fill>
    <fill>
      <patternFill patternType="solid">
        <fgColor indexed="57"/>
      </patternFill>
    </fill>
    <fill>
      <patternFill patternType="solid">
        <fgColor indexed="57"/>
        <bgColor indexed="64"/>
      </patternFill>
    </fill>
    <fill>
      <patternFill patternType="solid">
        <fgColor indexed="50"/>
      </patternFill>
    </fill>
    <fill>
      <patternFill patternType="solid">
        <fgColor indexed="21"/>
        <bgColor indexed="64"/>
      </patternFill>
    </fill>
    <fill>
      <patternFill patternType="solid">
        <fgColor indexed="11"/>
      </patternFill>
    </fill>
    <fill>
      <patternFill patternType="lightUp">
        <fgColor indexed="48"/>
        <bgColor indexed="44"/>
      </patternFill>
    </fill>
    <fill>
      <patternFill patternType="lightUp">
        <fgColor indexed="48"/>
        <bgColor indexed="41"/>
      </patternFill>
    </fill>
    <fill>
      <patternFill patternType="solid">
        <fgColor indexed="44"/>
        <bgColor indexed="64"/>
      </patternFill>
    </fill>
    <fill>
      <patternFill patternType="solid">
        <fgColor indexed="41"/>
      </patternFill>
    </fill>
    <fill>
      <patternFill patternType="solid">
        <fgColor indexed="41"/>
        <bgColor indexed="64"/>
      </patternFill>
    </fill>
    <fill>
      <patternFill patternType="solid">
        <fgColor indexed="26"/>
        <bgColor indexed="64"/>
      </patternFill>
    </fill>
    <fill>
      <patternFill patternType="solid">
        <fgColor indexed="15"/>
        <bgColor indexed="64"/>
      </patternFill>
    </fill>
    <fill>
      <patternFill patternType="solid">
        <fgColor indexed="44"/>
        <bgColor indexed="10"/>
      </patternFill>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rgb="FF92D050"/>
        <bgColor indexed="64"/>
      </patternFill>
    </fill>
    <fill>
      <patternFill patternType="solid">
        <fgColor theme="6" tint="0.59999389629810485"/>
        <bgColor indexed="64"/>
      </patternFill>
    </fill>
  </fills>
  <borders count="38">
    <border>
      <left/>
      <right/>
      <top/>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8"/>
      </left>
      <right/>
      <top style="thin">
        <color indexed="8"/>
      </top>
      <bottom style="thin">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ck">
        <color indexed="63"/>
      </top>
      <bottom/>
      <diagonal/>
    </border>
    <border>
      <left/>
      <right/>
      <top style="double">
        <color indexed="64"/>
      </top>
      <bottom/>
      <diagonal/>
    </border>
    <border>
      <left/>
      <right/>
      <top style="double">
        <color indexed="0"/>
      </top>
      <bottom/>
      <diagonal/>
    </border>
    <border>
      <left/>
      <right/>
      <top style="thin">
        <color indexed="0"/>
      </top>
      <bottom style="double">
        <color indexed="0"/>
      </bottom>
      <diagonal/>
    </border>
    <border>
      <left/>
      <right/>
      <top/>
      <bottom style="thin">
        <color theme="4" tint="0.39997558519241921"/>
      </bottom>
      <diagonal/>
    </border>
  </borders>
  <cellStyleXfs count="1308">
    <xf numFmtId="0" fontId="0" fillId="0" borderId="0"/>
    <xf numFmtId="0" fontId="11" fillId="0" borderId="0"/>
    <xf numFmtId="0" fontId="13" fillId="0" borderId="0" applyNumberFormat="0" applyFill="0" applyBorder="0" applyAlignment="0" applyProtection="0"/>
    <xf numFmtId="0" fontId="14" fillId="0" borderId="0"/>
    <xf numFmtId="2" fontId="13" fillId="0" borderId="0" applyFill="0" applyBorder="0" applyAlignment="0" applyProtection="0"/>
    <xf numFmtId="170" fontId="13" fillId="0" borderId="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168" fontId="13" fillId="0" borderId="0" applyFill="0" applyBorder="0" applyAlignment="0" applyProtection="0"/>
    <xf numFmtId="169" fontId="13" fillId="0" borderId="0" applyFill="0" applyBorder="0" applyAlignment="0" applyProtection="0"/>
    <xf numFmtId="169" fontId="13" fillId="0" borderId="0" applyFill="0" applyBorder="0" applyProtection="0">
      <alignment horizontal="right"/>
    </xf>
    <xf numFmtId="0" fontId="13" fillId="0" borderId="1" applyNumberFormat="0" applyFill="0" applyAlignment="0" applyProtection="0"/>
    <xf numFmtId="0" fontId="17" fillId="0" borderId="0"/>
    <xf numFmtId="172" fontId="14" fillId="0" borderId="0" applyFont="0" applyFill="0" applyBorder="0" applyAlignment="0" applyProtection="0"/>
    <xf numFmtId="9" fontId="14" fillId="0" borderId="0" applyFont="0" applyFill="0" applyBorder="0" applyAlignment="0" applyProtection="0"/>
    <xf numFmtId="0" fontId="14" fillId="0" borderId="0"/>
    <xf numFmtId="173" fontId="26" fillId="0" borderId="0" applyProtection="0"/>
    <xf numFmtId="173" fontId="13" fillId="0" borderId="0"/>
    <xf numFmtId="173" fontId="31" fillId="0" borderId="0" applyProtection="0"/>
    <xf numFmtId="173" fontId="29" fillId="0" borderId="0" applyProtection="0"/>
    <xf numFmtId="173" fontId="28" fillId="0" borderId="0" applyProtection="0"/>
    <xf numFmtId="173" fontId="27" fillId="0" borderId="0" applyProtection="0"/>
    <xf numFmtId="173" fontId="13" fillId="0" borderId="0" applyProtection="0"/>
    <xf numFmtId="173" fontId="30" fillId="0" borderId="0" applyProtection="0"/>
    <xf numFmtId="0" fontId="14" fillId="0" borderId="0"/>
    <xf numFmtId="0" fontId="3" fillId="0" borderId="0"/>
    <xf numFmtId="0" fontId="14" fillId="0" borderId="0"/>
    <xf numFmtId="0" fontId="32" fillId="0" borderId="0" applyNumberFormat="0" applyFill="0" applyBorder="0" applyAlignment="0" applyProtection="0"/>
    <xf numFmtId="0" fontId="3" fillId="0" borderId="0"/>
    <xf numFmtId="0" fontId="40" fillId="3" borderId="0" applyNumberFormat="0" applyBorder="0" applyAlignment="0" applyProtection="0"/>
    <xf numFmtId="9" fontId="3" fillId="0" borderId="0" applyFont="0" applyFill="0" applyBorder="0" applyAlignment="0" applyProtection="0"/>
    <xf numFmtId="43" fontId="41" fillId="0" borderId="0" applyFont="0" applyFill="0" applyBorder="0" applyAlignment="0" applyProtection="0"/>
    <xf numFmtId="43" fontId="14" fillId="0" borderId="0" applyFont="0" applyFill="0" applyBorder="0" applyAlignment="0" applyProtection="0"/>
    <xf numFmtId="0" fontId="14" fillId="0" borderId="0"/>
    <xf numFmtId="0" fontId="3" fillId="0" borderId="0"/>
    <xf numFmtId="0" fontId="14" fillId="0" borderId="0"/>
    <xf numFmtId="0" fontId="3" fillId="11"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57" fillId="13" borderId="0" applyNumberFormat="0" applyBorder="0" applyAlignment="0" applyProtection="0"/>
    <xf numFmtId="0" fontId="56" fillId="13" borderId="0" applyNumberFormat="0" applyBorder="0" applyAlignment="0" applyProtection="0"/>
    <xf numFmtId="0" fontId="57" fillId="17" borderId="0" applyNumberFormat="0" applyBorder="0" applyAlignment="0" applyProtection="0"/>
    <xf numFmtId="0" fontId="56" fillId="17" borderId="0" applyNumberFormat="0" applyBorder="0" applyAlignment="0" applyProtection="0"/>
    <xf numFmtId="0" fontId="57" fillId="21" borderId="0" applyNumberFormat="0" applyBorder="0" applyAlignment="0" applyProtection="0"/>
    <xf numFmtId="0" fontId="56" fillId="21" borderId="0" applyNumberFormat="0" applyBorder="0" applyAlignment="0" applyProtection="0"/>
    <xf numFmtId="0" fontId="57" fillId="25" borderId="0" applyNumberFormat="0" applyBorder="0" applyAlignment="0" applyProtection="0"/>
    <xf numFmtId="0" fontId="56" fillId="25" borderId="0" applyNumberFormat="0" applyBorder="0" applyAlignment="0" applyProtection="0"/>
    <xf numFmtId="0" fontId="57" fillId="29" borderId="0" applyNumberFormat="0" applyBorder="0" applyAlignment="0" applyProtection="0"/>
    <xf numFmtId="0" fontId="56" fillId="29" borderId="0" applyNumberFormat="0" applyBorder="0" applyAlignment="0" applyProtection="0"/>
    <xf numFmtId="0" fontId="57" fillId="33" borderId="0" applyNumberFormat="0" applyBorder="0" applyAlignment="0" applyProtection="0"/>
    <xf numFmtId="0" fontId="56" fillId="33" borderId="0" applyNumberFormat="0" applyBorder="0" applyAlignment="0" applyProtection="0"/>
    <xf numFmtId="0" fontId="57" fillId="10" borderId="0" applyNumberFormat="0" applyBorder="0" applyAlignment="0" applyProtection="0"/>
    <xf numFmtId="0" fontId="56" fillId="10" borderId="0" applyNumberFormat="0" applyBorder="0" applyAlignment="0" applyProtection="0"/>
    <xf numFmtId="0" fontId="57" fillId="14" borderId="0" applyNumberFormat="0" applyBorder="0" applyAlignment="0" applyProtection="0"/>
    <xf numFmtId="0" fontId="56" fillId="14" borderId="0" applyNumberFormat="0" applyBorder="0" applyAlignment="0" applyProtection="0"/>
    <xf numFmtId="0" fontId="57" fillId="18" borderId="0" applyNumberFormat="0" applyBorder="0" applyAlignment="0" applyProtection="0"/>
    <xf numFmtId="0" fontId="56" fillId="18" borderId="0" applyNumberFormat="0" applyBorder="0" applyAlignment="0" applyProtection="0"/>
    <xf numFmtId="0" fontId="57" fillId="22" borderId="0" applyNumberFormat="0" applyBorder="0" applyAlignment="0" applyProtection="0"/>
    <xf numFmtId="0" fontId="56" fillId="22" borderId="0" applyNumberFormat="0" applyBorder="0" applyAlignment="0" applyProtection="0"/>
    <xf numFmtId="0" fontId="57" fillId="26" borderId="0" applyNumberFormat="0" applyBorder="0" applyAlignment="0" applyProtection="0"/>
    <xf numFmtId="0" fontId="56" fillId="26" borderId="0" applyNumberFormat="0" applyBorder="0" applyAlignment="0" applyProtection="0"/>
    <xf numFmtId="0" fontId="57" fillId="30" borderId="0" applyNumberFormat="0" applyBorder="0" applyAlignment="0" applyProtection="0"/>
    <xf numFmtId="0" fontId="56" fillId="30" borderId="0" applyNumberFormat="0" applyBorder="0" applyAlignment="0" applyProtection="0"/>
    <xf numFmtId="0" fontId="58" fillId="34" borderId="0" applyNumberFormat="0" applyBorder="0" applyAlignment="0" applyProtection="0"/>
    <xf numFmtId="2" fontId="13" fillId="0" borderId="0" applyProtection="0"/>
    <xf numFmtId="0" fontId="59" fillId="7" borderId="5" applyNumberFormat="0" applyAlignment="0" applyProtection="0"/>
    <xf numFmtId="0" fontId="51" fillId="7" borderId="5" applyNumberFormat="0" applyAlignment="0" applyProtection="0"/>
    <xf numFmtId="0" fontId="60" fillId="35" borderId="17"/>
    <xf numFmtId="0" fontId="61" fillId="36" borderId="18">
      <alignment horizontal="right" vertical="top" wrapText="1"/>
    </xf>
    <xf numFmtId="0" fontId="62" fillId="0" borderId="0"/>
    <xf numFmtId="0" fontId="63" fillId="37" borderId="19" applyNumberFormat="0" applyAlignment="0" applyProtection="0"/>
    <xf numFmtId="0" fontId="60" fillId="0" borderId="20"/>
    <xf numFmtId="0" fontId="64" fillId="38" borderId="21" applyNumberFormat="0" applyAlignment="0" applyProtection="0"/>
    <xf numFmtId="0" fontId="65" fillId="39" borderId="22">
      <alignment horizontal="left" vertical="top" wrapText="1"/>
    </xf>
    <xf numFmtId="0" fontId="66" fillId="40" borderId="0">
      <alignment horizontal="center"/>
    </xf>
    <xf numFmtId="0" fontId="67" fillId="40" borderId="0">
      <alignment horizontal="center" vertical="center"/>
    </xf>
    <xf numFmtId="0" fontId="14" fillId="41" borderId="0">
      <alignment horizontal="center" wrapText="1"/>
    </xf>
    <xf numFmtId="0" fontId="68" fillId="40" borderId="0">
      <alignment horizontal="center"/>
    </xf>
    <xf numFmtId="4" fontId="14" fillId="42" borderId="0" applyFont="0" applyFill="0" applyBorder="0" applyAlignment="0" applyProtection="0"/>
    <xf numFmtId="0" fontId="69" fillId="8" borderId="8" applyNumberFormat="0" applyAlignment="0" applyProtection="0"/>
    <xf numFmtId="0" fontId="53" fillId="8" borderId="8" applyNumberFormat="0" applyAlignment="0" applyProtection="0"/>
    <xf numFmtId="0" fontId="70" fillId="43" borderId="17" applyBorder="0">
      <protection locked="0"/>
    </xf>
    <xf numFmtId="174" fontId="14" fillId="0" borderId="0" applyFill="0" applyBorder="0" applyAlignment="0" applyProtection="0"/>
    <xf numFmtId="175" fontId="14" fillId="0" borderId="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0" fontId="71" fillId="0" borderId="0">
      <alignment horizontal="centerContinuous"/>
    </xf>
    <xf numFmtId="0" fontId="71" fillId="0" borderId="0" applyAlignment="0">
      <alignment horizontal="centerContinuous"/>
    </xf>
    <xf numFmtId="0" fontId="72" fillId="0" borderId="0" applyAlignment="0">
      <alignment horizontal="centerContinuous"/>
    </xf>
    <xf numFmtId="0" fontId="73" fillId="43" borderId="17">
      <protection locked="0"/>
    </xf>
    <xf numFmtId="0" fontId="14" fillId="43" borderId="20"/>
    <xf numFmtId="0" fontId="14" fillId="40" borderId="0"/>
    <xf numFmtId="172" fontId="14" fillId="0" borderId="0" applyFont="0" applyFill="0" applyBorder="0" applyAlignment="0" applyProtection="0"/>
    <xf numFmtId="0" fontId="74" fillId="0" borderId="0" applyNumberFormat="0" applyFill="0" applyBorder="0" applyAlignment="0" applyProtection="0"/>
    <xf numFmtId="3" fontId="31" fillId="0" borderId="0" applyFill="0" applyBorder="0" applyAlignment="0" applyProtection="0"/>
    <xf numFmtId="3" fontId="30" fillId="0" borderId="0" applyFill="0" applyBorder="0" applyAlignment="0" applyProtection="0"/>
    <xf numFmtId="3" fontId="29" fillId="0" borderId="0" applyFill="0" applyBorder="0" applyAlignment="0" applyProtection="0"/>
    <xf numFmtId="3" fontId="28" fillId="0" borderId="0" applyFill="0" applyBorder="0" applyAlignment="0" applyProtection="0"/>
    <xf numFmtId="3" fontId="27" fillId="0" borderId="0" applyFill="0" applyBorder="0" applyAlignment="0" applyProtection="0"/>
    <xf numFmtId="3" fontId="26" fillId="0" borderId="0" applyFill="0" applyBorder="0" applyAlignment="0" applyProtection="0"/>
    <xf numFmtId="3" fontId="13" fillId="0" borderId="0" applyFill="0" applyBorder="0" applyAlignment="0" applyProtection="0"/>
    <xf numFmtId="0" fontId="75" fillId="40" borderId="20">
      <alignment horizontal="left"/>
    </xf>
    <xf numFmtId="0" fontId="76" fillId="40" borderId="0">
      <alignment horizontal="left"/>
    </xf>
    <xf numFmtId="0" fontId="77" fillId="0" borderId="7" applyNumberFormat="0" applyFill="0" applyAlignment="0" applyProtection="0"/>
    <xf numFmtId="0" fontId="52" fillId="0" borderId="7" applyNumberFormat="0" applyFill="0" applyAlignment="0" applyProtection="0"/>
    <xf numFmtId="0" fontId="78" fillId="4" borderId="0" applyNumberFormat="0" applyBorder="0" applyAlignment="0" applyProtection="0"/>
    <xf numFmtId="0" fontId="46" fillId="4" borderId="0" applyNumberFormat="0" applyBorder="0" applyAlignment="0" applyProtection="0"/>
    <xf numFmtId="0" fontId="79" fillId="44" borderId="0" applyNumberFormat="0" applyBorder="0" applyAlignment="0" applyProtection="0"/>
    <xf numFmtId="0" fontId="80" fillId="45" borderId="0">
      <alignment horizontal="left" vertical="top"/>
    </xf>
    <xf numFmtId="0" fontId="61" fillId="46" borderId="0">
      <alignment horizontal="right" vertical="top" textRotation="90" wrapText="1"/>
    </xf>
    <xf numFmtId="0" fontId="81" fillId="0" borderId="0"/>
    <xf numFmtId="0" fontId="82" fillId="0" borderId="23" applyNumberFormat="0" applyFill="0" applyAlignment="0" applyProtection="0"/>
    <xf numFmtId="0" fontId="83" fillId="0" borderId="24" applyNumberFormat="0" applyFill="0" applyAlignment="0" applyProtection="0"/>
    <xf numFmtId="0" fontId="84" fillId="0" borderId="25" applyNumberFormat="0" applyFill="0" applyAlignment="0" applyProtection="0"/>
    <xf numFmtId="0" fontId="84" fillId="0" borderId="0" applyNumberFormat="0" applyFill="0" applyBorder="0" applyAlignment="0" applyProtection="0"/>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7" fillId="47" borderId="19" applyNumberFormat="0" applyAlignment="0" applyProtection="0"/>
    <xf numFmtId="0" fontId="88" fillId="6" borderId="5" applyNumberFormat="0" applyAlignment="0" applyProtection="0"/>
    <xf numFmtId="0" fontId="49" fillId="6" borderId="5" applyNumberFormat="0" applyAlignment="0" applyProtection="0"/>
    <xf numFmtId="0" fontId="45" fillId="41" borderId="0">
      <alignment horizontal="center"/>
    </xf>
    <xf numFmtId="0" fontId="14" fillId="40" borderId="20">
      <alignment horizontal="centerContinuous" wrapText="1"/>
    </xf>
    <xf numFmtId="0" fontId="89" fillId="45" borderId="0">
      <alignment horizontal="center" wrapText="1"/>
    </xf>
    <xf numFmtId="0" fontId="14" fillId="40" borderId="20">
      <alignment horizontal="centerContinuous" wrapText="1"/>
    </xf>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3" fillId="0" borderId="0" applyFont="0" applyFill="0" applyBorder="0" applyAlignment="0" applyProtection="0"/>
    <xf numFmtId="43" fontId="3" fillId="0" borderId="0" applyFont="0" applyFill="0" applyBorder="0" applyAlignment="0" applyProtection="0"/>
    <xf numFmtId="43" fontId="44"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14" fillId="0" borderId="0" applyFont="0" applyFill="0" applyBorder="0" applyAlignment="0" applyProtection="0"/>
    <xf numFmtId="43" fontId="44"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43" fontId="44" fillId="0" borderId="0" applyFont="0" applyFill="0" applyBorder="0" applyAlignment="0" applyProtection="0"/>
    <xf numFmtId="176" fontId="3" fillId="0" borderId="0" applyFont="0" applyFill="0" applyBorder="0" applyAlignment="0" applyProtection="0"/>
    <xf numFmtId="43" fontId="44" fillId="0" borderId="0" applyFont="0" applyFill="0" applyBorder="0" applyAlignment="0" applyProtection="0"/>
    <xf numFmtId="43" fontId="3" fillId="0" borderId="0" applyFont="0" applyFill="0" applyBorder="0" applyAlignment="0" applyProtection="0"/>
    <xf numFmtId="43" fontId="44" fillId="0" borderId="0" applyFont="0" applyFill="0" applyBorder="0" applyAlignment="0" applyProtection="0"/>
    <xf numFmtId="43" fontId="3" fillId="0" borderId="0" applyFont="0" applyFill="0" applyBorder="0" applyAlignment="0" applyProtection="0"/>
    <xf numFmtId="3" fontId="14" fillId="0" borderId="0" applyFill="0" applyBorder="0" applyAlignment="0" applyProtection="0"/>
    <xf numFmtId="0" fontId="90" fillId="0" borderId="0"/>
    <xf numFmtId="3" fontId="14" fillId="42" borderId="0" applyFont="0" applyFill="0" applyBorder="0" applyAlignment="0" applyProtection="0"/>
    <xf numFmtId="3" fontId="14" fillId="0" borderId="0" applyFill="0" applyBorder="0" applyAlignment="0" applyProtection="0"/>
    <xf numFmtId="169" fontId="14" fillId="0" borderId="0" applyFill="0" applyBorder="0" applyAlignment="0" applyProtection="0"/>
    <xf numFmtId="0" fontId="90" fillId="0" borderId="0"/>
    <xf numFmtId="0" fontId="91" fillId="0" borderId="2" applyNumberFormat="0" applyFill="0" applyAlignment="0" applyProtection="0"/>
    <xf numFmtId="0" fontId="92" fillId="0" borderId="3" applyNumberFormat="0" applyFill="0" applyAlignment="0" applyProtection="0"/>
    <xf numFmtId="0" fontId="93" fillId="0" borderId="4" applyNumberFormat="0" applyFill="0" applyAlignment="0" applyProtection="0"/>
    <xf numFmtId="0" fontId="93" fillId="0" borderId="0" applyNumberFormat="0" applyFill="0" applyBorder="0" applyAlignment="0" applyProtection="0"/>
    <xf numFmtId="0" fontId="15" fillId="0" borderId="0" applyProtection="0"/>
    <xf numFmtId="0" fontId="16" fillId="0" borderId="0" applyProtection="0"/>
    <xf numFmtId="0" fontId="15" fillId="0" borderId="0" applyNumberFormat="0" applyFill="0" applyBorder="0" applyAlignment="0" applyProtection="0"/>
    <xf numFmtId="0" fontId="16" fillId="0" borderId="0" applyNumberFormat="0" applyFill="0" applyBorder="0" applyAlignment="0" applyProtection="0"/>
    <xf numFmtId="0" fontId="94" fillId="40" borderId="13">
      <alignment wrapText="1"/>
    </xf>
    <xf numFmtId="0" fontId="94" fillId="40" borderId="15"/>
    <xf numFmtId="0" fontId="94" fillId="40" borderId="11"/>
    <xf numFmtId="0" fontId="60" fillId="40" borderId="16">
      <alignment horizontal="center" wrapText="1"/>
    </xf>
    <xf numFmtId="0" fontId="65" fillId="39" borderId="26">
      <alignment horizontal="left" vertical="top" wrapText="1"/>
    </xf>
    <xf numFmtId="0" fontId="95" fillId="0" borderId="27" applyNumberFormat="0" applyFill="0" applyAlignment="0" applyProtection="0"/>
    <xf numFmtId="0" fontId="14" fillId="0" borderId="0" applyFont="0" applyFill="0" applyBorder="0" applyAlignment="0" applyProtection="0"/>
    <xf numFmtId="168" fontId="13" fillId="0" borderId="0" applyProtection="0"/>
    <xf numFmtId="0" fontId="40" fillId="3" borderId="0" applyNumberFormat="0" applyBorder="0" applyAlignment="0" applyProtection="0"/>
    <xf numFmtId="0" fontId="48" fillId="3" borderId="0" applyNumberFormat="0" applyBorder="0" applyAlignment="0" applyProtection="0"/>
    <xf numFmtId="0" fontId="96" fillId="48" borderId="0" applyNumberFormat="0" applyBorder="0" applyAlignment="0" applyProtection="0"/>
    <xf numFmtId="0" fontId="13" fillId="0" borderId="0" applyNumberFormat="0" applyFont="0" applyFill="0" applyBorder="0" applyAlignment="0" applyProtection="0"/>
    <xf numFmtId="0" fontId="14" fillId="0" borderId="0" applyNumberFormat="0" applyFill="0" applyBorder="0" applyAlignment="0" applyProtection="0"/>
    <xf numFmtId="0" fontId="14" fillId="0" borderId="0">
      <alignment vertical="top"/>
    </xf>
    <xf numFmtId="0" fontId="14" fillId="0" borderId="0"/>
    <xf numFmtId="0" fontId="97" fillId="0" borderId="0"/>
    <xf numFmtId="0" fontId="14" fillId="0" borderId="0"/>
    <xf numFmtId="0" fontId="14" fillId="49" borderId="28" applyNumberFormat="0" applyFont="0" applyAlignment="0" applyProtection="0"/>
    <xf numFmtId="0" fontId="3" fillId="9" borderId="9" applyNumberFormat="0" applyFont="0" applyAlignment="0" applyProtection="0"/>
    <xf numFmtId="0" fontId="3" fillId="9" borderId="9" applyNumberFormat="0" applyFont="0" applyAlignment="0" applyProtection="0"/>
    <xf numFmtId="0" fontId="3" fillId="9" borderId="9" applyNumberFormat="0" applyFont="0" applyAlignment="0" applyProtection="0"/>
    <xf numFmtId="0" fontId="44" fillId="9" borderId="9" applyNumberFormat="0" applyFont="0" applyAlignment="0" applyProtection="0"/>
    <xf numFmtId="0" fontId="98" fillId="5" borderId="0" applyNumberFormat="0" applyBorder="0" applyAlignment="0" applyProtection="0"/>
    <xf numFmtId="0" fontId="47" fillId="5" borderId="0" applyNumberFormat="0" applyBorder="0" applyAlignment="0" applyProtection="0"/>
    <xf numFmtId="0" fontId="99" fillId="37" borderId="29" applyNumberFormat="0" applyAlignment="0" applyProtection="0"/>
    <xf numFmtId="0" fontId="90" fillId="0" borderId="0"/>
    <xf numFmtId="9" fontId="100" fillId="0" borderId="0" applyFont="0" applyFill="0" applyBorder="0" applyAlignment="0" applyProtection="0"/>
    <xf numFmtId="9" fontId="100" fillId="0" borderId="0" applyFont="0" applyFill="0" applyBorder="0" applyAlignment="0" applyProtection="0"/>
    <xf numFmtId="9" fontId="100"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NumberFormat="0" applyFont="0" applyFill="0" applyBorder="0" applyAlignment="0" applyProtection="0"/>
    <xf numFmtId="4" fontId="13" fillId="0" borderId="0" applyProtection="0"/>
    <xf numFmtId="0" fontId="60" fillId="40" borderId="20"/>
    <xf numFmtId="0" fontId="67" fillId="40" borderId="0">
      <alignment horizontal="right"/>
    </xf>
    <xf numFmtId="0" fontId="101" fillId="45" borderId="0">
      <alignment horizontal="center"/>
    </xf>
    <xf numFmtId="0" fontId="65" fillId="46" borderId="20">
      <alignment horizontal="left" vertical="top" wrapText="1"/>
    </xf>
    <xf numFmtId="0" fontId="102" fillId="46" borderId="12">
      <alignment horizontal="left" vertical="top" wrapText="1"/>
    </xf>
    <xf numFmtId="0" fontId="65" fillId="46" borderId="14">
      <alignment horizontal="left" vertical="top" wrapText="1"/>
    </xf>
    <xf numFmtId="0" fontId="65" fillId="46" borderId="12">
      <alignment horizontal="left" vertical="top"/>
    </xf>
    <xf numFmtId="4" fontId="103" fillId="50" borderId="30" applyNumberFormat="0" applyProtection="0">
      <alignment vertical="center"/>
    </xf>
    <xf numFmtId="4" fontId="104" fillId="48" borderId="30" applyNumberFormat="0" applyProtection="0">
      <alignment vertical="center"/>
    </xf>
    <xf numFmtId="4" fontId="104" fillId="48" borderId="30" applyNumberFormat="0" applyProtection="0">
      <alignment vertical="center"/>
    </xf>
    <xf numFmtId="4" fontId="103" fillId="50" borderId="30" applyNumberFormat="0" applyProtection="0">
      <alignment vertical="center"/>
    </xf>
    <xf numFmtId="4" fontId="105" fillId="50" borderId="30" applyNumberFormat="0" applyProtection="0">
      <alignment vertical="center"/>
    </xf>
    <xf numFmtId="4" fontId="105" fillId="50" borderId="30" applyNumberFormat="0" applyProtection="0">
      <alignment vertical="center"/>
    </xf>
    <xf numFmtId="4" fontId="106" fillId="50" borderId="30" applyNumberFormat="0" applyProtection="0">
      <alignment vertical="center"/>
    </xf>
    <xf numFmtId="4" fontId="105" fillId="50" borderId="30" applyNumberFormat="0" applyProtection="0">
      <alignment vertical="center"/>
    </xf>
    <xf numFmtId="4" fontId="107" fillId="50" borderId="30" applyNumberFormat="0" applyProtection="0">
      <alignment horizontal="left" vertical="center" indent="1"/>
    </xf>
    <xf numFmtId="4" fontId="107" fillId="50" borderId="30" applyNumberFormat="0" applyProtection="0">
      <alignment horizontal="left" vertical="center" indent="1"/>
    </xf>
    <xf numFmtId="4" fontId="104" fillId="50" borderId="30" applyNumberFormat="0" applyProtection="0">
      <alignment horizontal="left" vertical="center" indent="1"/>
    </xf>
    <xf numFmtId="4" fontId="107" fillId="50" borderId="30" applyNumberFormat="0" applyProtection="0">
      <alignment horizontal="left" vertical="center" indent="1"/>
    </xf>
    <xf numFmtId="0" fontId="104" fillId="50" borderId="30" applyNumberFormat="0" applyProtection="0">
      <alignment horizontal="left" vertical="top" indent="1"/>
    </xf>
    <xf numFmtId="0" fontId="14" fillId="0" borderId="0"/>
    <xf numFmtId="0" fontId="14" fillId="0" borderId="0"/>
    <xf numFmtId="4" fontId="107" fillId="51" borderId="0" applyNumberFormat="0" applyProtection="0">
      <alignment horizontal="left" vertical="center" indent="1"/>
    </xf>
    <xf numFmtId="4" fontId="107" fillId="52" borderId="0" applyNumberFormat="0" applyProtection="0">
      <alignment horizontal="left" vertical="center" indent="1"/>
    </xf>
    <xf numFmtId="4" fontId="107" fillId="51" borderId="0" applyNumberFormat="0" applyProtection="0">
      <alignment horizontal="left" vertical="center" indent="1"/>
    </xf>
    <xf numFmtId="4" fontId="107" fillId="52" borderId="0" applyNumberFormat="0" applyProtection="0">
      <alignment horizontal="left" vertical="center" indent="1"/>
    </xf>
    <xf numFmtId="4" fontId="107" fillId="51" borderId="0" applyNumberFormat="0" applyProtection="0">
      <alignment horizontal="left" vertical="center" indent="1"/>
    </xf>
    <xf numFmtId="4" fontId="107" fillId="51" borderId="0" applyNumberFormat="0" applyProtection="0">
      <alignment horizontal="left" vertical="center" indent="1"/>
    </xf>
    <xf numFmtId="4" fontId="107" fillId="52" borderId="0" applyNumberFormat="0" applyProtection="0">
      <alignment horizontal="left" vertical="center" indent="1"/>
    </xf>
    <xf numFmtId="4" fontId="107" fillId="45" borderId="30" applyNumberFormat="0" applyProtection="0">
      <alignment horizontal="right" vertical="center"/>
    </xf>
    <xf numFmtId="4" fontId="107" fillId="45" borderId="30" applyNumberFormat="0" applyProtection="0">
      <alignment horizontal="right" vertical="center"/>
    </xf>
    <xf numFmtId="4" fontId="97" fillId="34" borderId="30" applyNumberFormat="0" applyProtection="0">
      <alignment horizontal="right" vertical="center"/>
    </xf>
    <xf numFmtId="4" fontId="107" fillId="45" borderId="30" applyNumberFormat="0" applyProtection="0">
      <alignment horizontal="right" vertical="center"/>
    </xf>
    <xf numFmtId="4" fontId="107" fillId="53" borderId="30" applyNumberFormat="0" applyProtection="0">
      <alignment horizontal="right" vertical="center"/>
    </xf>
    <xf numFmtId="4" fontId="107" fillId="53" borderId="30" applyNumberFormat="0" applyProtection="0">
      <alignment horizontal="right" vertical="center"/>
    </xf>
    <xf numFmtId="4" fontId="97" fillId="54" borderId="30" applyNumberFormat="0" applyProtection="0">
      <alignment horizontal="right" vertical="center"/>
    </xf>
    <xf numFmtId="4" fontId="107" fillId="53" borderId="30" applyNumberFormat="0" applyProtection="0">
      <alignment horizontal="right" vertical="center"/>
    </xf>
    <xf numFmtId="4" fontId="107" fillId="55" borderId="30" applyNumberFormat="0" applyProtection="0">
      <alignment horizontal="right" vertical="center"/>
    </xf>
    <xf numFmtId="4" fontId="107" fillId="55" borderId="30" applyNumberFormat="0" applyProtection="0">
      <alignment horizontal="right" vertical="center"/>
    </xf>
    <xf numFmtId="4" fontId="97" fillId="56" borderId="30" applyNumberFormat="0" applyProtection="0">
      <alignment horizontal="right" vertical="center"/>
    </xf>
    <xf numFmtId="4" fontId="107" fillId="55" borderId="30" applyNumberFormat="0" applyProtection="0">
      <alignment horizontal="right" vertical="center"/>
    </xf>
    <xf numFmtId="4" fontId="107" fillId="57" borderId="30" applyNumberFormat="0" applyProtection="0">
      <alignment horizontal="right" vertical="center"/>
    </xf>
    <xf numFmtId="4" fontId="107" fillId="57" borderId="30" applyNumberFormat="0" applyProtection="0">
      <alignment horizontal="right" vertical="center"/>
    </xf>
    <xf numFmtId="4" fontId="97" fillId="58" borderId="30" applyNumberFormat="0" applyProtection="0">
      <alignment horizontal="right" vertical="center"/>
    </xf>
    <xf numFmtId="4" fontId="107" fillId="57" borderId="30" applyNumberFormat="0" applyProtection="0">
      <alignment horizontal="right" vertical="center"/>
    </xf>
    <xf numFmtId="4" fontId="107" fillId="59" borderId="30" applyNumberFormat="0" applyProtection="0">
      <alignment horizontal="right" vertical="center"/>
    </xf>
    <xf numFmtId="4" fontId="107" fillId="59" borderId="30" applyNumberFormat="0" applyProtection="0">
      <alignment horizontal="right" vertical="center"/>
    </xf>
    <xf numFmtId="4" fontId="97" fillId="60" borderId="30" applyNumberFormat="0" applyProtection="0">
      <alignment horizontal="right" vertical="center"/>
    </xf>
    <xf numFmtId="4" fontId="107" fillId="59" borderId="30" applyNumberFormat="0" applyProtection="0">
      <alignment horizontal="right" vertical="center"/>
    </xf>
    <xf numFmtId="4" fontId="107" fillId="61" borderId="30" applyNumberFormat="0" applyProtection="0">
      <alignment horizontal="right" vertical="center"/>
    </xf>
    <xf numFmtId="4" fontId="107" fillId="61" borderId="30" applyNumberFormat="0" applyProtection="0">
      <alignment horizontal="right" vertical="center"/>
    </xf>
    <xf numFmtId="4" fontId="97" fillId="62" borderId="30" applyNumberFormat="0" applyProtection="0">
      <alignment horizontal="right" vertical="center"/>
    </xf>
    <xf numFmtId="4" fontId="107" fillId="61" borderId="30" applyNumberFormat="0" applyProtection="0">
      <alignment horizontal="right" vertical="center"/>
    </xf>
    <xf numFmtId="4" fontId="107" fillId="63" borderId="30" applyNumberFormat="0" applyProtection="0">
      <alignment horizontal="right" vertical="center"/>
    </xf>
    <xf numFmtId="4" fontId="107" fillId="63" borderId="30" applyNumberFormat="0" applyProtection="0">
      <alignment horizontal="right" vertical="center"/>
    </xf>
    <xf numFmtId="4" fontId="97" fillId="64" borderId="30" applyNumberFormat="0" applyProtection="0">
      <alignment horizontal="right" vertical="center"/>
    </xf>
    <xf numFmtId="4" fontId="107" fillId="63" borderId="30" applyNumberFormat="0" applyProtection="0">
      <alignment horizontal="right" vertical="center"/>
    </xf>
    <xf numFmtId="4" fontId="107" fillId="65" borderId="30" applyNumberFormat="0" applyProtection="0">
      <alignment horizontal="right" vertical="center"/>
    </xf>
    <xf numFmtId="4" fontId="107" fillId="65" borderId="30" applyNumberFormat="0" applyProtection="0">
      <alignment horizontal="right" vertical="center"/>
    </xf>
    <xf numFmtId="4" fontId="97" fillId="66" borderId="30" applyNumberFormat="0" applyProtection="0">
      <alignment horizontal="right" vertical="center"/>
    </xf>
    <xf numFmtId="4" fontId="107" fillId="65" borderId="30" applyNumberFormat="0" applyProtection="0">
      <alignment horizontal="right" vertical="center"/>
    </xf>
    <xf numFmtId="4" fontId="107" fillId="67" borderId="30" applyNumberFormat="0" applyProtection="0">
      <alignment horizontal="right" vertical="center"/>
    </xf>
    <xf numFmtId="4" fontId="107" fillId="67" borderId="30" applyNumberFormat="0" applyProtection="0">
      <alignment horizontal="right" vertical="center"/>
    </xf>
    <xf numFmtId="4" fontId="97" fillId="68" borderId="30" applyNumberFormat="0" applyProtection="0">
      <alignment horizontal="right" vertical="center"/>
    </xf>
    <xf numFmtId="4" fontId="107" fillId="67" borderId="30" applyNumberFormat="0" applyProtection="0">
      <alignment horizontal="right" vertical="center"/>
    </xf>
    <xf numFmtId="4" fontId="103" fillId="69" borderId="31" applyNumberFormat="0" applyProtection="0">
      <alignment horizontal="left" vertical="center" indent="1"/>
    </xf>
    <xf numFmtId="4" fontId="103" fillId="70" borderId="31" applyNumberFormat="0" applyProtection="0">
      <alignment horizontal="left" vertical="center" indent="1"/>
    </xf>
    <xf numFmtId="4" fontId="103" fillId="70" borderId="31" applyNumberFormat="0" applyProtection="0">
      <alignment horizontal="left" vertical="center" indent="1"/>
    </xf>
    <xf numFmtId="4" fontId="103" fillId="69" borderId="31" applyNumberFormat="0" applyProtection="0">
      <alignment horizontal="left" vertical="center" indent="1"/>
    </xf>
    <xf numFmtId="4" fontId="103" fillId="71" borderId="0" applyNumberFormat="0" applyProtection="0">
      <alignment horizontal="left" vertical="center" indent="1"/>
    </xf>
    <xf numFmtId="4" fontId="97" fillId="72" borderId="0" applyNumberFormat="0" applyProtection="0">
      <alignment horizontal="left" vertical="center" indent="1"/>
    </xf>
    <xf numFmtId="4" fontId="97" fillId="72" borderId="0" applyNumberFormat="0" applyProtection="0">
      <alignment horizontal="left" vertical="center" indent="1"/>
    </xf>
    <xf numFmtId="4" fontId="103" fillId="71" borderId="0" applyNumberFormat="0" applyProtection="0">
      <alignment horizontal="left" vertical="center" indent="1"/>
    </xf>
    <xf numFmtId="4" fontId="103" fillId="51" borderId="0" applyNumberFormat="0" applyProtection="0">
      <alignment horizontal="left" vertical="center" indent="1"/>
    </xf>
    <xf numFmtId="4" fontId="103" fillId="51" borderId="0" applyNumberFormat="0" applyProtection="0">
      <alignment horizontal="left" vertical="center" indent="1"/>
    </xf>
    <xf numFmtId="4" fontId="103" fillId="51" borderId="0" applyNumberFormat="0" applyProtection="0">
      <alignment horizontal="left" vertical="center" indent="1"/>
    </xf>
    <xf numFmtId="4" fontId="107" fillId="71" borderId="30" applyNumberFormat="0" applyProtection="0">
      <alignment horizontal="right" vertical="center"/>
    </xf>
    <xf numFmtId="4" fontId="107" fillId="52" borderId="30" applyNumberFormat="0" applyProtection="0">
      <alignment horizontal="right" vertical="center"/>
    </xf>
    <xf numFmtId="4" fontId="107" fillId="71" borderId="30" applyNumberFormat="0" applyProtection="0">
      <alignment horizontal="right" vertical="center"/>
    </xf>
    <xf numFmtId="4" fontId="107" fillId="52" borderId="30" applyNumberFormat="0" applyProtection="0">
      <alignment horizontal="right" vertical="center"/>
    </xf>
    <xf numFmtId="4" fontId="107" fillId="71" borderId="30" applyNumberFormat="0" applyProtection="0">
      <alignment horizontal="right" vertical="center"/>
    </xf>
    <xf numFmtId="4" fontId="107" fillId="71" borderId="30" applyNumberFormat="0" applyProtection="0">
      <alignment horizontal="right" vertical="center"/>
    </xf>
    <xf numFmtId="4" fontId="107" fillId="71" borderId="30" applyNumberFormat="0" applyProtection="0">
      <alignment horizontal="right" vertical="center"/>
    </xf>
    <xf numFmtId="4" fontId="97" fillId="71" borderId="0" applyNumberFormat="0" applyProtection="0">
      <alignment horizontal="left" vertical="center" indent="1"/>
    </xf>
    <xf numFmtId="4" fontId="97" fillId="73" borderId="0" applyNumberFormat="0" applyProtection="0">
      <alignment horizontal="left" vertical="center" indent="1"/>
    </xf>
    <xf numFmtId="4" fontId="97" fillId="73" borderId="0" applyNumberFormat="0" applyProtection="0">
      <alignment horizontal="left" vertical="center" indent="1"/>
    </xf>
    <xf numFmtId="4" fontId="97" fillId="71" borderId="0" applyNumberFormat="0" applyProtection="0">
      <alignment horizontal="left" vertical="center" indent="1"/>
    </xf>
    <xf numFmtId="4" fontId="97" fillId="51" borderId="0" applyNumberFormat="0" applyProtection="0">
      <alignment horizontal="left" vertical="center" indent="1"/>
    </xf>
    <xf numFmtId="4" fontId="97" fillId="52" borderId="0" applyNumberFormat="0" applyProtection="0">
      <alignment horizontal="left" vertical="center" indent="1"/>
    </xf>
    <xf numFmtId="4" fontId="97" fillId="52" borderId="0" applyNumberFormat="0" applyProtection="0">
      <alignment horizontal="left" vertical="center" indent="1"/>
    </xf>
    <xf numFmtId="4" fontId="97" fillId="51" borderId="0" applyNumberFormat="0" applyProtection="0">
      <alignment horizontal="left" vertical="center" indent="1"/>
    </xf>
    <xf numFmtId="0" fontId="14" fillId="51" borderId="30" applyNumberFormat="0" applyProtection="0">
      <alignment horizontal="left" vertical="center" indent="1"/>
    </xf>
    <xf numFmtId="0" fontId="14" fillId="51" borderId="30" applyNumberFormat="0" applyProtection="0">
      <alignment horizontal="left" vertical="center" indent="1"/>
    </xf>
    <xf numFmtId="0" fontId="14" fillId="51" borderId="30" applyNumberFormat="0" applyProtection="0">
      <alignment horizontal="left" vertical="center" indent="1"/>
    </xf>
    <xf numFmtId="0" fontId="14" fillId="51" borderId="30" applyNumberFormat="0" applyProtection="0">
      <alignment horizontal="left" vertical="top" indent="1"/>
    </xf>
    <xf numFmtId="0" fontId="14" fillId="51" borderId="30" applyNumberFormat="0" applyProtection="0">
      <alignment horizontal="left" vertical="top" indent="1"/>
    </xf>
    <xf numFmtId="0" fontId="14" fillId="51" borderId="30" applyNumberFormat="0" applyProtection="0">
      <alignment horizontal="left" vertical="top" indent="1"/>
    </xf>
    <xf numFmtId="0" fontId="14" fillId="52" borderId="30" applyNumberFormat="0" applyProtection="0">
      <alignment horizontal="left" vertical="center" indent="1"/>
    </xf>
    <xf numFmtId="0" fontId="14" fillId="52" borderId="30" applyNumberFormat="0" applyProtection="0">
      <alignment horizontal="left" vertical="center" indent="1"/>
    </xf>
    <xf numFmtId="0" fontId="14" fillId="52" borderId="30" applyNumberFormat="0" applyProtection="0">
      <alignment horizontal="left" vertical="center" indent="1"/>
    </xf>
    <xf numFmtId="0" fontId="14" fillId="52" borderId="30" applyNumberFormat="0" applyProtection="0">
      <alignment horizontal="left" vertical="top" indent="1"/>
    </xf>
    <xf numFmtId="0" fontId="14" fillId="52" borderId="30" applyNumberFormat="0" applyProtection="0">
      <alignment horizontal="left" vertical="top" indent="1"/>
    </xf>
    <xf numFmtId="0" fontId="14" fillId="52" borderId="30" applyNumberFormat="0" applyProtection="0">
      <alignment horizontal="left" vertical="top" indent="1"/>
    </xf>
    <xf numFmtId="0" fontId="14" fillId="71" borderId="30" applyNumberFormat="0" applyProtection="0">
      <alignment horizontal="left" vertical="center" indent="1"/>
    </xf>
    <xf numFmtId="0" fontId="14" fillId="71" borderId="30" applyNumberFormat="0" applyProtection="0">
      <alignment horizontal="left" vertical="center" indent="1"/>
    </xf>
    <xf numFmtId="0" fontId="14" fillId="71" borderId="30" applyNumberFormat="0" applyProtection="0">
      <alignment horizontal="left" vertical="center" indent="1"/>
    </xf>
    <xf numFmtId="0" fontId="14" fillId="71" borderId="30" applyNumberFormat="0" applyProtection="0">
      <alignment horizontal="left" vertical="top" indent="1"/>
    </xf>
    <xf numFmtId="0" fontId="14" fillId="71" borderId="30" applyNumberFormat="0" applyProtection="0">
      <alignment horizontal="left" vertical="top" indent="1"/>
    </xf>
    <xf numFmtId="0" fontId="14" fillId="71" borderId="30" applyNumberFormat="0" applyProtection="0">
      <alignment horizontal="left" vertical="top" indent="1"/>
    </xf>
    <xf numFmtId="0" fontId="14" fillId="73" borderId="30" applyNumberFormat="0" applyProtection="0">
      <alignment horizontal="left" vertical="center" indent="1"/>
    </xf>
    <xf numFmtId="0" fontId="14" fillId="73" borderId="30" applyNumberFormat="0" applyProtection="0">
      <alignment horizontal="left" vertical="center" indent="1"/>
    </xf>
    <xf numFmtId="0" fontId="14" fillId="73" borderId="30" applyNumberFormat="0" applyProtection="0">
      <alignment horizontal="left" vertical="center" indent="1"/>
    </xf>
    <xf numFmtId="0" fontId="14" fillId="73" borderId="30" applyNumberFormat="0" applyProtection="0">
      <alignment horizontal="left" vertical="top" indent="1"/>
    </xf>
    <xf numFmtId="0" fontId="14" fillId="73" borderId="30" applyNumberFormat="0" applyProtection="0">
      <alignment horizontal="left" vertical="top" indent="1"/>
    </xf>
    <xf numFmtId="0" fontId="14" fillId="73" borderId="30" applyNumberFormat="0" applyProtection="0">
      <alignment horizontal="left" vertical="top" indent="1"/>
    </xf>
    <xf numFmtId="0" fontId="14" fillId="0" borderId="0"/>
    <xf numFmtId="0" fontId="14" fillId="0" borderId="0"/>
    <xf numFmtId="4" fontId="107" fillId="73" borderId="30" applyNumberFormat="0" applyProtection="0">
      <alignment vertical="center"/>
    </xf>
    <xf numFmtId="4" fontId="107" fillId="73" borderId="30" applyNumberFormat="0" applyProtection="0">
      <alignment vertical="center"/>
    </xf>
    <xf numFmtId="4" fontId="97" fillId="74" borderId="30" applyNumberFormat="0" applyProtection="0">
      <alignment vertical="center"/>
    </xf>
    <xf numFmtId="4" fontId="107" fillId="73" borderId="30" applyNumberFormat="0" applyProtection="0">
      <alignment vertical="center"/>
    </xf>
    <xf numFmtId="4" fontId="108" fillId="73" borderId="30" applyNumberFormat="0" applyProtection="0">
      <alignment vertical="center"/>
    </xf>
    <xf numFmtId="4" fontId="108" fillId="73" borderId="30" applyNumberFormat="0" applyProtection="0">
      <alignment vertical="center"/>
    </xf>
    <xf numFmtId="4" fontId="109" fillId="74" borderId="30" applyNumberFormat="0" applyProtection="0">
      <alignment vertical="center"/>
    </xf>
    <xf numFmtId="4" fontId="108" fillId="73" borderId="30" applyNumberFormat="0" applyProtection="0">
      <alignment vertical="center"/>
    </xf>
    <xf numFmtId="4" fontId="103" fillId="71" borderId="32" applyNumberFormat="0" applyProtection="0">
      <alignment horizontal="left" vertical="center" indent="1"/>
    </xf>
    <xf numFmtId="4" fontId="103" fillId="71" borderId="32" applyNumberFormat="0" applyProtection="0">
      <alignment horizontal="left" vertical="center" indent="1"/>
    </xf>
    <xf numFmtId="4" fontId="97" fillId="74" borderId="30" applyNumberFormat="0" applyProtection="0">
      <alignment horizontal="left" vertical="center" indent="1"/>
    </xf>
    <xf numFmtId="4" fontId="103" fillId="71" borderId="32" applyNumberFormat="0" applyProtection="0">
      <alignment horizontal="left" vertical="center" indent="1"/>
    </xf>
    <xf numFmtId="0" fontId="97" fillId="74" borderId="30" applyNumberFormat="0" applyProtection="0">
      <alignment horizontal="left" vertical="top" indent="1"/>
    </xf>
    <xf numFmtId="0" fontId="14" fillId="0" borderId="0"/>
    <xf numFmtId="0" fontId="14" fillId="0" borderId="0"/>
    <xf numFmtId="4" fontId="107" fillId="73" borderId="30" applyNumberFormat="0" applyProtection="0">
      <alignment horizontal="right" vertical="center"/>
    </xf>
    <xf numFmtId="4" fontId="107" fillId="73" borderId="30" applyNumberFormat="0" applyProtection="0">
      <alignment horizontal="right" vertical="center"/>
    </xf>
    <xf numFmtId="4" fontId="107" fillId="73" borderId="30" applyNumberFormat="0" applyProtection="0">
      <alignment horizontal="right" vertical="center"/>
    </xf>
    <xf numFmtId="4" fontId="107" fillId="73" borderId="30" applyNumberFormat="0" applyProtection="0">
      <alignment horizontal="right" vertical="center"/>
    </xf>
    <xf numFmtId="4" fontId="107" fillId="73" borderId="30" applyNumberFormat="0" applyProtection="0">
      <alignment horizontal="right" vertical="center"/>
    </xf>
    <xf numFmtId="4" fontId="107" fillId="73" borderId="30" applyNumberFormat="0" applyProtection="0">
      <alignment horizontal="right" vertical="center"/>
    </xf>
    <xf numFmtId="4" fontId="108" fillId="44" borderId="30" applyNumberFormat="0" applyProtection="0">
      <alignment horizontal="right" vertical="center"/>
    </xf>
    <xf numFmtId="4" fontId="108" fillId="73" borderId="30" applyNumberFormat="0" applyProtection="0">
      <alignment horizontal="right" vertical="center"/>
    </xf>
    <xf numFmtId="4" fontId="109" fillId="72" borderId="30" applyNumberFormat="0" applyProtection="0">
      <alignment horizontal="right" vertical="center"/>
    </xf>
    <xf numFmtId="4" fontId="108" fillId="73" borderId="30" applyNumberFormat="0" applyProtection="0">
      <alignment horizontal="right" vertical="center"/>
    </xf>
    <xf numFmtId="4" fontId="103" fillId="71" borderId="30" applyNumberFormat="0" applyProtection="0">
      <alignment horizontal="left" vertical="center" indent="1"/>
    </xf>
    <xf numFmtId="4" fontId="103" fillId="71" borderId="30" applyNumberFormat="0" applyProtection="0">
      <alignment horizontal="left" vertical="center" indent="1"/>
    </xf>
    <xf numFmtId="4" fontId="103" fillId="71" borderId="30" applyNumberFormat="0" applyProtection="0">
      <alignment horizontal="left" vertical="center" indent="1"/>
    </xf>
    <xf numFmtId="4" fontId="103" fillId="71" borderId="30" applyNumberFormat="0" applyProtection="0">
      <alignment horizontal="left" vertical="center" indent="1"/>
    </xf>
    <xf numFmtId="4" fontId="103" fillId="52" borderId="30" applyNumberFormat="0" applyProtection="0">
      <alignment horizontal="left" vertical="center" indent="1"/>
    </xf>
    <xf numFmtId="4" fontId="103" fillId="52" borderId="30" applyNumberFormat="0" applyProtection="0">
      <alignment horizontal="left" vertical="center" indent="1"/>
    </xf>
    <xf numFmtId="4" fontId="103" fillId="71" borderId="30" applyNumberFormat="0" applyProtection="0">
      <alignment horizontal="left" vertical="center" indent="1"/>
    </xf>
    <xf numFmtId="0" fontId="97" fillId="52" borderId="30" applyNumberFormat="0" applyProtection="0">
      <alignment horizontal="left" vertical="top" indent="1"/>
    </xf>
    <xf numFmtId="0" fontId="97" fillId="52" borderId="30" applyNumberFormat="0" applyProtection="0">
      <alignment horizontal="left" vertical="top" indent="1"/>
    </xf>
    <xf numFmtId="0" fontId="14" fillId="0" borderId="0"/>
    <xf numFmtId="4" fontId="110" fillId="52" borderId="32" applyNumberFormat="0" applyProtection="0">
      <alignment horizontal="left" vertical="center" indent="1"/>
    </xf>
    <xf numFmtId="4" fontId="110" fillId="52" borderId="32" applyNumberFormat="0" applyProtection="0">
      <alignment horizontal="left" vertical="center" indent="1"/>
    </xf>
    <xf numFmtId="4" fontId="110" fillId="75" borderId="0" applyNumberFormat="0" applyProtection="0">
      <alignment horizontal="left" vertical="center" indent="1"/>
    </xf>
    <xf numFmtId="4" fontId="110" fillId="52" borderId="32" applyNumberFormat="0" applyProtection="0">
      <alignment horizontal="left" vertical="center" indent="1"/>
    </xf>
    <xf numFmtId="4" fontId="111" fillId="73" borderId="30" applyNumberFormat="0" applyProtection="0">
      <alignment horizontal="right" vertical="center"/>
    </xf>
    <xf numFmtId="4" fontId="111" fillId="73" borderId="30" applyNumberFormat="0" applyProtection="0">
      <alignment horizontal="right" vertical="center"/>
    </xf>
    <xf numFmtId="4" fontId="112" fillId="72" borderId="30" applyNumberFormat="0" applyProtection="0">
      <alignment horizontal="right" vertical="center"/>
    </xf>
    <xf numFmtId="4" fontId="111" fillId="73" borderId="30" applyNumberFormat="0" applyProtection="0">
      <alignment horizontal="right" vertical="center"/>
    </xf>
    <xf numFmtId="0" fontId="3" fillId="0" borderId="0"/>
    <xf numFmtId="0" fontId="113" fillId="0" borderId="0"/>
    <xf numFmtId="0" fontId="14" fillId="0" borderId="0"/>
    <xf numFmtId="0" fontId="44" fillId="0" borderId="0"/>
    <xf numFmtId="0" fontId="44" fillId="0" borderId="0"/>
    <xf numFmtId="0" fontId="44" fillId="0" borderId="0"/>
    <xf numFmtId="0" fontId="44" fillId="0" borderId="0"/>
    <xf numFmtId="0" fontId="43" fillId="0" borderId="0"/>
    <xf numFmtId="0" fontId="44" fillId="0" borderId="0"/>
    <xf numFmtId="0" fontId="44" fillId="0" borderId="0"/>
    <xf numFmtId="0" fontId="44" fillId="0" borderId="0"/>
    <xf numFmtId="0" fontId="44" fillId="0" borderId="0"/>
    <xf numFmtId="0" fontId="44" fillId="0" borderId="0"/>
    <xf numFmtId="0" fontId="3" fillId="0" borderId="0"/>
    <xf numFmtId="0" fontId="14" fillId="0" borderId="0"/>
    <xf numFmtId="0" fontId="14" fillId="0" borderId="0"/>
    <xf numFmtId="0" fontId="100" fillId="0" borderId="0"/>
    <xf numFmtId="0" fontId="44" fillId="0" borderId="0"/>
    <xf numFmtId="0" fontId="44" fillId="0" borderId="0"/>
    <xf numFmtId="0" fontId="44" fillId="0" borderId="0"/>
    <xf numFmtId="0" fontId="44" fillId="0" borderId="0"/>
    <xf numFmtId="0" fontId="14" fillId="0" borderId="0"/>
    <xf numFmtId="0" fontId="44" fillId="0" borderId="0"/>
    <xf numFmtId="0" fontId="44" fillId="0" borderId="0"/>
    <xf numFmtId="0" fontId="3" fillId="0" borderId="0"/>
    <xf numFmtId="0" fontId="14" fillId="0" borderId="0"/>
    <xf numFmtId="0" fontId="14" fillId="0" borderId="0"/>
    <xf numFmtId="0" fontId="14" fillId="0" borderId="0"/>
    <xf numFmtId="0" fontId="14" fillId="0" borderId="0"/>
    <xf numFmtId="0" fontId="14" fillId="0" borderId="0"/>
    <xf numFmtId="0" fontId="44" fillId="0" borderId="0"/>
    <xf numFmtId="0" fontId="3" fillId="0" borderId="0"/>
    <xf numFmtId="0" fontId="44" fillId="0" borderId="0"/>
    <xf numFmtId="0" fontId="3" fillId="0" borderId="0"/>
    <xf numFmtId="0" fontId="44" fillId="0" borderId="0"/>
    <xf numFmtId="0" fontId="44" fillId="0" borderId="0"/>
    <xf numFmtId="0" fontId="3" fillId="0" borderId="0"/>
    <xf numFmtId="0" fontId="3" fillId="0" borderId="0"/>
    <xf numFmtId="0" fontId="27" fillId="0" borderId="0"/>
    <xf numFmtId="0" fontId="80" fillId="76" borderId="0">
      <alignment horizontal="left"/>
    </xf>
    <xf numFmtId="0" fontId="89" fillId="76" borderId="0">
      <alignment horizontal="left" wrapText="1"/>
    </xf>
    <xf numFmtId="0" fontId="80" fillId="76" borderId="0">
      <alignment horizontal="left"/>
    </xf>
    <xf numFmtId="0" fontId="114" fillId="0" borderId="33"/>
    <xf numFmtId="0" fontId="115" fillId="0" borderId="0"/>
    <xf numFmtId="0" fontId="66" fillId="40" borderId="0">
      <alignment horizontal="center"/>
    </xf>
    <xf numFmtId="0" fontId="116" fillId="0" borderId="0" applyNumberFormat="0" applyFill="0" applyBorder="0" applyAlignment="0" applyProtection="0"/>
    <xf numFmtId="0" fontId="81" fillId="40" borderId="0"/>
    <xf numFmtId="0" fontId="80" fillId="76" borderId="0">
      <alignment horizontal="left"/>
    </xf>
    <xf numFmtId="0" fontId="14" fillId="0" borderId="1" applyNumberFormat="0" applyFill="0" applyAlignment="0" applyProtection="0"/>
    <xf numFmtId="0" fontId="9" fillId="0" borderId="10" applyNumberFormat="0" applyFill="0" applyAlignment="0" applyProtection="0"/>
    <xf numFmtId="0" fontId="14" fillId="0" borderId="34" applyNumberFormat="0" applyFill="0" applyAlignment="0" applyProtection="0"/>
    <xf numFmtId="0" fontId="14" fillId="0" borderId="1" applyNumberFormat="0" applyFill="0" applyAlignment="0" applyProtection="0"/>
    <xf numFmtId="41" fontId="27" fillId="0" borderId="0" applyFont="0" applyFill="0" applyBorder="0" applyAlignment="0" applyProtection="0"/>
    <xf numFmtId="43" fontId="27" fillId="0" borderId="0" applyFont="0" applyFill="0" applyBorder="0" applyAlignment="0" applyProtection="0"/>
    <xf numFmtId="0" fontId="117" fillId="7" borderId="6" applyNumberFormat="0" applyAlignment="0" applyProtection="0"/>
    <xf numFmtId="0" fontId="50" fillId="7" borderId="6" applyNumberFormat="0" applyAlignment="0" applyProtection="0"/>
    <xf numFmtId="164" fontId="27"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177" fontId="14" fillId="0" borderId="0" applyFill="0" applyBorder="0" applyAlignment="0" applyProtection="0"/>
    <xf numFmtId="2" fontId="14" fillId="0" borderId="0" applyFill="0" applyBorder="0" applyAlignment="0" applyProtection="0"/>
    <xf numFmtId="0" fontId="118" fillId="0" borderId="0" applyNumberFormat="0" applyFill="0" applyBorder="0" applyAlignment="0" applyProtection="0"/>
    <xf numFmtId="0" fontId="55" fillId="0" borderId="0" applyNumberFormat="0" applyFill="0" applyBorder="0" applyAlignment="0" applyProtection="0"/>
    <xf numFmtId="0" fontId="33" fillId="0" borderId="0" applyNumberFormat="0" applyFill="0" applyBorder="0" applyAlignment="0" applyProtection="0"/>
    <xf numFmtId="0" fontId="54" fillId="0" borderId="0" applyNumberFormat="0" applyFill="0" applyBorder="0" applyAlignment="0" applyProtection="0"/>
    <xf numFmtId="164" fontId="27" fillId="0" borderId="0" applyFont="0" applyFill="0" applyBorder="0" applyAlignment="0" applyProtection="0"/>
    <xf numFmtId="165" fontId="27" fillId="0" borderId="0" applyFont="0" applyFill="0" applyBorder="0" applyAlignment="0" applyProtection="0"/>
    <xf numFmtId="0" fontId="119" fillId="0" borderId="0" applyNumberFormat="0" applyFill="0" applyBorder="0" applyAlignment="0" applyProtection="0"/>
    <xf numFmtId="9" fontId="41" fillId="0" borderId="0" applyFont="0" applyFill="0" applyBorder="0" applyAlignment="0" applyProtection="0"/>
    <xf numFmtId="0" fontId="1" fillId="0" borderId="0"/>
    <xf numFmtId="0" fontId="122" fillId="0" borderId="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13" fillId="0" borderId="0" applyProtection="0"/>
    <xf numFmtId="0" fontId="13" fillId="0" borderId="0" applyProtection="0"/>
    <xf numFmtId="14" fontId="14" fillId="0" borderId="0" applyFont="0" applyFill="0" applyBorder="0" applyAlignment="0" applyProtection="0"/>
    <xf numFmtId="2" fontId="13" fillId="0" borderId="0" applyProtection="0"/>
    <xf numFmtId="2" fontId="13" fillId="0" borderId="0" applyProtection="0"/>
    <xf numFmtId="0" fontId="15" fillId="0" borderId="0" applyProtection="0"/>
    <xf numFmtId="0" fontId="16" fillId="0" borderId="0" applyProtection="0"/>
    <xf numFmtId="3" fontId="14" fillId="0" borderId="0" applyFont="0" applyFill="0" applyBorder="0" applyAlignment="0" applyProtection="0"/>
    <xf numFmtId="0" fontId="15" fillId="0" borderId="0" applyNumberFormat="0" applyFont="0" applyFill="0" applyAlignment="0" applyProtection="0"/>
    <xf numFmtId="0" fontId="16" fillId="0" borderId="0" applyNumberFormat="0" applyFont="0" applyFill="0" applyAlignment="0" applyProtection="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22" fillId="0" borderId="0"/>
    <xf numFmtId="0" fontId="1" fillId="0" borderId="0"/>
    <xf numFmtId="0" fontId="14" fillId="0" borderId="0"/>
    <xf numFmtId="0" fontId="14" fillId="0" borderId="0"/>
    <xf numFmtId="0" fontId="1" fillId="0" borderId="0"/>
    <xf numFmtId="0" fontId="14" fillId="0" borderId="0"/>
    <xf numFmtId="0" fontId="1"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 fillId="0" borderId="0"/>
    <xf numFmtId="0" fontId="1" fillId="0" borderId="0"/>
    <xf numFmtId="0" fontId="1"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4" fillId="0" borderId="0"/>
    <xf numFmtId="0" fontId="14" fillId="0" borderId="0"/>
    <xf numFmtId="0" fontId="13" fillId="0" borderId="0">
      <alignment vertical="top"/>
    </xf>
    <xf numFmtId="0" fontId="1" fillId="0" borderId="0"/>
    <xf numFmtId="0" fontId="14" fillId="0" borderId="0"/>
    <xf numFmtId="0" fontId="14" fillId="0" borderId="0"/>
    <xf numFmtId="0" fontId="1" fillId="0" borderId="0"/>
    <xf numFmtId="0" fontId="13" fillId="0" borderId="0">
      <alignment vertical="top"/>
    </xf>
    <xf numFmtId="0" fontId="1" fillId="0" borderId="0"/>
    <xf numFmtId="0" fontId="13" fillId="0" borderId="0">
      <alignment vertical="top"/>
    </xf>
    <xf numFmtId="0" fontId="1" fillId="0" borderId="0"/>
    <xf numFmtId="0" fontId="13"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0" fontId="13" fillId="0" borderId="0" applyProtection="0"/>
    <xf numFmtId="10" fontId="13" fillId="0" borderId="0" applyProtection="0"/>
    <xf numFmtId="9" fontId="14" fillId="0" borderId="0" applyFont="0" applyFill="0" applyBorder="0" applyAlignment="0" applyProtection="0"/>
    <xf numFmtId="10" fontId="13" fillId="0" borderId="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81" fontId="123" fillId="0" borderId="0"/>
    <xf numFmtId="0" fontId="14" fillId="0" borderId="35" applyNumberFormat="0" applyFont="0" applyBorder="0" applyAlignment="0" applyProtection="0"/>
    <xf numFmtId="0" fontId="13" fillId="0" borderId="36" applyProtection="0"/>
    <xf numFmtId="0" fontId="13" fillId="0" borderId="36" applyProtection="0"/>
    <xf numFmtId="0" fontId="13" fillId="0" borderId="36"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82"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77"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82"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77" fontId="14" fillId="0" borderId="0" applyFont="0" applyFill="0" applyBorder="0" applyAlignment="0" applyProtection="0"/>
    <xf numFmtId="2" fontId="14" fillId="0" borderId="0" applyFont="0" applyFill="0" applyBorder="0" applyAlignment="0" applyProtection="0"/>
    <xf numFmtId="171" fontId="14" fillId="42" borderId="0"/>
    <xf numFmtId="171" fontId="14" fillId="42" borderId="0"/>
    <xf numFmtId="0" fontId="124" fillId="0" borderId="0" applyNumberFormat="0" applyFill="0" applyBorder="0" applyAlignment="0" applyProtection="0"/>
    <xf numFmtId="0" fontId="122"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3"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0" fontId="59" fillId="7" borderId="5" applyNumberFormat="0" applyAlignment="0" applyProtection="0"/>
    <xf numFmtId="0" fontId="69" fillId="8" borderId="8" applyNumberFormat="0" applyAlignment="0" applyProtection="0"/>
    <xf numFmtId="0" fontId="77" fillId="0" borderId="7" applyNumberFormat="0" applyFill="0" applyAlignment="0" applyProtection="0"/>
    <xf numFmtId="0" fontId="78" fillId="4" borderId="0" applyNumberFormat="0" applyBorder="0" applyAlignment="0" applyProtection="0"/>
    <xf numFmtId="0" fontId="88" fillId="6" borderId="5" applyNumberFormat="0" applyAlignment="0" applyProtection="0"/>
    <xf numFmtId="0" fontId="91" fillId="0" borderId="2" applyNumberFormat="0" applyFill="0" applyAlignment="0" applyProtection="0"/>
    <xf numFmtId="0" fontId="92" fillId="0" borderId="3" applyNumberFormat="0" applyFill="0" applyAlignment="0" applyProtection="0"/>
    <xf numFmtId="0" fontId="93" fillId="0" borderId="4" applyNumberFormat="0" applyFill="0" applyAlignment="0" applyProtection="0"/>
    <xf numFmtId="0" fontId="93" fillId="0" borderId="0" applyNumberFormat="0" applyFill="0" applyBorder="0" applyAlignment="0" applyProtection="0"/>
    <xf numFmtId="0" fontId="40" fillId="3" borderId="0" applyNumberFormat="0" applyBorder="0" applyAlignment="0" applyProtection="0"/>
    <xf numFmtId="0" fontId="122" fillId="0" borderId="0"/>
    <xf numFmtId="0" fontId="122" fillId="9" borderId="9" applyNumberFormat="0" applyFont="0" applyAlignment="0" applyProtection="0"/>
    <xf numFmtId="0" fontId="98" fillId="5" borderId="0" applyNumberFormat="0" applyBorder="0" applyAlignment="0" applyProtection="0"/>
    <xf numFmtId="0" fontId="137" fillId="0" borderId="0" applyNumberFormat="0" applyFill="0" applyBorder="0" applyAlignment="0" applyProtection="0"/>
    <xf numFmtId="0" fontId="9" fillId="0" borderId="10" applyNumberFormat="0" applyFill="0" applyAlignment="0" applyProtection="0"/>
    <xf numFmtId="0" fontId="117" fillId="7" borderId="6" applyNumberFormat="0" applyAlignment="0" applyProtection="0"/>
    <xf numFmtId="0" fontId="118" fillId="0" borderId="0" applyNumberFormat="0" applyFill="0" applyBorder="0" applyAlignment="0" applyProtection="0"/>
    <xf numFmtId="0" fontId="33" fillId="0" borderId="0" applyNumberFormat="0" applyFill="0" applyBorder="0" applyAlignment="0" applyProtection="0"/>
    <xf numFmtId="0" fontId="138" fillId="0" borderId="0" applyNumberFormat="0" applyFill="0" applyBorder="0" applyAlignment="0" applyProtection="0"/>
    <xf numFmtId="0" fontId="91" fillId="0" borderId="2" applyNumberFormat="0" applyFill="0" applyAlignment="0" applyProtection="0"/>
    <xf numFmtId="0" fontId="92" fillId="0" borderId="3" applyNumberFormat="0" applyFill="0" applyAlignment="0" applyProtection="0"/>
    <xf numFmtId="0" fontId="93" fillId="0" borderId="4" applyNumberFormat="0" applyFill="0" applyAlignment="0" applyProtection="0"/>
    <xf numFmtId="0" fontId="93" fillId="0" borderId="0" applyNumberFormat="0" applyFill="0" applyBorder="0" applyAlignment="0" applyProtection="0"/>
    <xf numFmtId="0" fontId="78" fillId="4" borderId="0" applyNumberFormat="0" applyBorder="0" applyAlignment="0" applyProtection="0"/>
    <xf numFmtId="0" fontId="98" fillId="5" borderId="0" applyNumberFormat="0" applyBorder="0" applyAlignment="0" applyProtection="0"/>
    <xf numFmtId="0" fontId="88" fillId="6" borderId="5" applyNumberFormat="0" applyAlignment="0" applyProtection="0"/>
    <xf numFmtId="0" fontId="117" fillId="7" borderId="6" applyNumberFormat="0" applyAlignment="0" applyProtection="0"/>
    <xf numFmtId="0" fontId="59" fillId="7" borderId="5" applyNumberFormat="0" applyAlignment="0" applyProtection="0"/>
    <xf numFmtId="0" fontId="77" fillId="0" borderId="7" applyNumberFormat="0" applyFill="0" applyAlignment="0" applyProtection="0"/>
    <xf numFmtId="0" fontId="69" fillId="8" borderId="8" applyNumberFormat="0" applyAlignment="0" applyProtection="0"/>
    <xf numFmtId="0" fontId="33" fillId="0" borderId="0" applyNumberFormat="0" applyFill="0" applyBorder="0" applyAlignment="0" applyProtection="0"/>
    <xf numFmtId="0" fontId="118" fillId="0" borderId="0" applyNumberFormat="0" applyFill="0" applyBorder="0" applyAlignment="0" applyProtection="0"/>
    <xf numFmtId="0" fontId="9" fillId="0" borderId="10" applyNumberFormat="0" applyFill="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39" fillId="0" borderId="0" applyNumberFormat="0" applyFill="0" applyBorder="0" applyAlignment="0" applyProtection="0"/>
    <xf numFmtId="0" fontId="140" fillId="0" borderId="0" applyNumberFormat="0" applyFill="0" applyBorder="0" applyAlignment="0" applyProtection="0"/>
    <xf numFmtId="0" fontId="41" fillId="0" borderId="0"/>
  </cellStyleXfs>
  <cellXfs count="434">
    <xf numFmtId="0" fontId="0" fillId="0" borderId="0" xfId="0"/>
    <xf numFmtId="0" fontId="4" fillId="0" borderId="0" xfId="0" applyFont="1"/>
    <xf numFmtId="0" fontId="5" fillId="0" borderId="0" xfId="0" applyFont="1"/>
    <xf numFmtId="0" fontId="6" fillId="0" borderId="0" xfId="0" applyFont="1"/>
    <xf numFmtId="0" fontId="7" fillId="0" borderId="0" xfId="0" applyFont="1"/>
    <xf numFmtId="166" fontId="7" fillId="0" borderId="0" xfId="0" applyNumberFormat="1" applyFont="1"/>
    <xf numFmtId="166" fontId="6" fillId="0" borderId="0" xfId="0" applyNumberFormat="1" applyFont="1"/>
    <xf numFmtId="0" fontId="7" fillId="0" borderId="0" xfId="0" applyFont="1" applyFill="1"/>
    <xf numFmtId="0" fontId="7" fillId="0" borderId="0" xfId="0" applyFont="1" applyAlignment="1">
      <alignment horizontal="left"/>
    </xf>
    <xf numFmtId="0" fontId="7" fillId="0" borderId="0" xfId="0" applyFont="1" applyFill="1" applyBorder="1" applyAlignment="1"/>
    <xf numFmtId="0" fontId="7" fillId="0" borderId="0" xfId="0" applyFont="1" applyFill="1" applyBorder="1"/>
    <xf numFmtId="1" fontId="7" fillId="0" borderId="0" xfId="0" applyNumberFormat="1" applyFont="1" applyFill="1" applyBorder="1" applyAlignment="1">
      <alignment horizontal="right"/>
    </xf>
    <xf numFmtId="167" fontId="6" fillId="0" borderId="0" xfId="0" applyNumberFormat="1" applyFont="1"/>
    <xf numFmtId="0" fontId="7" fillId="0" borderId="0" xfId="0" applyFont="1" applyAlignment="1">
      <alignment horizontal="right"/>
    </xf>
    <xf numFmtId="0" fontId="4" fillId="2" borderId="0" xfId="0" applyFont="1" applyFill="1"/>
    <xf numFmtId="0" fontId="6" fillId="2" borderId="0" xfId="0" applyFont="1" applyFill="1"/>
    <xf numFmtId="0" fontId="5" fillId="2" borderId="0" xfId="0" applyFont="1" applyFill="1"/>
    <xf numFmtId="0" fontId="7" fillId="2" borderId="0" xfId="0" applyFont="1" applyFill="1"/>
    <xf numFmtId="166" fontId="6" fillId="0" borderId="0" xfId="0" applyNumberFormat="1" applyFont="1" applyFill="1" applyBorder="1"/>
    <xf numFmtId="0" fontId="10" fillId="0" borderId="0" xfId="0" applyFont="1"/>
    <xf numFmtId="0" fontId="4" fillId="0" borderId="0" xfId="0" applyFont="1" applyFill="1"/>
    <xf numFmtId="0" fontId="4" fillId="0" borderId="0" xfId="1" applyFont="1"/>
    <xf numFmtId="0" fontId="4" fillId="0" borderId="0" xfId="1" applyFont="1" applyAlignment="1">
      <alignment horizontal="right"/>
    </xf>
    <xf numFmtId="0" fontId="4" fillId="0" borderId="0" xfId="1" applyFont="1" applyAlignment="1">
      <alignment horizontal="left"/>
    </xf>
    <xf numFmtId="0" fontId="12" fillId="0" borderId="0" xfId="1" applyFont="1" applyAlignment="1">
      <alignment horizontal="left"/>
    </xf>
    <xf numFmtId="0" fontId="6" fillId="2" borderId="0" xfId="1" applyFont="1" applyFill="1"/>
    <xf numFmtId="166" fontId="6" fillId="2" borderId="0" xfId="1" applyNumberFormat="1" applyFont="1" applyFill="1"/>
    <xf numFmtId="0" fontId="6" fillId="2" borderId="0" xfId="1" applyFont="1" applyFill="1" applyAlignment="1">
      <alignment horizontal="right"/>
    </xf>
    <xf numFmtId="0" fontId="6" fillId="2" borderId="0" xfId="1" applyFont="1" applyFill="1" applyAlignment="1">
      <alignment horizontal="left"/>
    </xf>
    <xf numFmtId="0" fontId="5" fillId="2" borderId="0" xfId="1" applyFont="1" applyFill="1"/>
    <xf numFmtId="0" fontId="10" fillId="2" borderId="0" xfId="1" applyFont="1" applyFill="1" applyAlignment="1">
      <alignment horizontal="left"/>
    </xf>
    <xf numFmtId="0" fontId="10" fillId="2" borderId="0" xfId="1" applyFont="1" applyFill="1"/>
    <xf numFmtId="167" fontId="10" fillId="2" borderId="0" xfId="0" applyNumberFormat="1" applyFont="1" applyFill="1"/>
    <xf numFmtId="0" fontId="6" fillId="0" borderId="0" xfId="1" applyFont="1" applyFill="1"/>
    <xf numFmtId="0" fontId="18" fillId="0" borderId="0" xfId="0" applyFont="1"/>
    <xf numFmtId="0" fontId="9" fillId="0" borderId="0" xfId="0" applyFont="1"/>
    <xf numFmtId="0" fontId="10" fillId="2" borderId="0" xfId="0" applyFont="1" applyFill="1"/>
    <xf numFmtId="166" fontId="10" fillId="2" borderId="0" xfId="0" applyNumberFormat="1" applyFont="1" applyFill="1"/>
    <xf numFmtId="169" fontId="7" fillId="0" borderId="0" xfId="0" applyNumberFormat="1" applyFont="1" applyFill="1"/>
    <xf numFmtId="169" fontId="4" fillId="0" borderId="0" xfId="0" applyNumberFormat="1" applyFont="1" applyFill="1"/>
    <xf numFmtId="0" fontId="18" fillId="0" borderId="0" xfId="0" applyFont="1" applyAlignment="1">
      <alignment horizontal="left"/>
    </xf>
    <xf numFmtId="0" fontId="9" fillId="0" borderId="0" xfId="0" applyFont="1" applyBorder="1" applyAlignment="1">
      <alignment horizontal="left" vertical="center" wrapText="1"/>
    </xf>
    <xf numFmtId="0" fontId="5" fillId="0" borderId="0" xfId="0" applyFont="1" applyAlignment="1">
      <alignment horizontal="left"/>
    </xf>
    <xf numFmtId="169" fontId="18" fillId="0" borderId="0" xfId="0" applyNumberFormat="1" applyFont="1"/>
    <xf numFmtId="9" fontId="5" fillId="0" borderId="0" xfId="0" applyNumberFormat="1" applyFont="1" applyAlignment="1"/>
    <xf numFmtId="49" fontId="5" fillId="0" borderId="0" xfId="0" applyNumberFormat="1" applyFont="1" applyAlignment="1">
      <alignment vertical="top" wrapText="1"/>
    </xf>
    <xf numFmtId="9" fontId="5" fillId="0" borderId="0" xfId="0" applyNumberFormat="1" applyFont="1" applyAlignment="1">
      <alignment vertical="top" wrapText="1"/>
    </xf>
    <xf numFmtId="0" fontId="9" fillId="0" borderId="0" xfId="0" applyFont="1" applyAlignment="1">
      <alignment vertical="center"/>
    </xf>
    <xf numFmtId="0" fontId="19" fillId="0" borderId="0" xfId="0" applyFont="1"/>
    <xf numFmtId="0" fontId="20" fillId="0" borderId="0" xfId="0" applyFont="1"/>
    <xf numFmtId="167" fontId="4" fillId="0" borderId="0" xfId="0" applyNumberFormat="1" applyFont="1"/>
    <xf numFmtId="167" fontId="6" fillId="2" borderId="0" xfId="0" applyNumberFormat="1" applyFont="1" applyFill="1"/>
    <xf numFmtId="167" fontId="4" fillId="2" borderId="0" xfId="0" applyNumberFormat="1" applyFont="1" applyFill="1"/>
    <xf numFmtId="167" fontId="7" fillId="0" borderId="0" xfId="0" applyNumberFormat="1" applyFont="1"/>
    <xf numFmtId="167" fontId="6" fillId="2" borderId="0" xfId="1" applyNumberFormat="1" applyFont="1" applyFill="1"/>
    <xf numFmtId="167" fontId="7" fillId="0" borderId="0" xfId="0" applyNumberFormat="1" applyFont="1" applyFill="1" applyBorder="1"/>
    <xf numFmtId="167" fontId="5" fillId="2" borderId="0" xfId="1" applyNumberFormat="1" applyFont="1" applyFill="1"/>
    <xf numFmtId="166" fontId="4" fillId="0" borderId="0" xfId="0" applyNumberFormat="1" applyFont="1"/>
    <xf numFmtId="166" fontId="7" fillId="0" borderId="0" xfId="0" applyNumberFormat="1" applyFont="1" applyFill="1"/>
    <xf numFmtId="0" fontId="4" fillId="0" borderId="0" xfId="0" applyFont="1" applyAlignment="1">
      <alignment horizontal="right"/>
    </xf>
    <xf numFmtId="0" fontId="6" fillId="0" borderId="0" xfId="0" applyFont="1" applyAlignment="1">
      <alignment horizontal="right"/>
    </xf>
    <xf numFmtId="0" fontId="7" fillId="0" borderId="0" xfId="0" applyFont="1" applyFill="1" applyAlignment="1">
      <alignment horizontal="right"/>
    </xf>
    <xf numFmtId="0" fontId="6" fillId="0" borderId="0" xfId="0" applyFont="1" applyAlignment="1">
      <alignment horizontal="left" vertical="top"/>
    </xf>
    <xf numFmtId="0" fontId="5" fillId="0" borderId="0" xfId="0" quotePrefix="1" applyFont="1"/>
    <xf numFmtId="0" fontId="6" fillId="0" borderId="0" xfId="0" applyFont="1" applyAlignment="1">
      <alignment horizontal="left"/>
    </xf>
    <xf numFmtId="0" fontId="5" fillId="0" borderId="0" xfId="0" applyFont="1" applyAlignment="1">
      <alignment vertical="top" wrapText="1"/>
    </xf>
    <xf numFmtId="0" fontId="18" fillId="0" borderId="0" xfId="0" applyFont="1" applyAlignment="1">
      <alignment wrapText="1"/>
    </xf>
    <xf numFmtId="169" fontId="9" fillId="0" borderId="0" xfId="0" applyNumberFormat="1" applyFont="1" applyFill="1" applyBorder="1" applyAlignment="1">
      <alignment horizontal="right" vertical="center" wrapText="1"/>
    </xf>
    <xf numFmtId="0" fontId="6" fillId="0" borderId="0" xfId="0" applyFont="1" applyFill="1"/>
    <xf numFmtId="0" fontId="12" fillId="0" borderId="0" xfId="0" applyFont="1"/>
    <xf numFmtId="0" fontId="23" fillId="0" borderId="0" xfId="0" applyFont="1" applyAlignment="1">
      <alignment horizontal="left"/>
    </xf>
    <xf numFmtId="0" fontId="24" fillId="0" borderId="0" xfId="0" applyFont="1"/>
    <xf numFmtId="0" fontId="23" fillId="0" borderId="0" xfId="0" applyFont="1"/>
    <xf numFmtId="0" fontId="8" fillId="0" borderId="0" xfId="0" applyFont="1" applyFill="1" applyBorder="1" applyAlignment="1">
      <alignment horizontal="left"/>
    </xf>
    <xf numFmtId="0" fontId="12" fillId="0" borderId="0" xfId="0" applyFont="1" applyAlignment="1">
      <alignment horizontal="left"/>
    </xf>
    <xf numFmtId="0" fontId="7" fillId="2" borderId="0" xfId="0" applyFont="1" applyFill="1" applyAlignment="1">
      <alignment horizontal="left"/>
    </xf>
    <xf numFmtId="0" fontId="5" fillId="0" borderId="0" xfId="0" applyFont="1" applyFill="1" applyBorder="1" applyAlignment="1">
      <alignment horizontal="left"/>
    </xf>
    <xf numFmtId="0" fontId="10" fillId="2" borderId="0" xfId="0" applyFont="1" applyFill="1" applyAlignment="1">
      <alignment horizontal="left"/>
    </xf>
    <xf numFmtId="0" fontId="4" fillId="2" borderId="0" xfId="1" applyFont="1" applyFill="1" applyAlignment="1">
      <alignment horizontal="right"/>
    </xf>
    <xf numFmtId="0" fontId="4" fillId="2" borderId="0" xfId="1" applyFont="1" applyFill="1"/>
    <xf numFmtId="0" fontId="7" fillId="2" borderId="0" xfId="1" applyFont="1" applyFill="1"/>
    <xf numFmtId="0" fontId="7" fillId="0" borderId="0" xfId="1" applyFont="1"/>
    <xf numFmtId="0" fontId="8" fillId="0" borderId="0" xfId="0" applyFont="1"/>
    <xf numFmtId="167" fontId="7" fillId="0" borderId="0" xfId="0" applyNumberFormat="1" applyFont="1" applyFill="1"/>
    <xf numFmtId="0" fontId="3" fillId="0" borderId="0" xfId="0" applyFont="1"/>
    <xf numFmtId="0" fontId="22" fillId="2" borderId="0" xfId="0" applyFont="1" applyFill="1" applyBorder="1" applyAlignment="1">
      <alignment horizontal="left" vertical="center" wrapText="1"/>
    </xf>
    <xf numFmtId="0" fontId="4" fillId="0" borderId="0" xfId="0" applyFont="1" applyAlignment="1">
      <alignment horizontal="left"/>
    </xf>
    <xf numFmtId="0" fontId="5" fillId="0" borderId="0" xfId="0" applyFont="1" applyAlignment="1">
      <alignment wrapText="1"/>
    </xf>
    <xf numFmtId="0" fontId="5" fillId="0" borderId="0" xfId="0" applyFont="1" applyAlignment="1"/>
    <xf numFmtId="0" fontId="3" fillId="0" borderId="0" xfId="0" applyFont="1" applyAlignment="1"/>
    <xf numFmtId="0" fontId="3" fillId="0" borderId="0" xfId="0" applyFont="1" applyAlignment="1">
      <alignment wrapText="1"/>
    </xf>
    <xf numFmtId="0" fontId="35" fillId="0" borderId="0" xfId="0" applyFont="1"/>
    <xf numFmtId="0" fontId="7" fillId="0" borderId="0" xfId="1" applyFont="1" applyFill="1"/>
    <xf numFmtId="0" fontId="7" fillId="0" borderId="0" xfId="0" applyFont="1" applyFill="1" applyAlignment="1">
      <alignment horizontal="left"/>
    </xf>
    <xf numFmtId="0" fontId="7" fillId="0" borderId="0" xfId="0" applyFont="1" applyFill="1" applyBorder="1" applyAlignment="1">
      <alignment horizontal="left"/>
    </xf>
    <xf numFmtId="166" fontId="7" fillId="0" borderId="0" xfId="1" applyNumberFormat="1" applyFont="1" applyFill="1"/>
    <xf numFmtId="171" fontId="7" fillId="0" borderId="0" xfId="1" applyNumberFormat="1" applyFont="1" applyFill="1"/>
    <xf numFmtId="166" fontId="6" fillId="0" borderId="0" xfId="0" applyNumberFormat="1" applyFont="1" applyFill="1"/>
    <xf numFmtId="167" fontId="6" fillId="0" borderId="0" xfId="0" applyNumberFormat="1" applyFont="1" applyFill="1"/>
    <xf numFmtId="0" fontId="6" fillId="0" borderId="0" xfId="0" applyFont="1" applyFill="1" applyAlignment="1">
      <alignment horizontal="right"/>
    </xf>
    <xf numFmtId="0" fontId="7" fillId="0" borderId="0" xfId="1" applyFont="1" applyFill="1" applyAlignment="1">
      <alignment horizontal="right"/>
    </xf>
    <xf numFmtId="0" fontId="33" fillId="0" borderId="0" xfId="0" applyFont="1"/>
    <xf numFmtId="0" fontId="21" fillId="0" borderId="0" xfId="1" applyFont="1" applyFill="1" applyAlignment="1">
      <alignment horizontal="left"/>
    </xf>
    <xf numFmtId="0" fontId="21" fillId="0" borderId="0" xfId="1" applyFont="1" applyFill="1"/>
    <xf numFmtId="0" fontId="21" fillId="0" borderId="0" xfId="1" applyFont="1" applyFill="1" applyAlignment="1">
      <alignment horizontal="right"/>
    </xf>
    <xf numFmtId="167" fontId="21" fillId="0" borderId="0" xfId="1" applyNumberFormat="1" applyFont="1" applyFill="1"/>
    <xf numFmtId="0" fontId="38" fillId="0" borderId="0" xfId="0" applyFont="1"/>
    <xf numFmtId="0" fontId="7" fillId="0" borderId="0" xfId="1" applyFont="1" applyFill="1" applyAlignment="1">
      <alignment horizontal="left"/>
    </xf>
    <xf numFmtId="166" fontId="4" fillId="0" borderId="0" xfId="0" applyNumberFormat="1" applyFont="1" applyFill="1"/>
    <xf numFmtId="0" fontId="7" fillId="0" borderId="0" xfId="0" applyFont="1" applyFill="1" applyBorder="1" applyAlignment="1">
      <alignment horizontal="left" vertical="center" wrapText="1"/>
    </xf>
    <xf numFmtId="167" fontId="7" fillId="0" borderId="0" xfId="0" applyNumberFormat="1" applyFont="1" applyFill="1" applyBorder="1" applyAlignment="1">
      <alignment horizontal="right" wrapText="1"/>
    </xf>
    <xf numFmtId="0" fontId="7" fillId="0" borderId="0" xfId="0" applyFont="1" applyFill="1" applyBorder="1" applyAlignment="1">
      <alignment horizontal="right"/>
    </xf>
    <xf numFmtId="0" fontId="6" fillId="0" borderId="0" xfId="0" applyFont="1" applyFill="1" applyBorder="1" applyAlignment="1">
      <alignment horizontal="left" vertical="center" wrapText="1"/>
    </xf>
    <xf numFmtId="0" fontId="7" fillId="0" borderId="0" xfId="12" applyFont="1" applyFill="1" applyBorder="1"/>
    <xf numFmtId="43" fontId="18" fillId="0" borderId="0" xfId="31" applyFont="1"/>
    <xf numFmtId="0" fontId="8" fillId="0" borderId="0" xfId="0" applyFont="1" applyFill="1"/>
    <xf numFmtId="0" fontId="7" fillId="0" borderId="0" xfId="1" quotePrefix="1" applyFont="1" applyFill="1" applyAlignment="1">
      <alignment horizontal="left"/>
    </xf>
    <xf numFmtId="1" fontId="7" fillId="0" borderId="0" xfId="1" applyNumberFormat="1" applyFont="1" applyFill="1"/>
    <xf numFmtId="0" fontId="42" fillId="0" borderId="0" xfId="0" applyFont="1" applyFill="1" applyAlignment="1">
      <alignment horizontal="left"/>
    </xf>
    <xf numFmtId="0" fontId="42" fillId="0" borderId="0" xfId="0" applyFont="1" applyFill="1"/>
    <xf numFmtId="0" fontId="42" fillId="0" borderId="0" xfId="0" applyFont="1" applyFill="1" applyBorder="1" applyAlignment="1">
      <alignment horizontal="left"/>
    </xf>
    <xf numFmtId="0" fontId="42" fillId="0" borderId="0" xfId="0" applyFont="1"/>
    <xf numFmtId="171" fontId="5" fillId="0" borderId="0" xfId="0" applyNumberFormat="1" applyFont="1"/>
    <xf numFmtId="0" fontId="11" fillId="0" borderId="0" xfId="1" applyFont="1"/>
    <xf numFmtId="0" fontId="3" fillId="0" borderId="0" xfId="0" applyFont="1" applyAlignment="1">
      <alignment horizontal="left"/>
    </xf>
    <xf numFmtId="1" fontId="21" fillId="0" borderId="0" xfId="1" applyNumberFormat="1" applyFont="1" applyFill="1"/>
    <xf numFmtId="0" fontId="9" fillId="0" borderId="0" xfId="0" applyFont="1" applyAlignment="1">
      <alignment horizontal="left"/>
    </xf>
    <xf numFmtId="0" fontId="9" fillId="0" borderId="0" xfId="0" applyFont="1" applyAlignment="1">
      <alignment horizontal="left" vertical="top"/>
    </xf>
    <xf numFmtId="179" fontId="33" fillId="0" borderId="0" xfId="0" applyNumberFormat="1" applyFont="1"/>
    <xf numFmtId="178" fontId="5" fillId="0" borderId="0" xfId="31" applyNumberFormat="1" applyFont="1"/>
    <xf numFmtId="0" fontId="121" fillId="0" borderId="0" xfId="0" applyFont="1"/>
    <xf numFmtId="3" fontId="4" fillId="0" borderId="0" xfId="0" applyNumberFormat="1" applyFont="1"/>
    <xf numFmtId="0" fontId="1" fillId="0" borderId="0" xfId="0" applyFont="1"/>
    <xf numFmtId="167" fontId="34" fillId="0" borderId="0" xfId="0" applyNumberFormat="1" applyFont="1"/>
    <xf numFmtId="167" fontId="0" fillId="0" borderId="0" xfId="0" applyNumberFormat="1"/>
    <xf numFmtId="0" fontId="8" fillId="0" borderId="0" xfId="0" applyFont="1" applyFill="1" applyBorder="1"/>
    <xf numFmtId="171" fontId="121" fillId="0" borderId="0" xfId="0" applyNumberFormat="1" applyFont="1"/>
    <xf numFmtId="0" fontId="5" fillId="0" borderId="0" xfId="0" quotePrefix="1" applyFont="1" applyAlignment="1">
      <alignment horizontal="left" vertical="center" wrapText="1"/>
    </xf>
    <xf numFmtId="166" fontId="5" fillId="0" borderId="0" xfId="0" applyNumberFormat="1" applyFont="1" applyFill="1" applyBorder="1" applyAlignment="1">
      <alignment horizontal="right" vertical="center" wrapText="1"/>
    </xf>
    <xf numFmtId="171" fontId="11" fillId="0" borderId="0" xfId="1" applyNumberFormat="1"/>
    <xf numFmtId="180" fontId="9" fillId="0" borderId="0" xfId="31" applyNumberFormat="1" applyFont="1" applyFill="1" applyBorder="1" applyAlignment="1">
      <alignment horizontal="right" vertical="center" wrapText="1"/>
    </xf>
    <xf numFmtId="0" fontId="2" fillId="0" borderId="0" xfId="0" quotePrefix="1" applyFont="1" applyAlignment="1">
      <alignment wrapText="1"/>
    </xf>
    <xf numFmtId="9" fontId="7" fillId="0" borderId="0" xfId="449" applyFont="1"/>
    <xf numFmtId="2" fontId="7" fillId="0" borderId="0" xfId="0" applyNumberFormat="1" applyFont="1"/>
    <xf numFmtId="0" fontId="1" fillId="0" borderId="0" xfId="0" applyFont="1" applyAlignment="1">
      <alignment wrapText="1"/>
    </xf>
    <xf numFmtId="0" fontId="1" fillId="0" borderId="0" xfId="0" applyFont="1" applyAlignment="1"/>
    <xf numFmtId="0" fontId="18" fillId="0" borderId="0" xfId="0" applyFont="1" applyBorder="1"/>
    <xf numFmtId="0" fontId="18" fillId="0" borderId="0" xfId="0" applyFont="1" applyBorder="1" applyAlignment="1">
      <alignment wrapText="1"/>
    </xf>
    <xf numFmtId="9" fontId="7" fillId="0" borderId="0" xfId="0" applyNumberFormat="1" applyFont="1"/>
    <xf numFmtId="0" fontId="6" fillId="0" borderId="0" xfId="0" applyFont="1" applyAlignment="1">
      <alignment horizontal="center"/>
    </xf>
    <xf numFmtId="0" fontId="22" fillId="0" borderId="0" xfId="0" applyFont="1" applyFill="1" applyBorder="1" applyAlignment="1">
      <alignment horizontal="left" vertical="center" wrapText="1"/>
    </xf>
    <xf numFmtId="0" fontId="9" fillId="0" borderId="0" xfId="0" applyFont="1" applyFill="1"/>
    <xf numFmtId="0" fontId="18" fillId="0" borderId="0" xfId="0" applyFont="1" applyFill="1"/>
    <xf numFmtId="0" fontId="22" fillId="0" borderId="0" xfId="0" applyFont="1" applyFill="1"/>
    <xf numFmtId="0" fontId="4" fillId="0" borderId="0" xfId="0" applyFont="1" applyFill="1" applyAlignment="1">
      <alignment horizontal="right"/>
    </xf>
    <xf numFmtId="0" fontId="14" fillId="0" borderId="0" xfId="0" applyFont="1" applyFill="1"/>
    <xf numFmtId="167" fontId="129" fillId="0" borderId="0" xfId="1" applyNumberFormat="1" applyFont="1" applyFill="1"/>
    <xf numFmtId="167" fontId="21" fillId="0" borderId="0" xfId="1" applyNumberFormat="1" applyFont="1" applyFill="1" applyAlignment="1">
      <alignment horizontal="right"/>
    </xf>
    <xf numFmtId="0" fontId="5" fillId="0" borderId="0" xfId="0" applyFont="1" applyFill="1" applyAlignment="1">
      <alignment horizontal="right"/>
    </xf>
    <xf numFmtId="166" fontId="7" fillId="0" borderId="0" xfId="1" applyNumberFormat="1" applyFont="1" applyFill="1" applyAlignment="1">
      <alignment horizontal="right"/>
    </xf>
    <xf numFmtId="3" fontId="6" fillId="0" borderId="0" xfId="0" applyNumberFormat="1" applyFont="1" applyFill="1"/>
    <xf numFmtId="167" fontId="7" fillId="0" borderId="0" xfId="0" applyNumberFormat="1" applyFont="1" applyFill="1" applyBorder="1" applyAlignment="1">
      <alignment horizontal="right"/>
    </xf>
    <xf numFmtId="0" fontId="129" fillId="0" borderId="0" xfId="1" applyFont="1" applyFill="1" applyAlignment="1">
      <alignment horizontal="left"/>
    </xf>
    <xf numFmtId="0" fontId="129" fillId="0" borderId="0" xfId="1" applyFont="1" applyFill="1"/>
    <xf numFmtId="0" fontId="129" fillId="0" borderId="0" xfId="1" applyFont="1" applyFill="1" applyAlignment="1">
      <alignment horizontal="right"/>
    </xf>
    <xf numFmtId="0" fontId="39" fillId="0" borderId="0" xfId="1" applyFont="1" applyFill="1"/>
    <xf numFmtId="0" fontId="130" fillId="0" borderId="0" xfId="0" applyFont="1"/>
    <xf numFmtId="43" fontId="8" fillId="0" borderId="0" xfId="31" applyNumberFormat="1" applyFont="1"/>
    <xf numFmtId="167" fontId="4" fillId="0" borderId="0" xfId="0" applyNumberFormat="1" applyFont="1" applyFill="1"/>
    <xf numFmtId="0" fontId="7" fillId="0" borderId="0" xfId="1" applyFont="1" applyFill="1" applyAlignment="1">
      <alignment wrapText="1"/>
    </xf>
    <xf numFmtId="0" fontId="5" fillId="0" borderId="0" xfId="0" applyFont="1" applyFill="1"/>
    <xf numFmtId="1" fontId="7" fillId="0" borderId="0" xfId="0" applyNumberFormat="1" applyFont="1" applyFill="1"/>
    <xf numFmtId="171" fontId="7" fillId="0" borderId="0" xfId="0" applyNumberFormat="1" applyFont="1" applyFill="1"/>
    <xf numFmtId="167" fontId="7" fillId="0" borderId="0" xfId="12" applyNumberFormat="1" applyFont="1" applyFill="1" applyBorder="1" applyAlignment="1">
      <alignment horizontal="right" wrapText="1"/>
    </xf>
    <xf numFmtId="0" fontId="125" fillId="0" borderId="0" xfId="33" applyNumberFormat="1" applyFont="1" applyFill="1" applyBorder="1" applyAlignment="1">
      <alignment vertical="center" wrapText="1"/>
    </xf>
    <xf numFmtId="0" fontId="125" fillId="0" borderId="0" xfId="33" applyNumberFormat="1" applyFont="1" applyFill="1" applyBorder="1" applyAlignment="1">
      <alignment vertical="center"/>
    </xf>
    <xf numFmtId="166" fontId="5" fillId="0" borderId="0" xfId="0" applyNumberFormat="1" applyFont="1" applyFill="1"/>
    <xf numFmtId="0" fontId="6" fillId="0" borderId="0" xfId="0" applyFont="1" applyFill="1" applyAlignment="1">
      <alignment horizontal="left"/>
    </xf>
    <xf numFmtId="0" fontId="10" fillId="0" borderId="0" xfId="0" applyFont="1" applyFill="1"/>
    <xf numFmtId="0" fontId="1" fillId="0" borderId="0" xfId="0" applyFont="1" applyFill="1" applyBorder="1" applyAlignment="1">
      <alignment horizontal="left" vertical="center" wrapText="1"/>
    </xf>
    <xf numFmtId="180" fontId="5" fillId="0" borderId="0" xfId="31" applyNumberFormat="1" applyFont="1" applyFill="1" applyBorder="1" applyAlignment="1">
      <alignment horizontal="right" vertical="center" wrapText="1"/>
    </xf>
    <xf numFmtId="0" fontId="5" fillId="0" borderId="0" xfId="0" applyNumberFormat="1" applyFont="1" applyFill="1"/>
    <xf numFmtId="43" fontId="18" fillId="0" borderId="0" xfId="31" applyFont="1" applyFill="1"/>
    <xf numFmtId="166" fontId="4" fillId="2" borderId="0" xfId="0" applyNumberFormat="1" applyFont="1" applyFill="1"/>
    <xf numFmtId="166" fontId="5" fillId="2" borderId="0" xfId="0" applyNumberFormat="1" applyFont="1" applyFill="1"/>
    <xf numFmtId="0" fontId="0" fillId="0" borderId="0" xfId="0" pivotButton="1"/>
    <xf numFmtId="0" fontId="0" fillId="0" borderId="0" xfId="0" applyAlignment="1">
      <alignment horizontal="left"/>
    </xf>
    <xf numFmtId="0" fontId="0" fillId="0" borderId="0" xfId="0" applyNumberFormat="1"/>
    <xf numFmtId="0" fontId="132" fillId="0" borderId="0" xfId="0" applyFont="1"/>
    <xf numFmtId="178" fontId="33" fillId="0" borderId="0" xfId="31" applyNumberFormat="1" applyFont="1"/>
    <xf numFmtId="0" fontId="9" fillId="2" borderId="20" xfId="0" applyFont="1" applyFill="1" applyBorder="1" applyAlignment="1">
      <alignment vertical="center" wrapText="1"/>
    </xf>
    <xf numFmtId="0" fontId="1" fillId="0" borderId="20" xfId="0" applyFont="1" applyBorder="1" applyAlignment="1">
      <alignment horizontal="left"/>
    </xf>
    <xf numFmtId="169" fontId="1" fillId="0" borderId="20" xfId="0" applyNumberFormat="1" applyFont="1" applyBorder="1"/>
    <xf numFmtId="0" fontId="134" fillId="0" borderId="0" xfId="0" applyFont="1"/>
    <xf numFmtId="0" fontId="1" fillId="0" borderId="0" xfId="0" applyFont="1" applyBorder="1" applyAlignment="1">
      <alignment horizontal="left" vertical="center"/>
    </xf>
    <xf numFmtId="169" fontId="9" fillId="0" borderId="0" xfId="0" applyNumberFormat="1" applyFont="1"/>
    <xf numFmtId="169" fontId="1" fillId="0" borderId="0" xfId="0" applyNumberFormat="1" applyFont="1"/>
    <xf numFmtId="0" fontId="9" fillId="0" borderId="0" xfId="0" applyFont="1" applyFill="1" applyBorder="1"/>
    <xf numFmtId="0" fontId="5" fillId="0" borderId="0" xfId="0" applyNumberFormat="1" applyFont="1" applyFill="1" applyBorder="1"/>
    <xf numFmtId="166" fontId="128" fillId="0" borderId="0" xfId="0" applyNumberFormat="1" applyFont="1" applyFill="1" applyBorder="1" applyAlignment="1">
      <alignment horizontal="right" vertical="center" wrapText="1"/>
    </xf>
    <xf numFmtId="0" fontId="128" fillId="0" borderId="0" xfId="0" applyNumberFormat="1" applyFont="1" applyFill="1" applyBorder="1"/>
    <xf numFmtId="0" fontId="126" fillId="0" borderId="0" xfId="0" applyFont="1" applyAlignment="1"/>
    <xf numFmtId="0" fontId="22" fillId="2" borderId="0" xfId="0" applyFont="1" applyFill="1" applyBorder="1" applyAlignment="1">
      <alignment horizontal="right" vertical="center" wrapText="1"/>
    </xf>
    <xf numFmtId="0" fontId="9" fillId="2" borderId="0" xfId="0" applyFont="1" applyFill="1" applyAlignment="1">
      <alignment horizontal="right" vertical="top" wrapText="1"/>
    </xf>
    <xf numFmtId="0" fontId="39" fillId="0" borderId="0" xfId="0" applyFont="1" applyFill="1"/>
    <xf numFmtId="166" fontId="39" fillId="0" borderId="0" xfId="1" applyNumberFormat="1" applyFont="1" applyFill="1"/>
    <xf numFmtId="0" fontId="121" fillId="0" borderId="0" xfId="0" applyFont="1" applyFill="1"/>
    <xf numFmtId="171" fontId="39" fillId="0" borderId="0" xfId="1" applyNumberFormat="1" applyFont="1" applyFill="1"/>
    <xf numFmtId="0" fontId="34" fillId="0" borderId="0" xfId="0" applyFont="1" applyFill="1"/>
    <xf numFmtId="167" fontId="39" fillId="0" borderId="0" xfId="0" applyNumberFormat="1" applyFont="1" applyFill="1"/>
    <xf numFmtId="0" fontId="39" fillId="0" borderId="0" xfId="0" applyFont="1" applyFill="1" applyBorder="1"/>
    <xf numFmtId="1" fontId="129" fillId="0" borderId="0" xfId="1" applyNumberFormat="1" applyFont="1" applyFill="1"/>
    <xf numFmtId="167" fontId="129" fillId="0" borderId="0" xfId="3" applyNumberFormat="1" applyFont="1" applyFill="1"/>
    <xf numFmtId="0" fontId="1" fillId="0" borderId="0" xfId="0" applyFont="1" applyFill="1"/>
    <xf numFmtId="0" fontId="5" fillId="0" borderId="0" xfId="0" applyFont="1" applyFill="1" applyAlignment="1"/>
    <xf numFmtId="0" fontId="33" fillId="0" borderId="0" xfId="0" applyFont="1" applyFill="1"/>
    <xf numFmtId="0" fontId="1" fillId="0" borderId="0" xfId="0" applyFont="1" applyFill="1" applyAlignment="1">
      <alignment horizontal="left"/>
    </xf>
    <xf numFmtId="0" fontId="18" fillId="0" borderId="0" xfId="0" applyFont="1" applyFill="1" applyAlignment="1">
      <alignment horizontal="left"/>
    </xf>
    <xf numFmtId="0" fontId="32" fillId="0" borderId="0" xfId="27" applyFill="1" applyAlignment="1">
      <alignment horizontal="left"/>
    </xf>
    <xf numFmtId="0" fontId="32" fillId="0" borderId="0" xfId="27" applyFill="1"/>
    <xf numFmtId="167" fontId="5" fillId="0" borderId="0" xfId="0" applyNumberFormat="1" applyFont="1" applyFill="1"/>
    <xf numFmtId="0" fontId="7" fillId="0" borderId="0" xfId="449" applyNumberFormat="1" applyFont="1" applyFill="1" applyBorder="1"/>
    <xf numFmtId="0" fontId="129" fillId="0" borderId="0" xfId="1" applyFont="1" applyFill="1" applyAlignment="1">
      <alignment wrapText="1"/>
    </xf>
    <xf numFmtId="167" fontId="21" fillId="0" borderId="0" xfId="17" applyNumberFormat="1" applyFont="1" applyFill="1"/>
    <xf numFmtId="167" fontId="21" fillId="0" borderId="0" xfId="3" applyNumberFormat="1" applyFont="1" applyFill="1"/>
    <xf numFmtId="0" fontId="131" fillId="0" borderId="0" xfId="1" applyFont="1" applyFill="1" applyAlignment="1">
      <alignment horizontal="left"/>
    </xf>
    <xf numFmtId="0" fontId="131" fillId="0" borderId="0" xfId="1" applyFont="1" applyFill="1"/>
    <xf numFmtId="167" fontId="131" fillId="0" borderId="0" xfId="1" applyNumberFormat="1" applyFont="1" applyFill="1"/>
    <xf numFmtId="0" fontId="34" fillId="0" borderId="0" xfId="1" applyFont="1" applyFill="1"/>
    <xf numFmtId="167" fontId="131" fillId="0" borderId="0" xfId="3" applyNumberFormat="1" applyFont="1" applyFill="1"/>
    <xf numFmtId="0" fontId="34" fillId="0" borderId="0" xfId="0" applyFont="1" applyFill="1" applyBorder="1" applyAlignment="1">
      <alignment horizontal="left"/>
    </xf>
    <xf numFmtId="0" fontId="34" fillId="0" borderId="0" xfId="0" applyFont="1" applyFill="1" applyBorder="1" applyAlignment="1">
      <alignment horizontal="left" vertical="center" wrapText="1"/>
    </xf>
    <xf numFmtId="167" fontId="34" fillId="0" borderId="0" xfId="0" applyNumberFormat="1" applyFont="1" applyFill="1" applyBorder="1" applyAlignment="1">
      <alignment horizontal="right" wrapText="1"/>
    </xf>
    <xf numFmtId="0" fontId="34" fillId="0" borderId="0" xfId="0" applyFont="1" applyFill="1" applyBorder="1" applyAlignment="1">
      <alignment horizontal="right"/>
    </xf>
    <xf numFmtId="167" fontId="34" fillId="0" borderId="0" xfId="0" applyNumberFormat="1" applyFont="1" applyFill="1"/>
    <xf numFmtId="0" fontId="34" fillId="0" borderId="0" xfId="1" applyFont="1" applyFill="1" applyAlignment="1">
      <alignment horizontal="left"/>
    </xf>
    <xf numFmtId="166" fontId="34" fillId="0" borderId="0" xfId="1" applyNumberFormat="1" applyFont="1" applyFill="1"/>
    <xf numFmtId="171" fontId="34" fillId="0" borderId="0" xfId="1" applyNumberFormat="1" applyFont="1" applyFill="1"/>
    <xf numFmtId="0" fontId="39" fillId="0" borderId="0" xfId="0" applyNumberFormat="1" applyFont="1" applyFill="1" applyAlignment="1">
      <alignment horizontal="right"/>
    </xf>
    <xf numFmtId="166" fontId="11" fillId="0" borderId="0" xfId="1" applyNumberFormat="1"/>
    <xf numFmtId="180" fontId="35" fillId="0" borderId="0" xfId="0" applyNumberFormat="1" applyFont="1"/>
    <xf numFmtId="166" fontId="0" fillId="0" borderId="0" xfId="0" applyNumberFormat="1" applyAlignment="1">
      <alignment horizontal="left"/>
    </xf>
    <xf numFmtId="0" fontId="39" fillId="0" borderId="0" xfId="1" applyFont="1" applyFill="1" applyAlignment="1">
      <alignment horizontal="left"/>
    </xf>
    <xf numFmtId="0" fontId="6" fillId="0" borderId="0" xfId="1" applyFont="1" applyFill="1" applyAlignment="1">
      <alignment wrapText="1"/>
    </xf>
    <xf numFmtId="0" fontId="8" fillId="0" borderId="0" xfId="0" applyFont="1" applyFill="1" applyBorder="1" applyAlignment="1"/>
    <xf numFmtId="166" fontId="8" fillId="0" borderId="0" xfId="15" applyNumberFormat="1" applyFont="1" applyFill="1" applyBorder="1"/>
    <xf numFmtId="167" fontId="8" fillId="0" borderId="0" xfId="0" applyNumberFormat="1" applyFont="1" applyFill="1" applyBorder="1"/>
    <xf numFmtId="0" fontId="141" fillId="0" borderId="0" xfId="0" applyFont="1" applyFill="1" applyBorder="1" applyAlignment="1">
      <alignment vertical="center"/>
    </xf>
    <xf numFmtId="0" fontId="141" fillId="0" borderId="0" xfId="0" applyFont="1" applyFill="1" applyBorder="1" applyAlignment="1">
      <alignment horizontal="center" vertical="center"/>
    </xf>
    <xf numFmtId="0" fontId="19" fillId="0" borderId="0" xfId="0" applyFont="1" applyFill="1" applyBorder="1"/>
    <xf numFmtId="3" fontId="141" fillId="0" borderId="0" xfId="0" applyNumberFormat="1" applyFont="1" applyFill="1" applyBorder="1" applyAlignment="1">
      <alignment horizontal="right" vertical="center"/>
    </xf>
    <xf numFmtId="171" fontId="141" fillId="0" borderId="0" xfId="0" applyNumberFormat="1" applyFont="1" applyFill="1" applyBorder="1" applyAlignment="1">
      <alignment horizontal="right" vertical="center"/>
    </xf>
    <xf numFmtId="0" fontId="3" fillId="0" borderId="0" xfId="0" applyFont="1" applyFill="1" applyBorder="1"/>
    <xf numFmtId="0" fontId="20" fillId="0" borderId="0" xfId="0" applyFont="1" applyFill="1" applyBorder="1"/>
    <xf numFmtId="169" fontId="142" fillId="0" borderId="0" xfId="0" applyNumberFormat="1" applyFont="1" applyFill="1" applyBorder="1" applyAlignment="1">
      <alignment horizontal="right" vertical="center"/>
    </xf>
    <xf numFmtId="0" fontId="24" fillId="0" borderId="0" xfId="0" applyFont="1" applyFill="1" applyBorder="1"/>
    <xf numFmtId="171" fontId="142" fillId="0" borderId="0" xfId="0" applyNumberFormat="1" applyFont="1" applyFill="1" applyBorder="1" applyAlignment="1">
      <alignment horizontal="right" vertical="center"/>
    </xf>
    <xf numFmtId="4" fontId="141" fillId="0" borderId="0" xfId="0" applyNumberFormat="1" applyFont="1" applyFill="1" applyBorder="1" applyAlignment="1">
      <alignment horizontal="right" vertical="center"/>
    </xf>
    <xf numFmtId="178" fontId="8" fillId="0" borderId="0" xfId="31" applyNumberFormat="1" applyFont="1" applyFill="1" applyBorder="1"/>
    <xf numFmtId="171" fontId="8" fillId="0" borderId="0" xfId="0" applyNumberFormat="1" applyFont="1" applyFill="1"/>
    <xf numFmtId="179" fontId="18" fillId="0" borderId="0" xfId="0" applyNumberFormat="1" applyFont="1"/>
    <xf numFmtId="0" fontId="34" fillId="0" borderId="0" xfId="0" applyFont="1" applyFill="1" applyBorder="1"/>
    <xf numFmtId="0" fontId="8" fillId="0" borderId="0" xfId="0" applyFont="1" applyFill="1" applyBorder="1" applyAlignment="1">
      <alignment horizontal="right"/>
    </xf>
    <xf numFmtId="169" fontId="3" fillId="0" borderId="0" xfId="0" applyNumberFormat="1" applyFont="1" applyFill="1"/>
    <xf numFmtId="169" fontId="19" fillId="0" borderId="0" xfId="0" applyNumberFormat="1" applyFont="1" applyFill="1"/>
    <xf numFmtId="169" fontId="20" fillId="0" borderId="0" xfId="0" applyNumberFormat="1" applyFont="1" applyFill="1"/>
    <xf numFmtId="169" fontId="24" fillId="0" borderId="0" xfId="0" applyNumberFormat="1" applyFont="1" applyFill="1"/>
    <xf numFmtId="0" fontId="34" fillId="2" borderId="0" xfId="0" applyFont="1" applyFill="1"/>
    <xf numFmtId="0" fontId="6" fillId="2" borderId="0" xfId="0" applyFont="1" applyFill="1" applyAlignment="1">
      <alignment horizontal="left"/>
    </xf>
    <xf numFmtId="0" fontId="4" fillId="2" borderId="0" xfId="1" applyFont="1" applyFill="1" applyAlignment="1">
      <alignment horizontal="left"/>
    </xf>
    <xf numFmtId="0" fontId="33" fillId="2" borderId="0" xfId="0" applyFont="1" applyFill="1"/>
    <xf numFmtId="167" fontId="35" fillId="2" borderId="0" xfId="0" applyNumberFormat="1" applyFont="1" applyFill="1"/>
    <xf numFmtId="166" fontId="6" fillId="2" borderId="0" xfId="0" applyNumberFormat="1" applyFont="1" applyFill="1"/>
    <xf numFmtId="167" fontId="135" fillId="2" borderId="0" xfId="0" applyNumberFormat="1" applyFont="1" applyFill="1"/>
    <xf numFmtId="166" fontId="7" fillId="2" borderId="0" xfId="0" applyNumberFormat="1" applyFont="1" applyFill="1"/>
    <xf numFmtId="0" fontId="131" fillId="0" borderId="0" xfId="1" applyFont="1" applyFill="1" applyAlignment="1">
      <alignment horizontal="right"/>
    </xf>
    <xf numFmtId="1" fontId="34" fillId="0" borderId="0" xfId="0" applyNumberFormat="1" applyFont="1" applyFill="1" applyBorder="1" applyAlignment="1">
      <alignment horizontal="left"/>
    </xf>
    <xf numFmtId="0" fontId="39" fillId="0" borderId="0" xfId="1" applyFont="1" applyFill="1" applyAlignment="1">
      <alignment horizontal="right"/>
    </xf>
    <xf numFmtId="1" fontId="39" fillId="0" borderId="0" xfId="0" applyNumberFormat="1" applyFont="1" applyFill="1" applyBorder="1" applyAlignment="1">
      <alignment horizontal="right"/>
    </xf>
    <xf numFmtId="0" fontId="39" fillId="0" borderId="0" xfId="0" applyFont="1" applyFill="1" applyBorder="1" applyAlignment="1">
      <alignment horizontal="left"/>
    </xf>
    <xf numFmtId="167" fontId="39" fillId="0" borderId="0" xfId="0" applyNumberFormat="1" applyFont="1" applyFill="1" applyBorder="1" applyAlignment="1">
      <alignment horizontal="right" wrapText="1"/>
    </xf>
    <xf numFmtId="0" fontId="39" fillId="0" borderId="0" xfId="0" applyFont="1" applyFill="1" applyBorder="1" applyAlignment="1">
      <alignment horizontal="right"/>
    </xf>
    <xf numFmtId="0" fontId="34" fillId="0" borderId="0" xfId="1" applyFont="1" applyFill="1" applyAlignment="1">
      <alignment horizontal="right"/>
    </xf>
    <xf numFmtId="0" fontId="126" fillId="77" borderId="37" xfId="0" applyFont="1" applyFill="1" applyBorder="1"/>
    <xf numFmtId="0" fontId="143" fillId="0" borderId="0" xfId="0" applyFont="1" applyFill="1"/>
    <xf numFmtId="0" fontId="126" fillId="0" borderId="0" xfId="0" applyFont="1" applyFill="1"/>
    <xf numFmtId="0" fontId="0" fillId="0" borderId="0" xfId="0" applyFill="1"/>
    <xf numFmtId="0" fontId="126" fillId="0" borderId="0" xfId="0" applyFont="1" applyAlignment="1">
      <alignment horizontal="left"/>
    </xf>
    <xf numFmtId="0" fontId="126" fillId="0" borderId="0" xfId="0" applyNumberFormat="1" applyFont="1"/>
    <xf numFmtId="11" fontId="0" fillId="0" borderId="0" xfId="0" applyNumberFormat="1"/>
    <xf numFmtId="0" fontId="9" fillId="0" borderId="0" xfId="0" applyFont="1" applyFill="1" applyAlignment="1">
      <alignment horizontal="left" vertical="top"/>
    </xf>
    <xf numFmtId="0" fontId="3" fillId="0" borderId="0" xfId="0" applyFont="1" applyFill="1"/>
    <xf numFmtId="180" fontId="5" fillId="0" borderId="0" xfId="31" applyNumberFormat="1" applyFont="1" applyFill="1"/>
    <xf numFmtId="0" fontId="5" fillId="0" borderId="0" xfId="0" applyFont="1" applyFill="1" applyAlignment="1">
      <alignment vertical="justify" wrapText="1"/>
    </xf>
    <xf numFmtId="166" fontId="5" fillId="0" borderId="0" xfId="31" applyNumberFormat="1" applyFont="1" applyFill="1"/>
    <xf numFmtId="180" fontId="9" fillId="0" borderId="0" xfId="31" applyNumberFormat="1" applyFont="1" applyFill="1"/>
    <xf numFmtId="0" fontId="35" fillId="0" borderId="0" xfId="0" applyFont="1" applyFill="1"/>
    <xf numFmtId="0" fontId="0" fillId="0" borderId="0" xfId="0" applyFill="1" applyAlignment="1">
      <alignment horizontal="left"/>
    </xf>
    <xf numFmtId="179" fontId="0" fillId="0" borderId="0" xfId="0" applyNumberFormat="1" applyFill="1"/>
    <xf numFmtId="180" fontId="33" fillId="0" borderId="0" xfId="0" applyNumberFormat="1" applyFont="1" applyFill="1"/>
    <xf numFmtId="171" fontId="3" fillId="0" borderId="0" xfId="0" applyNumberFormat="1" applyFont="1" applyFill="1"/>
    <xf numFmtId="0" fontId="3" fillId="0" borderId="0" xfId="0" applyFont="1" applyFill="1" applyAlignment="1">
      <alignment vertical="justify" wrapText="1"/>
    </xf>
    <xf numFmtId="171" fontId="9" fillId="0" borderId="0" xfId="0" applyNumberFormat="1" applyFont="1" applyFill="1"/>
    <xf numFmtId="0" fontId="39" fillId="0" borderId="0" xfId="0" applyFont="1" applyFill="1" applyAlignment="1">
      <alignment horizontal="left"/>
    </xf>
    <xf numFmtId="0" fontId="142" fillId="0" borderId="0" xfId="0" applyFont="1" applyFill="1" applyBorder="1" applyAlignment="1">
      <alignment vertical="center"/>
    </xf>
    <xf numFmtId="169" fontId="144" fillId="0" borderId="0" xfId="0" applyNumberFormat="1" applyFont="1" applyFill="1" applyBorder="1" applyAlignment="1">
      <alignment vertical="center"/>
    </xf>
    <xf numFmtId="171" fontId="144" fillId="0" borderId="0" xfId="0" applyNumberFormat="1" applyFont="1" applyFill="1" applyBorder="1" applyAlignment="1">
      <alignment vertical="center"/>
    </xf>
    <xf numFmtId="171" fontId="122" fillId="0" borderId="0" xfId="1270" applyNumberFormat="1" applyFont="1" applyFill="1" applyBorder="1"/>
    <xf numFmtId="2" fontId="5" fillId="0" borderId="0" xfId="0" applyNumberFormat="1" applyFont="1" applyFill="1"/>
    <xf numFmtId="2" fontId="6" fillId="0" borderId="0" xfId="0" applyNumberFormat="1" applyFont="1" applyFill="1"/>
    <xf numFmtId="2" fontId="127" fillId="0" borderId="0" xfId="0" applyNumberFormat="1" applyFont="1" applyFill="1"/>
    <xf numFmtId="9" fontId="8" fillId="0" borderId="0" xfId="449" applyFont="1" applyFill="1"/>
    <xf numFmtId="171" fontId="1" fillId="0" borderId="0" xfId="477" applyNumberFormat="1" applyFont="1" applyFill="1" applyBorder="1"/>
    <xf numFmtId="169" fontId="8" fillId="0" borderId="0" xfId="0" applyNumberFormat="1" applyFont="1" applyFill="1"/>
    <xf numFmtId="3" fontId="144" fillId="0" borderId="0" xfId="0" applyNumberFormat="1" applyFont="1" applyFill="1" applyBorder="1" applyAlignment="1">
      <alignment vertical="center"/>
    </xf>
    <xf numFmtId="3" fontId="3" fillId="0" borderId="0" xfId="0" applyNumberFormat="1" applyFont="1"/>
    <xf numFmtId="0" fontId="1" fillId="0" borderId="0" xfId="0" quotePrefix="1" applyFont="1" applyAlignment="1">
      <alignment wrapText="1"/>
    </xf>
    <xf numFmtId="0" fontId="22" fillId="0" borderId="0" xfId="0" applyFont="1" applyBorder="1" applyAlignment="1">
      <alignment horizontal="left" vertical="center" wrapText="1"/>
    </xf>
    <xf numFmtId="183" fontId="22" fillId="0" borderId="0" xfId="0" applyNumberFormat="1" applyFont="1"/>
    <xf numFmtId="0" fontId="133" fillId="0" borderId="0" xfId="0" applyFont="1" applyAlignment="1"/>
    <xf numFmtId="0" fontId="22" fillId="0" borderId="0" xfId="0" applyFont="1" applyFill="1" applyBorder="1" applyAlignment="1">
      <alignment vertical="center" wrapText="1"/>
    </xf>
    <xf numFmtId="0" fontId="22" fillId="0" borderId="0" xfId="0" applyFont="1"/>
    <xf numFmtId="179" fontId="22" fillId="0" borderId="0" xfId="0" applyNumberFormat="1" applyFont="1"/>
    <xf numFmtId="0" fontId="60" fillId="0" borderId="0" xfId="0" applyFont="1" applyFill="1" applyBorder="1" applyAlignment="1"/>
    <xf numFmtId="0" fontId="25" fillId="0" borderId="0" xfId="0" applyFont="1" applyFill="1"/>
    <xf numFmtId="4" fontId="6" fillId="0" borderId="0" xfId="0" applyNumberFormat="1" applyFont="1" applyFill="1"/>
    <xf numFmtId="2" fontId="7" fillId="0" borderId="0" xfId="0" applyNumberFormat="1" applyFont="1" applyFill="1" applyAlignment="1">
      <alignment horizontal="right"/>
    </xf>
    <xf numFmtId="0" fontId="23" fillId="0" borderId="0" xfId="0" applyFont="1" applyFill="1"/>
    <xf numFmtId="169" fontId="25" fillId="0" borderId="0" xfId="0" applyNumberFormat="1" applyFont="1" applyFill="1"/>
    <xf numFmtId="171" fontId="8" fillId="0" borderId="0" xfId="0" quotePrefix="1" applyNumberFormat="1" applyFont="1" applyFill="1" applyAlignment="1">
      <alignment horizontal="right"/>
    </xf>
    <xf numFmtId="171" fontId="25" fillId="0" borderId="0" xfId="0" applyNumberFormat="1" applyFont="1" applyFill="1"/>
    <xf numFmtId="2" fontId="9" fillId="0" borderId="0" xfId="0" applyNumberFormat="1" applyFont="1" applyFill="1" applyBorder="1" applyAlignment="1">
      <alignment horizontal="right" vertical="center" wrapText="1"/>
    </xf>
    <xf numFmtId="2" fontId="9" fillId="0" borderId="0" xfId="0" applyNumberFormat="1" applyFont="1" applyAlignment="1">
      <alignment horizontal="right"/>
    </xf>
    <xf numFmtId="2" fontId="1" fillId="0" borderId="0" xfId="0" applyNumberFormat="1" applyFont="1" applyAlignment="1">
      <alignment horizontal="right"/>
    </xf>
    <xf numFmtId="2" fontId="18" fillId="0" borderId="0" xfId="0" applyNumberFormat="1" applyFont="1" applyAlignment="1">
      <alignment horizontal="right"/>
    </xf>
    <xf numFmtId="171" fontId="0" fillId="0" borderId="0" xfId="0" applyNumberFormat="1" applyFont="1" applyFill="1" applyBorder="1"/>
    <xf numFmtId="171" fontId="33" fillId="0" borderId="0" xfId="583" applyNumberFormat="1" applyFont="1" applyFill="1" applyBorder="1"/>
    <xf numFmtId="2" fontId="8" fillId="0" borderId="0" xfId="0" applyNumberFormat="1" applyFont="1" applyFill="1"/>
    <xf numFmtId="171" fontId="5" fillId="0" borderId="0" xfId="0" applyNumberFormat="1" applyFont="1" applyFill="1"/>
    <xf numFmtId="10" fontId="22" fillId="0" borderId="0" xfId="0" applyNumberFormat="1" applyFont="1"/>
    <xf numFmtId="10" fontId="8" fillId="0" borderId="0" xfId="0" applyNumberFormat="1" applyFont="1"/>
    <xf numFmtId="10" fontId="4" fillId="0" borderId="0" xfId="0" applyNumberFormat="1" applyFont="1"/>
    <xf numFmtId="169" fontId="3" fillId="0" borderId="0" xfId="449" applyNumberFormat="1" applyFont="1" applyFill="1" applyBorder="1"/>
    <xf numFmtId="0" fontId="19" fillId="0" borderId="0" xfId="0" quotePrefix="1" applyFont="1" applyFill="1"/>
    <xf numFmtId="0" fontId="20" fillId="0" borderId="0" xfId="0" applyFont="1" applyFill="1"/>
    <xf numFmtId="1" fontId="3" fillId="0" borderId="0" xfId="0" applyNumberFormat="1" applyFont="1" applyFill="1"/>
    <xf numFmtId="0" fontId="136" fillId="0" borderId="0" xfId="0" quotePrefix="1" applyFont="1" applyFill="1"/>
    <xf numFmtId="0" fontId="127" fillId="0" borderId="0" xfId="0" quotePrefix="1" applyFont="1" applyFill="1"/>
    <xf numFmtId="169" fontId="3" fillId="0" borderId="0" xfId="0" applyNumberFormat="1" applyFont="1" applyFill="1" applyBorder="1"/>
    <xf numFmtId="169" fontId="19" fillId="0" borderId="0" xfId="0" applyNumberFormat="1" applyFont="1" applyFill="1" applyBorder="1"/>
    <xf numFmtId="0" fontId="4" fillId="0" borderId="0" xfId="1" applyFont="1" applyFill="1"/>
    <xf numFmtId="9" fontId="7" fillId="0" borderId="0" xfId="449" applyFont="1" applyFill="1" applyAlignment="1">
      <alignment horizontal="right"/>
    </xf>
    <xf numFmtId="0" fontId="145" fillId="0" borderId="0" xfId="0" applyFont="1" applyFill="1" applyBorder="1" applyAlignment="1">
      <alignment horizontal="right"/>
    </xf>
    <xf numFmtId="171" fontId="5" fillId="0" borderId="0" xfId="0" applyNumberFormat="1" applyFont="1" applyFill="1" applyAlignment="1">
      <alignment horizontal="right"/>
    </xf>
    <xf numFmtId="1" fontId="7" fillId="0" borderId="0" xfId="0" applyNumberFormat="1" applyFont="1" applyFill="1" applyBorder="1" applyAlignment="1">
      <alignment horizontal="left"/>
    </xf>
    <xf numFmtId="166" fontId="7" fillId="0" borderId="0" xfId="15" applyNumberFormat="1" applyFont="1" applyFill="1" applyBorder="1"/>
    <xf numFmtId="9" fontId="4" fillId="0" borderId="0" xfId="449" applyFont="1" applyFill="1"/>
    <xf numFmtId="9" fontId="7" fillId="0" borderId="0" xfId="449" applyFont="1" applyFill="1"/>
    <xf numFmtId="4" fontId="7" fillId="0" borderId="0" xfId="0" applyNumberFormat="1" applyFont="1" applyFill="1"/>
    <xf numFmtId="0" fontId="21" fillId="0" borderId="0" xfId="1" applyFont="1" applyFill="1" applyAlignment="1">
      <alignment wrapText="1"/>
    </xf>
    <xf numFmtId="0" fontId="60" fillId="0" borderId="0" xfId="0" applyFont="1" applyBorder="1"/>
    <xf numFmtId="0" fontId="60" fillId="0" borderId="0" xfId="0" quotePrefix="1" applyFont="1" applyBorder="1"/>
    <xf numFmtId="0" fontId="60" fillId="0" borderId="0" xfId="0" applyFont="1" applyFill="1" applyBorder="1" applyAlignment="1">
      <alignment horizontal="center" vertical="center"/>
    </xf>
    <xf numFmtId="0" fontId="146" fillId="0" borderId="0" xfId="27" applyFont="1" applyFill="1"/>
    <xf numFmtId="166" fontId="11" fillId="0" borderId="0" xfId="1" applyNumberFormat="1" applyFont="1"/>
    <xf numFmtId="0" fontId="5" fillId="0" borderId="0" xfId="0" applyFont="1" applyAlignment="1">
      <alignment vertical="center"/>
    </xf>
    <xf numFmtId="167" fontId="5" fillId="0" borderId="0" xfId="0" applyNumberFormat="1" applyFont="1"/>
    <xf numFmtId="169" fontId="5" fillId="0" borderId="0" xfId="0" applyNumberFormat="1" applyFont="1"/>
    <xf numFmtId="0" fontId="5" fillId="0" borderId="0" xfId="0" applyFont="1" applyAlignment="1">
      <alignment horizontal="right"/>
    </xf>
    <xf numFmtId="9" fontId="5" fillId="0" borderId="0" xfId="449" applyFont="1"/>
    <xf numFmtId="0" fontId="7" fillId="0" borderId="0" xfId="12" applyFont="1" applyFill="1" applyBorder="1" applyAlignment="1">
      <alignment horizontal="left"/>
    </xf>
    <xf numFmtId="167" fontId="125" fillId="0" borderId="0" xfId="33" applyNumberFormat="1" applyFont="1" applyFill="1" applyBorder="1" applyAlignment="1">
      <alignment vertical="center" wrapText="1"/>
    </xf>
    <xf numFmtId="16" fontId="7" fillId="0" borderId="0" xfId="12" quotePrefix="1" applyNumberFormat="1" applyFont="1" applyFill="1" applyBorder="1" applyAlignment="1">
      <alignment horizontal="left"/>
    </xf>
    <xf numFmtId="166" fontId="7" fillId="0" borderId="0" xfId="12" applyNumberFormat="1" applyFont="1" applyFill="1" applyBorder="1" applyAlignment="1">
      <alignment horizontal="right"/>
    </xf>
    <xf numFmtId="166" fontId="7" fillId="0" borderId="0" xfId="12" applyNumberFormat="1" applyFont="1" applyFill="1" applyBorder="1" applyAlignment="1">
      <alignment horizontal="right" wrapText="1"/>
    </xf>
    <xf numFmtId="166" fontId="7" fillId="0" borderId="0" xfId="0" applyNumberFormat="1" applyFont="1" applyFill="1" applyBorder="1"/>
    <xf numFmtId="166" fontId="7" fillId="0" borderId="0" xfId="0" applyNumberFormat="1" applyFont="1" applyFill="1" applyBorder="1" applyAlignment="1">
      <alignment horizontal="right"/>
    </xf>
    <xf numFmtId="0" fontId="32" fillId="0" borderId="0" xfId="27"/>
    <xf numFmtId="167" fontId="7" fillId="78" borderId="0" xfId="0" applyNumberFormat="1" applyFont="1" applyFill="1"/>
    <xf numFmtId="166" fontId="6" fillId="78" borderId="0" xfId="0" applyNumberFormat="1" applyFont="1" applyFill="1"/>
    <xf numFmtId="167" fontId="4" fillId="78" borderId="0" xfId="0" applyNumberFormat="1" applyFont="1" applyFill="1"/>
    <xf numFmtId="166" fontId="10" fillId="78" borderId="0" xfId="0" applyNumberFormat="1" applyFont="1" applyFill="1"/>
    <xf numFmtId="166" fontId="6" fillId="78" borderId="0" xfId="0" applyNumberFormat="1" applyFont="1" applyFill="1" applyBorder="1"/>
    <xf numFmtId="4" fontId="3" fillId="0" borderId="0" xfId="0" applyNumberFormat="1" applyFont="1"/>
    <xf numFmtId="9" fontId="19" fillId="0" borderId="0" xfId="449" applyFont="1"/>
    <xf numFmtId="2" fontId="3" fillId="0" borderId="0" xfId="449" applyNumberFormat="1" applyFont="1" applyFill="1"/>
    <xf numFmtId="166" fontId="7" fillId="79" borderId="0" xfId="0" applyNumberFormat="1" applyFont="1" applyFill="1"/>
    <xf numFmtId="9" fontId="144" fillId="0" borderId="0" xfId="449" applyFont="1" applyFill="1" applyBorder="1" applyAlignment="1">
      <alignment vertical="center"/>
    </xf>
    <xf numFmtId="169" fontId="8" fillId="0" borderId="0" xfId="0" applyNumberFormat="1" applyFont="1"/>
    <xf numFmtId="9" fontId="3" fillId="0" borderId="0" xfId="449" applyFont="1" applyFill="1" applyBorder="1"/>
    <xf numFmtId="169" fontId="3" fillId="0" borderId="0" xfId="0" applyNumberFormat="1" applyFont="1"/>
    <xf numFmtId="9" fontId="3" fillId="0" borderId="0" xfId="449" applyFont="1"/>
    <xf numFmtId="184" fontId="142" fillId="0" borderId="0" xfId="449" applyNumberFormat="1" applyFont="1" applyFill="1" applyBorder="1" applyAlignment="1">
      <alignment vertical="center"/>
    </xf>
    <xf numFmtId="185" fontId="144" fillId="0" borderId="0" xfId="31" applyNumberFormat="1" applyFont="1" applyFill="1" applyBorder="1" applyAlignment="1">
      <alignment vertical="center"/>
    </xf>
    <xf numFmtId="0" fontId="1" fillId="0" borderId="0" xfId="0" quotePrefix="1" applyFont="1" applyAlignment="1">
      <alignment horizontal="left" vertical="center" wrapText="1"/>
    </xf>
    <xf numFmtId="0" fontId="5" fillId="0" borderId="0" xfId="0" applyFont="1" applyAlignment="1">
      <alignment wrapText="1"/>
    </xf>
    <xf numFmtId="0" fontId="1" fillId="0" borderId="0" xfId="0" quotePrefix="1" applyFont="1" applyAlignment="1">
      <alignment vertical="center" wrapText="1"/>
    </xf>
    <xf numFmtId="0" fontId="5" fillId="0" borderId="0" xfId="0" applyFont="1" applyAlignment="1"/>
    <xf numFmtId="0" fontId="1" fillId="0" borderId="0" xfId="0" quotePrefix="1" applyFont="1" applyAlignment="1">
      <alignment wrapText="1"/>
    </xf>
    <xf numFmtId="0" fontId="142" fillId="0" borderId="0" xfId="0" applyFont="1" applyFill="1" applyBorder="1" applyAlignment="1">
      <alignment horizontal="center" vertical="center"/>
    </xf>
    <xf numFmtId="0" fontId="11" fillId="0" borderId="0" xfId="1" applyFont="1" applyAlignment="1">
      <alignment horizontal="center"/>
    </xf>
    <xf numFmtId="0" fontId="4" fillId="0" borderId="0" xfId="1" applyFont="1" applyAlignment="1">
      <alignment horizontal="center"/>
    </xf>
    <xf numFmtId="0" fontId="4" fillId="0" borderId="0" xfId="0" applyFont="1" applyAlignment="1">
      <alignment horizontal="center"/>
    </xf>
    <xf numFmtId="0" fontId="6" fillId="2" borderId="0" xfId="0" applyFont="1" applyFill="1" applyAlignment="1">
      <alignment horizontal="center"/>
    </xf>
    <xf numFmtId="0" fontId="7" fillId="0" borderId="0" xfId="0" applyFont="1" applyFill="1" applyAlignment="1">
      <alignment horizontal="center"/>
    </xf>
    <xf numFmtId="0" fontId="4" fillId="0" borderId="0" xfId="0" applyFont="1" applyFill="1" applyAlignment="1">
      <alignment horizontal="center"/>
    </xf>
    <xf numFmtId="0" fontId="4" fillId="2" borderId="0" xfId="0" applyFont="1" applyFill="1" applyAlignment="1">
      <alignment horizontal="center"/>
    </xf>
    <xf numFmtId="0" fontId="7" fillId="0" borderId="0" xfId="1" applyFont="1" applyFill="1" applyAlignment="1">
      <alignment horizontal="center"/>
    </xf>
    <xf numFmtId="0" fontId="6" fillId="0" borderId="0" xfId="0" applyFont="1" applyFill="1" applyAlignment="1">
      <alignment horizontal="center"/>
    </xf>
    <xf numFmtId="0" fontId="21" fillId="0" borderId="0" xfId="1" applyFont="1" applyFill="1" applyAlignment="1">
      <alignment horizontal="center"/>
    </xf>
    <xf numFmtId="0" fontId="7" fillId="0" borderId="0" xfId="0" applyFont="1" applyAlignment="1">
      <alignment horizontal="center"/>
    </xf>
    <xf numFmtId="0" fontId="145" fillId="0" borderId="0" xfId="0" applyFont="1" applyFill="1" applyBorder="1" applyAlignment="1">
      <alignment horizontal="center"/>
    </xf>
    <xf numFmtId="0" fontId="4" fillId="2" borderId="0" xfId="1" applyFont="1" applyFill="1" applyAlignment="1">
      <alignment horizontal="center"/>
    </xf>
    <xf numFmtId="0" fontId="7" fillId="0" borderId="0" xfId="1" quotePrefix="1" applyFont="1" applyFill="1" applyAlignment="1">
      <alignment horizontal="center"/>
    </xf>
    <xf numFmtId="0" fontId="5" fillId="2" borderId="0" xfId="0" applyFont="1" applyFill="1" applyAlignment="1">
      <alignment horizontal="center"/>
    </xf>
    <xf numFmtId="0" fontId="7" fillId="0" borderId="0" xfId="0" applyFont="1" applyFill="1" applyBorder="1" applyAlignment="1">
      <alignment horizontal="center"/>
    </xf>
    <xf numFmtId="0" fontId="6" fillId="2" borderId="0" xfId="1" applyFont="1" applyFill="1" applyAlignment="1">
      <alignment horizontal="center"/>
    </xf>
    <xf numFmtId="0" fontId="5" fillId="2" borderId="0" xfId="1" applyFont="1" applyFill="1" applyAlignment="1">
      <alignment horizontal="center"/>
    </xf>
    <xf numFmtId="9" fontId="4" fillId="0" borderId="0" xfId="449" applyFont="1" applyFill="1" applyAlignment="1">
      <alignment horizontal="center"/>
    </xf>
    <xf numFmtId="9" fontId="7" fillId="0" borderId="0" xfId="449" applyFont="1" applyFill="1" applyAlignment="1">
      <alignment horizontal="center"/>
    </xf>
    <xf numFmtId="0" fontId="5" fillId="0" borderId="0" xfId="0" applyFont="1" applyAlignment="1">
      <alignment horizontal="center"/>
    </xf>
    <xf numFmtId="167" fontId="10" fillId="80" borderId="0" xfId="0" applyNumberFormat="1" applyFont="1" applyFill="1"/>
    <xf numFmtId="169" fontId="8" fillId="80" borderId="0" xfId="0" applyNumberFormat="1" applyFont="1" applyFill="1"/>
    <xf numFmtId="169" fontId="25" fillId="80" borderId="0" xfId="0" applyNumberFormat="1" applyFont="1" applyFill="1"/>
    <xf numFmtId="171" fontId="8" fillId="80" borderId="0" xfId="0" applyNumberFormat="1" applyFont="1" applyFill="1"/>
    <xf numFmtId="178" fontId="25" fillId="0" borderId="0" xfId="31" applyNumberFormat="1" applyFont="1" applyFill="1"/>
    <xf numFmtId="178" fontId="25" fillId="80" borderId="0" xfId="31" applyNumberFormat="1" applyFont="1" applyFill="1"/>
    <xf numFmtId="169" fontId="3" fillId="80" borderId="0" xfId="0" applyNumberFormat="1" applyFont="1" applyFill="1"/>
    <xf numFmtId="169" fontId="19" fillId="80" borderId="0" xfId="0" applyNumberFormat="1" applyFont="1" applyFill="1"/>
    <xf numFmtId="169" fontId="20" fillId="80" borderId="0" xfId="0" applyNumberFormat="1" applyFont="1" applyFill="1"/>
    <xf numFmtId="2" fontId="5" fillId="80" borderId="0" xfId="0" applyNumberFormat="1" applyFont="1" applyFill="1"/>
    <xf numFmtId="2" fontId="6" fillId="80" borderId="0" xfId="0" applyNumberFormat="1" applyFont="1" applyFill="1"/>
    <xf numFmtId="2" fontId="127" fillId="80" borderId="0" xfId="0" applyNumberFormat="1" applyFont="1" applyFill="1"/>
    <xf numFmtId="0" fontId="1" fillId="0" borderId="0" xfId="0" quotePrefix="1" applyFont="1" applyAlignment="1">
      <alignment vertical="center"/>
    </xf>
  </cellXfs>
  <cellStyles count="1308">
    <cellStyle name="******************************************" xfId="35"/>
    <cellStyle name="20% - Accent1 2" xfId="36"/>
    <cellStyle name="20% - Accent1 3" xfId="37"/>
    <cellStyle name="20% - Accent1 4" xfId="1293"/>
    <cellStyle name="20% - Accent2 2" xfId="38"/>
    <cellStyle name="20% - Accent2 3" xfId="39"/>
    <cellStyle name="20% - Accent2 4" xfId="1295"/>
    <cellStyle name="20% - Accent3 2" xfId="40"/>
    <cellStyle name="20% - Accent3 3" xfId="41"/>
    <cellStyle name="20% - Accent3 4" xfId="1297"/>
    <cellStyle name="20% - Accent4 2" xfId="42"/>
    <cellStyle name="20% - Accent4 3" xfId="43"/>
    <cellStyle name="20% - Accent4 4" xfId="1299"/>
    <cellStyle name="20% - Accent5 2" xfId="44"/>
    <cellStyle name="20% - Accent5 3" xfId="45"/>
    <cellStyle name="20% - Accent5 4" xfId="1301"/>
    <cellStyle name="20% - Accent6 2" xfId="46"/>
    <cellStyle name="20% - Accent6 3" xfId="47"/>
    <cellStyle name="20% - Accent6 4" xfId="1303"/>
    <cellStyle name="40% - Accent1 2" xfId="48"/>
    <cellStyle name="40% - Accent1 3" xfId="49"/>
    <cellStyle name="40% - Accent1 4" xfId="1294"/>
    <cellStyle name="40% - Accent2 2" xfId="50"/>
    <cellStyle name="40% - Accent2 3" xfId="51"/>
    <cellStyle name="40% - Accent2 4" xfId="1296"/>
    <cellStyle name="40% - Accent3 2" xfId="52"/>
    <cellStyle name="40% - Accent3 3" xfId="53"/>
    <cellStyle name="40% - Accent3 4" xfId="1298"/>
    <cellStyle name="40% - Accent4 2" xfId="54"/>
    <cellStyle name="40% - Accent4 3" xfId="55"/>
    <cellStyle name="40% - Accent4 4" xfId="1300"/>
    <cellStyle name="40% - Accent5 2" xfId="56"/>
    <cellStyle name="40% - Accent5 3" xfId="57"/>
    <cellStyle name="40% - Accent5 4" xfId="1302"/>
    <cellStyle name="40% - Accent6 2" xfId="58"/>
    <cellStyle name="40% - Accent6 3" xfId="59"/>
    <cellStyle name="40% - Accent6 4" xfId="1304"/>
    <cellStyle name="60% - Accent1 2" xfId="60"/>
    <cellStyle name="60% - Accent1 3" xfId="61"/>
    <cellStyle name="60% - Accent2 2" xfId="62"/>
    <cellStyle name="60% - Accent2 3" xfId="63"/>
    <cellStyle name="60% - Accent3 2" xfId="64"/>
    <cellStyle name="60% - Accent3 3" xfId="65"/>
    <cellStyle name="60% - Accent4 2" xfId="66"/>
    <cellStyle name="60% - Accent4 3" xfId="67"/>
    <cellStyle name="60% - Accent5 2" xfId="68"/>
    <cellStyle name="60% - Accent5 3" xfId="69"/>
    <cellStyle name="60% - Accent6 2" xfId="70"/>
    <cellStyle name="60% - Accent6 3" xfId="71"/>
    <cellStyle name="Accent1 2" xfId="72"/>
    <cellStyle name="Accent1 3" xfId="73"/>
    <cellStyle name="Accent2 2" xfId="74"/>
    <cellStyle name="Accent2 3" xfId="75"/>
    <cellStyle name="Accent3 2" xfId="76"/>
    <cellStyle name="Accent3 3" xfId="77"/>
    <cellStyle name="Accent4 2" xfId="78"/>
    <cellStyle name="Accent4 3" xfId="79"/>
    <cellStyle name="Accent5 2" xfId="80"/>
    <cellStyle name="Accent5 3" xfId="81"/>
    <cellStyle name="Accent6 2" xfId="82"/>
    <cellStyle name="Accent6 3" xfId="83"/>
    <cellStyle name="Bad 2" xfId="84"/>
    <cellStyle name="Bad 3" xfId="1284"/>
    <cellStyle name="BEPAALD" xfId="4"/>
    <cellStyle name="BEPAALD 2" xfId="85"/>
    <cellStyle name="Berekening" xfId="1260"/>
    <cellStyle name="Berekening 2" xfId="86"/>
    <cellStyle name="Berekening 3" xfId="87"/>
    <cellStyle name="bin" xfId="88"/>
    <cellStyle name="blue" xfId="89"/>
    <cellStyle name="Ç¥ÁØ_ENRL2" xfId="90"/>
    <cellStyle name="Calculation 2" xfId="91"/>
    <cellStyle name="Calculation 3" xfId="1287"/>
    <cellStyle name="cell" xfId="92"/>
    <cellStyle name="Check Cell 2" xfId="93"/>
    <cellStyle name="Check Cell 3" xfId="1289"/>
    <cellStyle name="Code additions" xfId="94"/>
    <cellStyle name="Col&amp;RowHeadings" xfId="95"/>
    <cellStyle name="ColCodes" xfId="96"/>
    <cellStyle name="ColTitles" xfId="97"/>
    <cellStyle name="column" xfId="98"/>
    <cellStyle name="Comma" xfId="31" builtinId="3"/>
    <cellStyle name="Comma 2" xfId="99"/>
    <cellStyle name="Comma 2 2" xfId="453"/>
    <cellStyle name="Comma 2 3" xfId="454"/>
    <cellStyle name="Comma 2 4" xfId="452"/>
    <cellStyle name="Comma 3" xfId="32"/>
    <cellStyle name="Comma 3 2" xfId="455"/>
    <cellStyle name="Comma 4" xfId="456"/>
    <cellStyle name="Comma 4 2" xfId="457"/>
    <cellStyle name="Comma 4 2 2" xfId="458"/>
    <cellStyle name="Comma 4 2 2 2" xfId="459"/>
    <cellStyle name="Comma 4 2 2 3" xfId="1228"/>
    <cellStyle name="Comma 4 2 3" xfId="1227"/>
    <cellStyle name="Comma 4 3" xfId="1226"/>
    <cellStyle name="Comma 5" xfId="460"/>
    <cellStyle name="Comma 5 2" xfId="461"/>
    <cellStyle name="Comma 5 2 2" xfId="1230"/>
    <cellStyle name="Comma 5 3" xfId="1229"/>
    <cellStyle name="Comma 6" xfId="462"/>
    <cellStyle name="Comma 6 2" xfId="463"/>
    <cellStyle name="Comma 6 2 2" xfId="1232"/>
    <cellStyle name="Comma 6 3" xfId="1231"/>
    <cellStyle name="Comma 7" xfId="464"/>
    <cellStyle name="Comma 7 2" xfId="1233"/>
    <cellStyle name="Comma 8" xfId="465"/>
    <cellStyle name="Comma 8 2" xfId="1234"/>
    <cellStyle name="Controlecel" xfId="1261"/>
    <cellStyle name="Controlecel 2" xfId="100"/>
    <cellStyle name="Controlecel 3" xfId="101"/>
    <cellStyle name="DataEntryCells" xfId="102"/>
    <cellStyle name="DATE" xfId="466"/>
    <cellStyle name="DATE 2" xfId="467"/>
    <cellStyle name="DATUM" xfId="5"/>
    <cellStyle name="Datum 2" xfId="104"/>
    <cellStyle name="Datum 3" xfId="103"/>
    <cellStyle name="Datum 4" xfId="468"/>
    <cellStyle name="Dezimal [0]_DIAGRAM" xfId="105"/>
    <cellStyle name="Dezimal_DIAGRAM" xfId="106"/>
    <cellStyle name="Didier" xfId="107"/>
    <cellStyle name="Didier - Title" xfId="108"/>
    <cellStyle name="Didier subtitles" xfId="109"/>
    <cellStyle name="ErrRpt_DataEntryCells" xfId="110"/>
    <cellStyle name="ErrRpt-DataEntryCells" xfId="111"/>
    <cellStyle name="ErrRpt-GreyBackground" xfId="112"/>
    <cellStyle name="Euro" xfId="13"/>
    <cellStyle name="Euro 2" xfId="113"/>
    <cellStyle name="Explanatory Text 2" xfId="114"/>
    <cellStyle name="Explanatory Text 3" xfId="1291"/>
    <cellStyle name="F2" xfId="18"/>
    <cellStyle name="F2 2" xfId="115"/>
    <cellStyle name="F3" xfId="23"/>
    <cellStyle name="F3 2" xfId="116"/>
    <cellStyle name="F4" xfId="19"/>
    <cellStyle name="F4 2" xfId="117"/>
    <cellStyle name="F5" xfId="20"/>
    <cellStyle name="F5 2" xfId="118"/>
    <cellStyle name="F6" xfId="21"/>
    <cellStyle name="F6 2" xfId="119"/>
    <cellStyle name="F7" xfId="16"/>
    <cellStyle name="F7 2" xfId="120"/>
    <cellStyle name="F8" xfId="22"/>
    <cellStyle name="F8 2" xfId="121"/>
    <cellStyle name="FIXED" xfId="469"/>
    <cellStyle name="FIXED 2" xfId="470"/>
    <cellStyle name="Followed Hyperlink 2" xfId="1306"/>
    <cellStyle name="formula" xfId="122"/>
    <cellStyle name="gap" xfId="123"/>
    <cellStyle name="Gekoppelde cel" xfId="1262"/>
    <cellStyle name="Gekoppelde cel 2" xfId="124"/>
    <cellStyle name="Gekoppelde cel 3" xfId="125"/>
    <cellStyle name="Goed" xfId="1263"/>
    <cellStyle name="Goed 2" xfId="126"/>
    <cellStyle name="Goed 3" xfId="127"/>
    <cellStyle name="Good 2" xfId="128"/>
    <cellStyle name="Good 3" xfId="1283"/>
    <cellStyle name="Grey_background" xfId="129"/>
    <cellStyle name="GreyBackground" xfId="130"/>
    <cellStyle name="Header" xfId="131"/>
    <cellStyle name="Heading 1 2" xfId="132"/>
    <cellStyle name="Heading 1 3" xfId="1279"/>
    <cellStyle name="Heading 2 2" xfId="133"/>
    <cellStyle name="Heading 2 3" xfId="1280"/>
    <cellStyle name="Heading 3 2" xfId="134"/>
    <cellStyle name="Heading 3 3" xfId="1281"/>
    <cellStyle name="Heading 4 2" xfId="135"/>
    <cellStyle name="Heading 4 3" xfId="1282"/>
    <cellStyle name="HEADING1" xfId="471"/>
    <cellStyle name="HEADING2" xfId="472"/>
    <cellStyle name="Hipervínculo" xfId="136"/>
    <cellStyle name="Hipervínculo visitado" xfId="137"/>
    <cellStyle name="Hyperlink" xfId="27" builtinId="8"/>
    <cellStyle name="Hyperlink 2" xfId="1224"/>
    <cellStyle name="Hyperlink 3" xfId="1305"/>
    <cellStyle name="Input 2" xfId="138"/>
    <cellStyle name="Input 3" xfId="1285"/>
    <cellStyle name="Invoer" xfId="1264"/>
    <cellStyle name="Invoer 2" xfId="139"/>
    <cellStyle name="Invoer 3" xfId="140"/>
    <cellStyle name="ISC" xfId="141"/>
    <cellStyle name="isced" xfId="142"/>
    <cellStyle name="ISCED Titles" xfId="143"/>
    <cellStyle name="isced_8gradk" xfId="144"/>
    <cellStyle name="Komma 10" xfId="145"/>
    <cellStyle name="Komma 11" xfId="146"/>
    <cellStyle name="Komma 12" xfId="147"/>
    <cellStyle name="Komma 13" xfId="148"/>
    <cellStyle name="Komma 14" xfId="149"/>
    <cellStyle name="Komma 15" xfId="150"/>
    <cellStyle name="Komma 2" xfId="151"/>
    <cellStyle name="Komma 2 2" xfId="152"/>
    <cellStyle name="Komma 2 2 2" xfId="153"/>
    <cellStyle name="Komma 2 3" xfId="154"/>
    <cellStyle name="Komma 3" xfId="155"/>
    <cellStyle name="Komma 3 2" xfId="156"/>
    <cellStyle name="Komma 4" xfId="157"/>
    <cellStyle name="Komma 5" xfId="158"/>
    <cellStyle name="Komma 5 2" xfId="159"/>
    <cellStyle name="Komma 5 3" xfId="160"/>
    <cellStyle name="Komma 5 4" xfId="161"/>
    <cellStyle name="Komma 6" xfId="162"/>
    <cellStyle name="Komma 7" xfId="163"/>
    <cellStyle name="Komma 7 2" xfId="164"/>
    <cellStyle name="Komma 8" xfId="165"/>
    <cellStyle name="Komma 9" xfId="166"/>
    <cellStyle name="Komma0" xfId="167"/>
    <cellStyle name="Komma0 - Opmaakprofiel3" xfId="168"/>
    <cellStyle name="Komma0 2" xfId="169"/>
    <cellStyle name="Komma0 3" xfId="473"/>
    <cellStyle name="Komma0 4" xfId="1235"/>
    <cellStyle name="Komma0_20110503 opzet output" xfId="170"/>
    <cellStyle name="Komma1" xfId="171"/>
    <cellStyle name="Komma1 - Opmaakprofiel1" xfId="172"/>
    <cellStyle name="Kop 1" xfId="1265"/>
    <cellStyle name="Kop 1 2" xfId="173"/>
    <cellStyle name="Kop 2" xfId="1266"/>
    <cellStyle name="Kop 2 2" xfId="174"/>
    <cellStyle name="Kop 3" xfId="1267"/>
    <cellStyle name="Kop 3 2" xfId="175"/>
    <cellStyle name="Kop 4" xfId="1268"/>
    <cellStyle name="Kop 4 2" xfId="176"/>
    <cellStyle name="KOP1" xfId="6"/>
    <cellStyle name="KOP1 2" xfId="177"/>
    <cellStyle name="KOP2" xfId="7"/>
    <cellStyle name="KOP2 2" xfId="178"/>
    <cellStyle name="Koptekst 1" xfId="179"/>
    <cellStyle name="Koptekst 1 2" xfId="474"/>
    <cellStyle name="Koptekst 2" xfId="180"/>
    <cellStyle name="Koptekst 2 2" xfId="475"/>
    <cellStyle name="level1a" xfId="181"/>
    <cellStyle name="level2" xfId="182"/>
    <cellStyle name="level2a" xfId="183"/>
    <cellStyle name="level3" xfId="184"/>
    <cellStyle name="Line titles-Rows" xfId="185"/>
    <cellStyle name="Linked Cell 2" xfId="186"/>
    <cellStyle name="Linked Cell 3" xfId="1288"/>
    <cellStyle name="Migliaia (0)_conti99" xfId="187"/>
    <cellStyle name="MUNT" xfId="8"/>
    <cellStyle name="MUNT 2" xfId="188"/>
    <cellStyle name="Neutraal" xfId="1269"/>
    <cellStyle name="Neutraal 2" xfId="189"/>
    <cellStyle name="Neutraal 3" xfId="190"/>
    <cellStyle name="Neutral 2" xfId="29"/>
    <cellStyle name="Neutral 3" xfId="191"/>
    <cellStyle name="Normaa" xfId="192"/>
    <cellStyle name="Normaal" xfId="2"/>
    <cellStyle name="Normaal 2" xfId="193"/>
    <cellStyle name="Normal" xfId="0" builtinId="0"/>
    <cellStyle name="Normal 10" xfId="476"/>
    <cellStyle name="Normal 10 2" xfId="477"/>
    <cellStyle name="Normal 10 2 2" xfId="478"/>
    <cellStyle name="Normal 10 2 2 2" xfId="479"/>
    <cellStyle name="Normal 10 2 2 3" xfId="480"/>
    <cellStyle name="Normal 10 3" xfId="481"/>
    <cellStyle name="Normal 10 3 2" xfId="482"/>
    <cellStyle name="Normal 10 3 2 2" xfId="483"/>
    <cellStyle name="Normal 10 3 2 2 2" xfId="484"/>
    <cellStyle name="Normal 10 3 2 2 2 2" xfId="485"/>
    <cellStyle name="Normal 10 3 2 2 2 2 10" xfId="486"/>
    <cellStyle name="Normal 10 3 2 2 2 2 11" xfId="487"/>
    <cellStyle name="Normal 10 3 2 2 2 2 12" xfId="488"/>
    <cellStyle name="Normal 10 3 2 2 2 2 13" xfId="489"/>
    <cellStyle name="Normal 10 3 2 2 2 2 14" xfId="490"/>
    <cellStyle name="Normal 10 3 2 2 2 2 15" xfId="491"/>
    <cellStyle name="Normal 10 3 2 2 2 2 16" xfId="492"/>
    <cellStyle name="Normal 10 3 2 2 2 2 17" xfId="493"/>
    <cellStyle name="Normal 10 3 2 2 2 2 18" xfId="494"/>
    <cellStyle name="Normal 10 3 2 2 2 2 19" xfId="495"/>
    <cellStyle name="Normal 10 3 2 2 2 2 2" xfId="496"/>
    <cellStyle name="Normal 10 3 2 2 2 2 2 2" xfId="497"/>
    <cellStyle name="Normal 10 3 2 2 2 2 20" xfId="498"/>
    <cellStyle name="Normal 10 3 2 2 2 2 21" xfId="499"/>
    <cellStyle name="Normal 10 3 2 2 2 2 22" xfId="500"/>
    <cellStyle name="Normal 10 3 2 2 2 2 23" xfId="501"/>
    <cellStyle name="Normal 10 3 2 2 2 2 24" xfId="502"/>
    <cellStyle name="Normal 10 3 2 2 2 2 25" xfId="503"/>
    <cellStyle name="Normal 10 3 2 2 2 2 26" xfId="504"/>
    <cellStyle name="Normal 10 3 2 2 2 2 27" xfId="505"/>
    <cellStyle name="Normal 10 3 2 2 2 2 28" xfId="506"/>
    <cellStyle name="Normal 10 3 2 2 2 2 29" xfId="507"/>
    <cellStyle name="Normal 10 3 2 2 2 2 3" xfId="508"/>
    <cellStyle name="Normal 10 3 2 2 2 2 30" xfId="509"/>
    <cellStyle name="Normal 10 3 2 2 2 2 31" xfId="510"/>
    <cellStyle name="Normal 10 3 2 2 2 2 32" xfId="511"/>
    <cellStyle name="Normal 10 3 2 2 2 2 33" xfId="512"/>
    <cellStyle name="Normal 10 3 2 2 2 2 34" xfId="513"/>
    <cellStyle name="Normal 10 3 2 2 2 2 35" xfId="514"/>
    <cellStyle name="Normal 10 3 2 2 2 2 36" xfId="515"/>
    <cellStyle name="Normal 10 3 2 2 2 2 37" xfId="516"/>
    <cellStyle name="Normal 10 3 2 2 2 2 38" xfId="517"/>
    <cellStyle name="Normal 10 3 2 2 2 2 39" xfId="518"/>
    <cellStyle name="Normal 10 3 2 2 2 2 4" xfId="519"/>
    <cellStyle name="Normal 10 3 2 2 2 2 40" xfId="520"/>
    <cellStyle name="Normal 10 3 2 2 2 2 41" xfId="521"/>
    <cellStyle name="Normal 10 3 2 2 2 2 42" xfId="522"/>
    <cellStyle name="Normal 10 3 2 2 2 2 43" xfId="523"/>
    <cellStyle name="Normal 10 3 2 2 2 2 43 2" xfId="524"/>
    <cellStyle name="Normal 10 3 2 2 2 2 44" xfId="525"/>
    <cellStyle name="Normal 10 3 2 2 2 2 45" xfId="526"/>
    <cellStyle name="Normal 10 3 2 2 2 2 46" xfId="527"/>
    <cellStyle name="Normal 10 3 2 2 2 2 47" xfId="528"/>
    <cellStyle name="Normal 10 3 2 2 2 2 48" xfId="529"/>
    <cellStyle name="Normal 10 3 2 2 2 2 49" xfId="530"/>
    <cellStyle name="Normal 10 3 2 2 2 2 5" xfId="531"/>
    <cellStyle name="Normal 10 3 2 2 2 2 50" xfId="532"/>
    <cellStyle name="Normal 10 3 2 2 2 2 50 2" xfId="533"/>
    <cellStyle name="Normal 10 3 2 2 2 2 51" xfId="534"/>
    <cellStyle name="Normal 10 3 2 2 2 2 52" xfId="535"/>
    <cellStyle name="Normal 10 3 2 2 2 2 53" xfId="536"/>
    <cellStyle name="Normal 10 3 2 2 2 2 54" xfId="537"/>
    <cellStyle name="Normal 10 3 2 2 2 2 55" xfId="538"/>
    <cellStyle name="Normal 10 3 2 2 2 2 56" xfId="539"/>
    <cellStyle name="Normal 10 3 2 2 2 2 57" xfId="540"/>
    <cellStyle name="Normal 10 3 2 2 2 2 58" xfId="541"/>
    <cellStyle name="Normal 10 3 2 2 2 2 59" xfId="542"/>
    <cellStyle name="Normal 10 3 2 2 2 2 6" xfId="543"/>
    <cellStyle name="Normal 10 3 2 2 2 2 60" xfId="544"/>
    <cellStyle name="Normal 10 3 2 2 2 2 61" xfId="545"/>
    <cellStyle name="Normal 10 3 2 2 2 2 62" xfId="546"/>
    <cellStyle name="Normal 10 3 2 2 2 2 63" xfId="547"/>
    <cellStyle name="Normal 10 3 2 2 2 2 64" xfId="548"/>
    <cellStyle name="Normal 10 3 2 2 2 2 65" xfId="549"/>
    <cellStyle name="Normal 10 3 2 2 2 2 66" xfId="550"/>
    <cellStyle name="Normal 10 3 2 2 2 2 67" xfId="551"/>
    <cellStyle name="Normal 10 3 2 2 2 2 68" xfId="552"/>
    <cellStyle name="Normal 10 3 2 2 2 2 69" xfId="553"/>
    <cellStyle name="Normal 10 3 2 2 2 2 7" xfId="554"/>
    <cellStyle name="Normal 10 3 2 2 2 2 70" xfId="555"/>
    <cellStyle name="Normal 10 3 2 2 2 2 71" xfId="556"/>
    <cellStyle name="Normal 10 3 2 2 2 2 72" xfId="557"/>
    <cellStyle name="Normal 10 3 2 2 2 2 73" xfId="558"/>
    <cellStyle name="Normal 10 3 2 2 2 2 74" xfId="559"/>
    <cellStyle name="Normal 10 3 2 2 2 2 75" xfId="560"/>
    <cellStyle name="Normal 10 3 2 2 2 2 76" xfId="561"/>
    <cellStyle name="Normal 10 3 2 2 2 2 77" xfId="562"/>
    <cellStyle name="Normal 10 3 2 2 2 2 78" xfId="563"/>
    <cellStyle name="Normal 10 3 2 2 2 2 8" xfId="564"/>
    <cellStyle name="Normal 10 3 2 2 2 2 9" xfId="565"/>
    <cellStyle name="Normal 10 3 2 2 2 3" xfId="566"/>
    <cellStyle name="Normal 10 3 2 2 3" xfId="567"/>
    <cellStyle name="Normal 10 3 2 3" xfId="568"/>
    <cellStyle name="Normal 10 3 3" xfId="569"/>
    <cellStyle name="Normal 10 4" xfId="570"/>
    <cellStyle name="Normal 10 4 2" xfId="571"/>
    <cellStyle name="Normal 10 5" xfId="572"/>
    <cellStyle name="Normal 10 5 2" xfId="573"/>
    <cellStyle name="Normal 10 6" xfId="574"/>
    <cellStyle name="Normal 10 6 2" xfId="575"/>
    <cellStyle name="Normal 10 7" xfId="576"/>
    <cellStyle name="Normal 10 7 2" xfId="577"/>
    <cellStyle name="Normal 10 8" xfId="578"/>
    <cellStyle name="Normal 10 8 2" xfId="579"/>
    <cellStyle name="Normal 10 9" xfId="580"/>
    <cellStyle name="Normal 11" xfId="581"/>
    <cellStyle name="Normal 11 2" xfId="582"/>
    <cellStyle name="Normal 11 9" xfId="583"/>
    <cellStyle name="Normal 12" xfId="584"/>
    <cellStyle name="Normal 12 2" xfId="585"/>
    <cellStyle name="Normal 13" xfId="586"/>
    <cellStyle name="Normal 13 2" xfId="587"/>
    <cellStyle name="Normal 13 3" xfId="588"/>
    <cellStyle name="Normal 13 4" xfId="589"/>
    <cellStyle name="Normal 14" xfId="590"/>
    <cellStyle name="Normal 14 2" xfId="591"/>
    <cellStyle name="Normal 15" xfId="592"/>
    <cellStyle name="Normal 15 2" xfId="593"/>
    <cellStyle name="Normal 16" xfId="594"/>
    <cellStyle name="Normal 16 2" xfId="595"/>
    <cellStyle name="Normal 17" xfId="596"/>
    <cellStyle name="Normal 17 2" xfId="597"/>
    <cellStyle name="Normal 18" xfId="598"/>
    <cellStyle name="Normal 19" xfId="599"/>
    <cellStyle name="Normal 2" xfId="1"/>
    <cellStyle name="Normal 2 10" xfId="600"/>
    <cellStyle name="Normal 2 11" xfId="601"/>
    <cellStyle name="Normal 2 12" xfId="602"/>
    <cellStyle name="Normal 2 13" xfId="603"/>
    <cellStyle name="Normal 2 14" xfId="604"/>
    <cellStyle name="NORMAL 2 15" xfId="605"/>
    <cellStyle name="NORMAL 2 16" xfId="606"/>
    <cellStyle name="NORMAL 2 17" xfId="607"/>
    <cellStyle name="NORMAL 2 18" xfId="608"/>
    <cellStyle name="Normal 2 19" xfId="451"/>
    <cellStyle name="Normal 2 2" xfId="3"/>
    <cellStyle name="Normal 2 2 2" xfId="609"/>
    <cellStyle name="Normal 2 2 2 2" xfId="610"/>
    <cellStyle name="Normal 2 2 2 2 2" xfId="611"/>
    <cellStyle name="Normal 2 2 2 3" xfId="612"/>
    <cellStyle name="Normal 2 2 2 4" xfId="613"/>
    <cellStyle name="Normal 2 2 2 5" xfId="614"/>
    <cellStyle name="Normal 2 2 2 6" xfId="615"/>
    <cellStyle name="Normal 2 2 2 7" xfId="616"/>
    <cellStyle name="Normal 2 2 2 8" xfId="617"/>
    <cellStyle name="Normal 2 2 3" xfId="618"/>
    <cellStyle name="Normal 2 2 4" xfId="619"/>
    <cellStyle name="Normal 2 2 5" xfId="620"/>
    <cellStyle name="Normal 2 2 6" xfId="621"/>
    <cellStyle name="Normal 2 2 7" xfId="622"/>
    <cellStyle name="Normal 2 2 8" xfId="623"/>
    <cellStyle name="Normal 2 2 9" xfId="624"/>
    <cellStyle name="Normal 2 20" xfId="1225"/>
    <cellStyle name="Normal 2 3" xfId="625"/>
    <cellStyle name="Normal 2 3 2" xfId="626"/>
    <cellStyle name="Normal 2 3 2 2" xfId="627"/>
    <cellStyle name="Normal 2 3 2 3" xfId="628"/>
    <cellStyle name="Normal 2 3 2 4" xfId="629"/>
    <cellStyle name="Normal 2 3 2 5" xfId="630"/>
    <cellStyle name="Normal 2 3 2 6" xfId="631"/>
    <cellStyle name="Normal 2 3 2 7" xfId="632"/>
    <cellStyle name="Normal 2 3 2 8" xfId="633"/>
    <cellStyle name="Normal 2 3 3" xfId="634"/>
    <cellStyle name="Normal 2 3 3 2" xfId="635"/>
    <cellStyle name="Normal 2 3 3 3" xfId="636"/>
    <cellStyle name="Normal 2 3 3 4" xfId="637"/>
    <cellStyle name="Normal 2 3 3 5" xfId="638"/>
    <cellStyle name="Normal 2 3 3 6" xfId="639"/>
    <cellStyle name="Normal 2 3 3 7" xfId="640"/>
    <cellStyle name="Normal 2 3 4" xfId="641"/>
    <cellStyle name="Normal 2 3 5" xfId="642"/>
    <cellStyle name="Normal 2 3 6" xfId="643"/>
    <cellStyle name="Normal 2 3 7" xfId="644"/>
    <cellStyle name="Normal 2 3 7 2" xfId="645"/>
    <cellStyle name="Normal 2 3 7 3" xfId="646"/>
    <cellStyle name="Normal 2 3 7 4" xfId="647"/>
    <cellStyle name="Normal 2 3 7 5" xfId="648"/>
    <cellStyle name="Normal 2 3 7 6" xfId="649"/>
    <cellStyle name="Normal 2 3 7 7" xfId="650"/>
    <cellStyle name="Normal 2 4" xfId="651"/>
    <cellStyle name="Normal 2 5" xfId="652"/>
    <cellStyle name="Normal 2 6" xfId="653"/>
    <cellStyle name="Normal 2 7" xfId="654"/>
    <cellStyle name="Normal 2 8" xfId="655"/>
    <cellStyle name="Normal 2 9" xfId="656"/>
    <cellStyle name="NORMAL 2 9 2" xfId="657"/>
    <cellStyle name="Normal 20" xfId="658"/>
    <cellStyle name="Normal 20 2" xfId="659"/>
    <cellStyle name="Normal 20 3" xfId="660"/>
    <cellStyle name="Normal 20 7 3 6 2" xfId="661"/>
    <cellStyle name="Normal 21" xfId="662"/>
    <cellStyle name="Normal 21 2" xfId="663"/>
    <cellStyle name="Normal 22" xfId="664"/>
    <cellStyle name="Normal 22 2" xfId="665"/>
    <cellStyle name="Normal 23" xfId="666"/>
    <cellStyle name="Normal 23 2" xfId="667"/>
    <cellStyle name="Normal 24" xfId="668"/>
    <cellStyle name="Normal 25" xfId="669"/>
    <cellStyle name="Normal 26" xfId="670"/>
    <cellStyle name="Normal 27" xfId="671"/>
    <cellStyle name="Normal 28" xfId="672"/>
    <cellStyle name="Normal 29" xfId="673"/>
    <cellStyle name="Normal 3" xfId="12"/>
    <cellStyle name="Normal 3 10" xfId="675"/>
    <cellStyle name="Normal 3 10 2" xfId="676"/>
    <cellStyle name="Normal 3 10 2 2" xfId="677"/>
    <cellStyle name="Normal 3 10 2 3" xfId="678"/>
    <cellStyle name="Normal 3 10 3" xfId="679"/>
    <cellStyle name="Normal 3 10 3 2" xfId="680"/>
    <cellStyle name="Normal 3 10 3 3" xfId="681"/>
    <cellStyle name="Normal 3 10 4" xfId="682"/>
    <cellStyle name="Normal 3 10 4 2" xfId="683"/>
    <cellStyle name="Normal 3 10 4 3" xfId="684"/>
    <cellStyle name="Normal 3 10 5" xfId="685"/>
    <cellStyle name="Normal 3 10 6" xfId="686"/>
    <cellStyle name="Normal 3 11" xfId="687"/>
    <cellStyle name="Normal 3 11 2" xfId="688"/>
    <cellStyle name="Normal 3 11 2 2" xfId="689"/>
    <cellStyle name="Normal 3 11 2 3" xfId="690"/>
    <cellStyle name="Normal 3 11 3" xfId="691"/>
    <cellStyle name="Normal 3 11 3 2" xfId="692"/>
    <cellStyle name="Normal 3 11 3 3" xfId="693"/>
    <cellStyle name="Normal 3 11 4" xfId="694"/>
    <cellStyle name="Normal 3 11 4 2" xfId="695"/>
    <cellStyle name="Normal 3 11 4 3" xfId="696"/>
    <cellStyle name="Normal 3 11 5" xfId="697"/>
    <cellStyle name="Normal 3 11 6" xfId="698"/>
    <cellStyle name="Normal 3 12" xfId="699"/>
    <cellStyle name="Normal 3 12 2" xfId="700"/>
    <cellStyle name="Normal 3 12 2 2" xfId="701"/>
    <cellStyle name="Normal 3 12 2 3" xfId="702"/>
    <cellStyle name="Normal 3 12 3" xfId="703"/>
    <cellStyle name="Normal 3 12 3 2" xfId="704"/>
    <cellStyle name="Normal 3 12 3 3" xfId="705"/>
    <cellStyle name="Normal 3 12 4" xfId="706"/>
    <cellStyle name="Normal 3 12 4 2" xfId="707"/>
    <cellStyle name="Normal 3 12 4 3" xfId="708"/>
    <cellStyle name="Normal 3 12 5" xfId="709"/>
    <cellStyle name="Normal 3 12 6" xfId="710"/>
    <cellStyle name="Normal 3 13" xfId="711"/>
    <cellStyle name="Normal 3 13 2" xfId="712"/>
    <cellStyle name="Normal 3 13 2 2" xfId="713"/>
    <cellStyle name="Normal 3 13 2 3" xfId="714"/>
    <cellStyle name="Normal 3 13 3" xfId="715"/>
    <cellStyle name="Normal 3 13 3 2" xfId="716"/>
    <cellStyle name="Normal 3 13 3 3" xfId="717"/>
    <cellStyle name="Normal 3 13 4" xfId="718"/>
    <cellStyle name="Normal 3 13 4 2" xfId="719"/>
    <cellStyle name="Normal 3 13 4 3" xfId="720"/>
    <cellStyle name="Normal 3 13 5" xfId="721"/>
    <cellStyle name="Normal 3 13 6" xfId="722"/>
    <cellStyle name="Normal 3 14" xfId="723"/>
    <cellStyle name="Normal 3 14 2" xfId="724"/>
    <cellStyle name="Normal 3 14 2 2" xfId="725"/>
    <cellStyle name="Normal 3 14 2 3" xfId="726"/>
    <cellStyle name="Normal 3 14 3" xfId="727"/>
    <cellStyle name="Normal 3 14 3 2" xfId="728"/>
    <cellStyle name="Normal 3 14 3 3" xfId="729"/>
    <cellStyle name="Normal 3 14 4" xfId="730"/>
    <cellStyle name="Normal 3 14 4 2" xfId="731"/>
    <cellStyle name="Normal 3 14 4 3" xfId="732"/>
    <cellStyle name="Normal 3 14 5" xfId="733"/>
    <cellStyle name="Normal 3 14 6" xfId="734"/>
    <cellStyle name="Normal 3 15" xfId="735"/>
    <cellStyle name="Normal 3 15 2" xfId="736"/>
    <cellStyle name="Normal 3 15 3" xfId="737"/>
    <cellStyle name="Normal 3 16" xfId="738"/>
    <cellStyle name="Normal 3 16 2" xfId="739"/>
    <cellStyle name="Normal 3 16 3" xfId="740"/>
    <cellStyle name="Normal 3 17" xfId="741"/>
    <cellStyle name="Normal 3 17 2" xfId="742"/>
    <cellStyle name="Normal 3 17 3" xfId="743"/>
    <cellStyle name="Normal 3 18" xfId="744"/>
    <cellStyle name="Normal 3 18 2" xfId="745"/>
    <cellStyle name="Normal 3 18 3" xfId="746"/>
    <cellStyle name="Normal 3 19" xfId="747"/>
    <cellStyle name="Normal 3 2" xfId="17"/>
    <cellStyle name="Normal 3 2 2" xfId="195"/>
    <cellStyle name="Normal 3 2 2 2" xfId="750"/>
    <cellStyle name="Normal 3 2 2 3" xfId="751"/>
    <cellStyle name="Normal 3 2 2 4" xfId="749"/>
    <cellStyle name="Normal 3 2 3" xfId="752"/>
    <cellStyle name="Normal 3 2 3 2" xfId="753"/>
    <cellStyle name="Normal 3 2 3 3" xfId="754"/>
    <cellStyle name="Normal 3 2 4" xfId="755"/>
    <cellStyle name="Normal 3 2 4 2" xfId="756"/>
    <cellStyle name="Normal 3 2 4 3" xfId="757"/>
    <cellStyle name="Normal 3 2 5" xfId="758"/>
    <cellStyle name="Normal 3 2 6" xfId="759"/>
    <cellStyle name="Normal 3 2 7" xfId="748"/>
    <cellStyle name="Normal 3 20" xfId="760"/>
    <cellStyle name="Normal 3 21" xfId="761"/>
    <cellStyle name="Normal 3 22" xfId="762"/>
    <cellStyle name="Normal 3 23" xfId="674"/>
    <cellStyle name="Normal 3 3" xfId="26"/>
    <cellStyle name="Normal 3 3 2" xfId="764"/>
    <cellStyle name="Normal 3 3 2 2" xfId="765"/>
    <cellStyle name="Normal 3 3 2 3" xfId="766"/>
    <cellStyle name="Normal 3 3 3" xfId="767"/>
    <cellStyle name="Normal 3 3 3 2" xfId="768"/>
    <cellStyle name="Normal 3 3 3 3" xfId="769"/>
    <cellStyle name="Normal 3 3 4" xfId="770"/>
    <cellStyle name="Normal 3 3 4 2" xfId="771"/>
    <cellStyle name="Normal 3 3 4 3" xfId="772"/>
    <cellStyle name="Normal 3 3 5" xfId="773"/>
    <cellStyle name="Normal 3 3 6" xfId="774"/>
    <cellStyle name="Normal 3 3 7" xfId="763"/>
    <cellStyle name="Normal 3 4" xfId="24"/>
    <cellStyle name="Normal 3 4 2" xfId="776"/>
    <cellStyle name="Normal 3 4 2 2" xfId="777"/>
    <cellStyle name="Normal 3 4 2 3" xfId="778"/>
    <cellStyle name="Normal 3 4 3" xfId="779"/>
    <cellStyle name="Normal 3 4 3 2" xfId="780"/>
    <cellStyle name="Normal 3 4 3 3" xfId="781"/>
    <cellStyle name="Normal 3 4 4" xfId="782"/>
    <cellStyle name="Normal 3 4 4 2" xfId="783"/>
    <cellStyle name="Normal 3 4 4 3" xfId="784"/>
    <cellStyle name="Normal 3 4 5" xfId="785"/>
    <cellStyle name="Normal 3 4 6" xfId="786"/>
    <cellStyle name="Normal 3 4 7" xfId="775"/>
    <cellStyle name="Normal 3 5" xfId="194"/>
    <cellStyle name="Normal 3 5 2" xfId="788"/>
    <cellStyle name="Normal 3 5 2 2" xfId="789"/>
    <cellStyle name="Normal 3 5 2 3" xfId="790"/>
    <cellStyle name="Normal 3 5 3" xfId="791"/>
    <cellStyle name="Normal 3 5 3 2" xfId="792"/>
    <cellStyle name="Normal 3 5 3 3" xfId="793"/>
    <cellStyle name="Normal 3 5 4" xfId="794"/>
    <cellStyle name="Normal 3 5 4 2" xfId="795"/>
    <cellStyle name="Normal 3 5 4 3" xfId="796"/>
    <cellStyle name="Normal 3 5 5" xfId="797"/>
    <cellStyle name="Normal 3 5 6" xfId="798"/>
    <cellStyle name="Normal 3 5 7" xfId="787"/>
    <cellStyle name="Normal 3 6" xfId="799"/>
    <cellStyle name="Normal 3 6 2" xfId="800"/>
    <cellStyle name="Normal 3 6 2 2" xfId="801"/>
    <cellStyle name="Normal 3 6 2 3" xfId="802"/>
    <cellStyle name="Normal 3 6 3" xfId="803"/>
    <cellStyle name="Normal 3 6 3 2" xfId="804"/>
    <cellStyle name="Normal 3 6 3 3" xfId="805"/>
    <cellStyle name="Normal 3 6 4" xfId="806"/>
    <cellStyle name="Normal 3 6 4 2" xfId="807"/>
    <cellStyle name="Normal 3 6 4 3" xfId="808"/>
    <cellStyle name="Normal 3 6 5" xfId="809"/>
    <cellStyle name="Normal 3 6 6" xfId="810"/>
    <cellStyle name="Normal 3 7" xfId="811"/>
    <cellStyle name="Normal 3 7 2" xfId="812"/>
    <cellStyle name="Normal 3 7 2 2" xfId="813"/>
    <cellStyle name="Normal 3 7 2 3" xfId="814"/>
    <cellStyle name="Normal 3 7 3" xfId="815"/>
    <cellStyle name="Normal 3 7 3 2" xfId="816"/>
    <cellStyle name="Normal 3 7 3 3" xfId="817"/>
    <cellStyle name="Normal 3 7 4" xfId="818"/>
    <cellStyle name="Normal 3 7 4 2" xfId="819"/>
    <cellStyle name="Normal 3 7 4 3" xfId="820"/>
    <cellStyle name="Normal 3 7 5" xfId="821"/>
    <cellStyle name="Normal 3 7 6" xfId="822"/>
    <cellStyle name="Normal 3 8" xfId="823"/>
    <cellStyle name="Normal 3 8 2" xfId="824"/>
    <cellStyle name="Normal 3 8 2 2" xfId="825"/>
    <cellStyle name="Normal 3 8 2 3" xfId="826"/>
    <cellStyle name="Normal 3 8 3" xfId="827"/>
    <cellStyle name="Normal 3 8 3 2" xfId="828"/>
    <cellStyle name="Normal 3 8 3 3" xfId="829"/>
    <cellStyle name="Normal 3 8 4" xfId="830"/>
    <cellStyle name="Normal 3 8 4 2" xfId="831"/>
    <cellStyle name="Normal 3 8 4 3" xfId="832"/>
    <cellStyle name="Normal 3 8 5" xfId="833"/>
    <cellStyle name="Normal 3 8 6" xfId="834"/>
    <cellStyle name="Normal 3 9" xfId="835"/>
    <cellStyle name="Normal 3 9 2" xfId="836"/>
    <cellStyle name="Normal 3 9 2 2" xfId="837"/>
    <cellStyle name="Normal 3 9 2 3" xfId="838"/>
    <cellStyle name="Normal 3 9 3" xfId="839"/>
    <cellStyle name="Normal 3 9 3 2" xfId="840"/>
    <cellStyle name="Normal 3 9 3 3" xfId="841"/>
    <cellStyle name="Normal 3 9 4" xfId="842"/>
    <cellStyle name="Normal 3 9 4 2" xfId="843"/>
    <cellStyle name="Normal 3 9 4 3" xfId="844"/>
    <cellStyle name="Normal 3 9 5" xfId="845"/>
    <cellStyle name="Normal 3 9 6" xfId="846"/>
    <cellStyle name="Normal 30" xfId="450"/>
    <cellStyle name="Normal 4" xfId="28"/>
    <cellStyle name="Normal 4 2" xfId="196"/>
    <cellStyle name="Normal 4 2 2" xfId="849"/>
    <cellStyle name="Normal 4 2 3" xfId="848"/>
    <cellStyle name="Normal 4 3" xfId="850"/>
    <cellStyle name="Normal 4 3 2" xfId="851"/>
    <cellStyle name="Normal 4 4" xfId="852"/>
    <cellStyle name="Normal 4 4 2" xfId="853"/>
    <cellStyle name="Normal 4 4 2 2" xfId="854"/>
    <cellStyle name="Normal 4 4 2 2 2" xfId="855"/>
    <cellStyle name="Normal 4 4 2 2 2 2" xfId="856"/>
    <cellStyle name="Normal 4 4 2 2 3" xfId="857"/>
    <cellStyle name="Normal 4 4 2 3" xfId="858"/>
    <cellStyle name="Normal 4 4 2 3 2" xfId="859"/>
    <cellStyle name="Normal 4 4 2 3 2 2" xfId="860"/>
    <cellStyle name="Normal 4 4 2 3 2 2 2" xfId="861"/>
    <cellStyle name="Normal 4 4 2 3 2 3" xfId="862"/>
    <cellStyle name="Normal 4 4 2 3 2 3 2" xfId="863"/>
    <cellStyle name="Normal 4 4 2 3 2 4" xfId="864"/>
    <cellStyle name="Normal 4 4 2 3 2 4 2" xfId="865"/>
    <cellStyle name="Normal 4 4 2 3 2 4 2 2" xfId="866"/>
    <cellStyle name="Normal 4 4 2 3 2 4 2 2 2" xfId="867"/>
    <cellStyle name="Normal 4 4 2 3 2 4 2 3" xfId="868"/>
    <cellStyle name="Normal 4 4 2 3 2 4 2 3 2" xfId="869"/>
    <cellStyle name="Normal 4 4 2 3 2 4 2 4" xfId="870"/>
    <cellStyle name="Normal 4 4 2 3 2 4 2 4 2" xfId="871"/>
    <cellStyle name="Normal 4 4 2 3 2 4 2 4 2 2" xfId="872"/>
    <cellStyle name="Normal 4 4 2 3 2 4 2 4 2 2 2" xfId="873"/>
    <cellStyle name="Normal 4 4 2 3 2 4 2 4 2 2 2 2" xfId="874"/>
    <cellStyle name="Normal 4 4 2 3 2 4 2 4 2 2 3" xfId="875"/>
    <cellStyle name="Normal 4 4 2 3 2 4 2 4 2 2 3 2" xfId="876"/>
    <cellStyle name="Normal 4 4 2 3 2 4 2 4 2 2 3 2 10" xfId="877"/>
    <cellStyle name="Normal 4 4 2 3 2 4 2 4 2 2 3 2 10 2" xfId="878"/>
    <cellStyle name="Normal 4 4 2 3 2 4 2 4 2 2 3 2 11" xfId="879"/>
    <cellStyle name="Normal 4 4 2 3 2 4 2 4 2 2 3 2 11 2" xfId="880"/>
    <cellStyle name="Normal 4 4 2 3 2 4 2 4 2 2 3 2 12" xfId="881"/>
    <cellStyle name="Normal 4 4 2 3 2 4 2 4 2 2 3 2 12 2" xfId="882"/>
    <cellStyle name="Normal 4 4 2 3 2 4 2 4 2 2 3 2 13" xfId="883"/>
    <cellStyle name="Normal 4 4 2 3 2 4 2 4 2 2 3 2 13 2" xfId="884"/>
    <cellStyle name="Normal 4 4 2 3 2 4 2 4 2 2 3 2 14" xfId="885"/>
    <cellStyle name="Normal 4 4 2 3 2 4 2 4 2 2 3 2 14 2" xfId="886"/>
    <cellStyle name="Normal 4 4 2 3 2 4 2 4 2 2 3 2 15" xfId="887"/>
    <cellStyle name="Normal 4 4 2 3 2 4 2 4 2 2 3 2 15 2" xfId="888"/>
    <cellStyle name="Normal 4 4 2 3 2 4 2 4 2 2 3 2 16" xfId="889"/>
    <cellStyle name="Normal 4 4 2 3 2 4 2 4 2 2 3 2 16 2" xfId="890"/>
    <cellStyle name="Normal 4 4 2 3 2 4 2 4 2 2 3 2 17" xfId="891"/>
    <cellStyle name="Normal 4 4 2 3 2 4 2 4 2 2 3 2 17 2" xfId="892"/>
    <cellStyle name="Normal 4 4 2 3 2 4 2 4 2 2 3 2 18" xfId="893"/>
    <cellStyle name="Normal 4 4 2 3 2 4 2 4 2 2 3 2 18 2" xfId="894"/>
    <cellStyle name="Normal 4 4 2 3 2 4 2 4 2 2 3 2 19" xfId="895"/>
    <cellStyle name="Normal 4 4 2 3 2 4 2 4 2 2 3 2 19 2" xfId="896"/>
    <cellStyle name="Normal 4 4 2 3 2 4 2 4 2 2 3 2 2" xfId="897"/>
    <cellStyle name="Normal 4 4 2 3 2 4 2 4 2 2 3 2 2 2" xfId="898"/>
    <cellStyle name="Normal 4 4 2 3 2 4 2 4 2 2 3 2 20" xfId="899"/>
    <cellStyle name="Normal 4 4 2 3 2 4 2 4 2 2 3 2 20 2" xfId="900"/>
    <cellStyle name="Normal 4 4 2 3 2 4 2 4 2 2 3 2 21" xfId="901"/>
    <cellStyle name="Normal 4 4 2 3 2 4 2 4 2 2 3 2 21 2" xfId="902"/>
    <cellStyle name="Normal 4 4 2 3 2 4 2 4 2 2 3 2 22" xfId="903"/>
    <cellStyle name="Normal 4 4 2 3 2 4 2 4 2 2 3 2 22 2" xfId="904"/>
    <cellStyle name="Normal 4 4 2 3 2 4 2 4 2 2 3 2 23" xfId="905"/>
    <cellStyle name="Normal 4 4 2 3 2 4 2 4 2 2 3 2 23 2" xfId="906"/>
    <cellStyle name="Normal 4 4 2 3 2 4 2 4 2 2 3 2 24" xfId="907"/>
    <cellStyle name="Normal 4 4 2 3 2 4 2 4 2 2 3 2 24 2" xfId="908"/>
    <cellStyle name="Normal 4 4 2 3 2 4 2 4 2 2 3 2 25" xfId="909"/>
    <cellStyle name="Normal 4 4 2 3 2 4 2 4 2 2 3 2 25 2" xfId="910"/>
    <cellStyle name="Normal 4 4 2 3 2 4 2 4 2 2 3 2 26" xfId="911"/>
    <cellStyle name="Normal 4 4 2 3 2 4 2 4 2 2 3 2 26 2" xfId="912"/>
    <cellStyle name="Normal 4 4 2 3 2 4 2 4 2 2 3 2 27" xfId="913"/>
    <cellStyle name="Normal 4 4 2 3 2 4 2 4 2 2 3 2 27 2" xfId="914"/>
    <cellStyle name="Normal 4 4 2 3 2 4 2 4 2 2 3 2 28" xfId="915"/>
    <cellStyle name="Normal 4 4 2 3 2 4 2 4 2 2 3 2 28 2" xfId="916"/>
    <cellStyle name="Normal 4 4 2 3 2 4 2 4 2 2 3 2 29" xfId="917"/>
    <cellStyle name="Normal 4 4 2 3 2 4 2 4 2 2 3 2 29 2" xfId="918"/>
    <cellStyle name="Normal 4 4 2 3 2 4 2 4 2 2 3 2 3" xfId="919"/>
    <cellStyle name="Normal 4 4 2 3 2 4 2 4 2 2 3 2 3 2" xfId="920"/>
    <cellStyle name="Normal 4 4 2 3 2 4 2 4 2 2 3 2 30" xfId="921"/>
    <cellStyle name="Normal 4 4 2 3 2 4 2 4 2 2 3 2 30 2" xfId="922"/>
    <cellStyle name="Normal 4 4 2 3 2 4 2 4 2 2 3 2 31" xfId="923"/>
    <cellStyle name="Normal 4 4 2 3 2 4 2 4 2 2 3 2 31 2" xfId="924"/>
    <cellStyle name="Normal 4 4 2 3 2 4 2 4 2 2 3 2 32" xfId="925"/>
    <cellStyle name="Normal 4 4 2 3 2 4 2 4 2 2 3 2 32 2" xfId="926"/>
    <cellStyle name="Normal 4 4 2 3 2 4 2 4 2 2 3 2 33" xfId="927"/>
    <cellStyle name="Normal 4 4 2 3 2 4 2 4 2 2 3 2 33 2" xfId="928"/>
    <cellStyle name="Normal 4 4 2 3 2 4 2 4 2 2 3 2 34" xfId="929"/>
    <cellStyle name="Normal 4 4 2 3 2 4 2 4 2 2 3 2 34 2" xfId="930"/>
    <cellStyle name="Normal 4 4 2 3 2 4 2 4 2 2 3 2 35" xfId="931"/>
    <cellStyle name="Normal 4 4 2 3 2 4 2 4 2 2 3 2 35 2" xfId="932"/>
    <cellStyle name="Normal 4 4 2 3 2 4 2 4 2 2 3 2 36" xfId="933"/>
    <cellStyle name="Normal 4 4 2 3 2 4 2 4 2 2 3 2 36 2" xfId="934"/>
    <cellStyle name="Normal 4 4 2 3 2 4 2 4 2 2 3 2 37" xfId="935"/>
    <cellStyle name="Normal 4 4 2 3 2 4 2 4 2 2 3 2 37 2" xfId="936"/>
    <cellStyle name="Normal 4 4 2 3 2 4 2 4 2 2 3 2 38" xfId="937"/>
    <cellStyle name="Normal 4 4 2 3 2 4 2 4 2 2 3 2 38 2" xfId="938"/>
    <cellStyle name="Normal 4 4 2 3 2 4 2 4 2 2 3 2 39" xfId="939"/>
    <cellStyle name="Normal 4 4 2 3 2 4 2 4 2 2 3 2 39 2" xfId="940"/>
    <cellStyle name="Normal 4 4 2 3 2 4 2 4 2 2 3 2 4" xfId="941"/>
    <cellStyle name="Normal 4 4 2 3 2 4 2 4 2 2 3 2 4 2" xfId="942"/>
    <cellStyle name="Normal 4 4 2 3 2 4 2 4 2 2 3 2 40" xfId="943"/>
    <cellStyle name="Normal 4 4 2 3 2 4 2 4 2 2 3 2 40 2" xfId="944"/>
    <cellStyle name="Normal 4 4 2 3 2 4 2 4 2 2 3 2 41" xfId="945"/>
    <cellStyle name="Normal 4 4 2 3 2 4 2 4 2 2 3 2 41 2" xfId="946"/>
    <cellStyle name="Normal 4 4 2 3 2 4 2 4 2 2 3 2 42" xfId="947"/>
    <cellStyle name="Normal 4 4 2 3 2 4 2 4 2 2 3 2 42 2" xfId="948"/>
    <cellStyle name="Normal 4 4 2 3 2 4 2 4 2 2 3 2 42 2 2" xfId="949"/>
    <cellStyle name="Normal 4 4 2 3 2 4 2 4 2 2 3 2 42 2 2 2" xfId="950"/>
    <cellStyle name="Normal 4 4 2 3 2 4 2 4 2 2 3 2 42 2 3" xfId="951"/>
    <cellStyle name="Normal 4 4 2 3 2 4 2 4 2 2 3 2 42 2 3 2" xfId="952"/>
    <cellStyle name="Normal 4 4 2 3 2 4 2 4 2 2 3 2 42 2 3 2 2" xfId="953"/>
    <cellStyle name="Normal 4 4 2 3 2 4 2 4 2 2 3 2 42 2 3 2 2 2" xfId="954"/>
    <cellStyle name="Normal 4 4 2 3 2 4 2 4 2 2 3 2 42 2 3 2 2 2 2" xfId="955"/>
    <cellStyle name="Normal 4 4 2 3 2 4 2 4 2 2 3 2 42 2 3 2 2 2 2 2" xfId="956"/>
    <cellStyle name="Normal 4 4 2 3 2 4 2 4 2 2 3 2 42 2 3 2 2 2 2 2 2" xfId="957"/>
    <cellStyle name="Normal 4 4 2 3 2 4 2 4 2 2 3 2 42 2 3 2 2 2 2 3" xfId="958"/>
    <cellStyle name="Normal 4 4 2 3 2 4 2 4 2 2 3 2 42 2 3 2 2 2 2 3 2" xfId="959"/>
    <cellStyle name="Normal 4 4 2 3 2 4 2 4 2 2 3 2 42 2 3 2 2 2 2 3 2 2" xfId="960"/>
    <cellStyle name="Normal 4 4 2 3 2 4 2 4 2 2 3 2 42 2 3 2 2 2 2 3 3" xfId="961"/>
    <cellStyle name="Normal 4 4 2 3 2 4 2 4 2 2 3 2 42 2 3 2 2 2 2 3 3 2" xfId="962"/>
    <cellStyle name="Normal 4 4 2 3 2 4 2 4 2 2 3 2 42 2 3 2 2 2 2 3 4" xfId="963"/>
    <cellStyle name="Normal 4 4 2 3 2 4 2 4 2 2 3 2 42 2 3 2 2 2 2 3 4 2" xfId="964"/>
    <cellStyle name="Normal 4 4 2 3 2 4 2 4 2 2 3 2 42 2 3 2 2 2 2 3 5" xfId="965"/>
    <cellStyle name="Normal 4 4 2 3 2 4 2 4 2 2 3 2 42 2 3 2 2 2 2 3 5 2" xfId="966"/>
    <cellStyle name="Normal 4 4 2 3 2 4 2 4 2 2 3 2 42 2 3 2 2 2 2 3 6" xfId="967"/>
    <cellStyle name="Normal 4 4 2 3 2 4 2 4 2 2 3 2 42 2 3 2 2 2 2 3 6 2" xfId="968"/>
    <cellStyle name="Normal 4 4 2 3 2 4 2 4 2 2 3 2 42 2 3 2 2 2 2 3 7" xfId="969"/>
    <cellStyle name="Normal 4 4 2 3 2 4 2 4 2 2 3 2 42 2 3 2 2 2 2 3 7 2" xfId="970"/>
    <cellStyle name="Normal 4 4 2 3 2 4 2 4 2 2 3 2 42 2 3 2 2 2 2 3 8" xfId="971"/>
    <cellStyle name="Normal 4 4 2 3 2 4 2 4 2 2 3 2 42 2 3 2 2 2 2 3 8 10" xfId="972"/>
    <cellStyle name="Normal 4 4 2 3 2 4 2 4 2 2 3 2 42 2 3 2 2 2 2 3 8 10 2" xfId="973"/>
    <cellStyle name="Normal 4 4 2 3 2 4 2 4 2 2 3 2 42 2 3 2 2 2 2 3 8 11" xfId="974"/>
    <cellStyle name="Normal 4 4 2 3 2 4 2 4 2 2 3 2 42 2 3 2 2 2 2 3 8 11 2" xfId="975"/>
    <cellStyle name="Normal 4 4 2 3 2 4 2 4 2 2 3 2 42 2 3 2 2 2 2 3 8 11 2 2" xfId="976"/>
    <cellStyle name="Normal 4 4 2 3 2 4 2 4 2 2 3 2 42 2 3 2 2 2 2 3 8 11 3" xfId="977"/>
    <cellStyle name="Normal 4 4 2 3 2 4 2 4 2 2 3 2 42 2 3 2 2 2 2 3 8 11 3 2" xfId="978"/>
    <cellStyle name="Normal 4 4 2 3 2 4 2 4 2 2 3 2 42 2 3 2 2 2 2 3 8 11 4" xfId="979"/>
    <cellStyle name="Normal 4 4 2 3 2 4 2 4 2 2 3 2 42 2 3 2 2 2 2 3 8 11 4 2" xfId="980"/>
    <cellStyle name="Normal 4 4 2 3 2 4 2 4 2 2 3 2 42 2 3 2 2 2 2 3 8 11 5" xfId="981"/>
    <cellStyle name="Normal 4 4 2 3 2 4 2 4 2 2 3 2 42 2 3 2 2 2 2 3 8 11 5 2" xfId="982"/>
    <cellStyle name="Normal 4 4 2 3 2 4 2 4 2 2 3 2 42 2 3 2 2 2 2 3 8 11 5 2 2" xfId="983"/>
    <cellStyle name="Normal 4 4 2 3 2 4 2 4 2 2 3 2 42 2 3 2 2 2 2 3 8 11 5 3" xfId="984"/>
    <cellStyle name="Normal 4 4 2 3 2 4 2 4 2 2 3 2 42 2 3 2 2 2 2 3 8 11 5 3 2" xfId="985"/>
    <cellStyle name="Normal 4 4 2 3 2 4 2 4 2 2 3 2 42 2 3 2 2 2 2 3 8 11 5 3 2 2" xfId="986"/>
    <cellStyle name="Normal 4 4 2 3 2 4 2 4 2 2 3 2 42 2 3 2 2 2 2 3 8 11 5 3 3" xfId="987"/>
    <cellStyle name="Normal 4 4 2 3 2 4 2 4 2 2 3 2 42 2 3 2 2 2 2 3 8 11 5 3 3 2" xfId="988"/>
    <cellStyle name="Normal 4 4 2 3 2 4 2 4 2 2 3 2 42 2 3 2 2 2 2 3 8 11 5 3 4" xfId="989"/>
    <cellStyle name="Normal 4 4 2 3 2 4 2 4 2 2 3 2 42 2 3 2 2 2 2 3 8 11 5 3 4 2" xfId="990"/>
    <cellStyle name="Normal 4 4 2 3 2 4 2 4 2 2 3 2 42 2 3 2 2 2 2 3 8 11 5 3 5" xfId="991"/>
    <cellStyle name="Normal 4 4 2 3 2 4 2 4 2 2 3 2 42 2 3 2 2 2 2 3 8 11 5 3 6" xfId="992"/>
    <cellStyle name="Normal 4 4 2 3 2 4 2 4 2 2 3 2 42 2 3 2 2 2 2 3 8 11 5 3 6 2" xfId="993"/>
    <cellStyle name="Normal 4 4 2 3 2 4 2 4 2 2 3 2 42 2 3 2 2 2 2 3 8 11 5 3 6 3" xfId="994"/>
    <cellStyle name="Normal 4 4 2 3 2 4 2 4 2 2 3 2 42 2 3 2 2 2 2 3 8 11 5 3 6 4" xfId="995"/>
    <cellStyle name="Normal 4 4 2 3 2 4 2 4 2 2 3 2 42 2 3 2 2 2 2 3 8 11 5 3 6 5" xfId="996"/>
    <cellStyle name="Normal 4 4 2 3 2 4 2 4 2 2 3 2 42 2 3 2 2 2 2 3 8 11 5 3 6 6" xfId="997"/>
    <cellStyle name="Normal 4 4 2 3 2 4 2 4 2 2 3 2 42 2 3 2 2 2 2 3 8 11 5 3 6 7" xfId="998"/>
    <cellStyle name="Normal 4 4 2 3 2 4 2 4 2 2 3 2 42 2 3 2 2 2 2 3 8 11 5 3 6 8" xfId="999"/>
    <cellStyle name="Normal 4 4 2 3 2 4 2 4 2 2 3 2 42 2 3 2 2 2 2 3 8 11 5 3 6 8 2" xfId="1000"/>
    <cellStyle name="Normal 4 4 2 3 2 4 2 4 2 2 3 2 42 2 3 2 2 2 2 3 8 11 5 3 6 8 3" xfId="1001"/>
    <cellStyle name="Normal 4 4 2 3 2 4 2 4 2 2 3 2 42 2 3 2 2 2 2 3 8 11 5 3 6 8 3 2" xfId="1002"/>
    <cellStyle name="Normal 4 4 2 3 2 4 2 4 2 2 3 2 42 2 3 2 2 2 2 3 8 11 5 3 6 8 3 3" xfId="1003"/>
    <cellStyle name="Normal 4 4 2 3 2 4 2 4 2 2 3 2 42 2 3 2 2 2 2 3 8 11 5 3 6 8 3 4" xfId="1004"/>
    <cellStyle name="Normal 4 4 2 3 2 4 2 4 2 2 3 2 42 2 3 2 2 2 2 3 8 11 5 3 6 8 3 5" xfId="1005"/>
    <cellStyle name="Normal 4 4 2 3 2 4 2 4 2 2 3 2 42 2 3 2 2 2 2 3 8 11 5 3 6 8 3 6" xfId="1006"/>
    <cellStyle name="Normal 4 4 2 3 2 4 2 4 2 2 3 2 42 2 3 2 2 2 2 3 8 11 5 3 6 8 3 7" xfId="1007"/>
    <cellStyle name="Normal 4 4 2 3 2 4 2 4 2 2 3 2 42 2 3 2 2 2 2 3 8 11 5 3 6 8 3 8" xfId="1008"/>
    <cellStyle name="Normal 4 4 2 3 2 4 2 4 2 2 3 2 42 2 3 2 2 2 2 3 8 2" xfId="1009"/>
    <cellStyle name="Normal 4 4 2 3 2 4 2 4 2 2 3 2 42 2 3 2 2 2 2 3 8 2 2" xfId="1010"/>
    <cellStyle name="Normal 4 4 2 3 2 4 2 4 2 2 3 2 42 2 3 2 2 2 2 3 8 3" xfId="1011"/>
    <cellStyle name="Normal 4 4 2 3 2 4 2 4 2 2 3 2 42 2 3 2 2 2 2 3 8 3 2" xfId="1012"/>
    <cellStyle name="Normal 4 4 2 3 2 4 2 4 2 2 3 2 42 2 3 2 2 2 2 3 8 4" xfId="1013"/>
    <cellStyle name="Normal 4 4 2 3 2 4 2 4 2 2 3 2 42 2 3 2 2 2 2 3 8 4 2" xfId="1014"/>
    <cellStyle name="Normal 4 4 2 3 2 4 2 4 2 2 3 2 42 2 3 2 2 2 2 3 8 5" xfId="1015"/>
    <cellStyle name="Normal 4 4 2 3 2 4 2 4 2 2 3 2 42 2 3 2 2 2 2 3 8 5 2" xfId="1016"/>
    <cellStyle name="Normal 4 4 2 3 2 4 2 4 2 2 3 2 42 2 3 2 2 2 2 3 8 6" xfId="1017"/>
    <cellStyle name="Normal 4 4 2 3 2 4 2 4 2 2 3 2 42 2 3 2 2 2 2 3 8 6 2" xfId="1018"/>
    <cellStyle name="Normal 4 4 2 3 2 4 2 4 2 2 3 2 42 2 3 2 2 2 2 3 8 7" xfId="1019"/>
    <cellStyle name="Normal 4 4 2 3 2 4 2 4 2 2 3 2 42 2 3 2 2 2 2 3 8 7 2" xfId="1020"/>
    <cellStyle name="Normal 4 4 2 3 2 4 2 4 2 2 3 2 42 2 3 2 2 2 2 3 8 8" xfId="1021"/>
    <cellStyle name="Normal 4 4 2 3 2 4 2 4 2 2 3 2 42 2 3 2 2 2 2 3 8 8 2" xfId="1022"/>
    <cellStyle name="Normal 4 4 2 3 2 4 2 4 2 2 3 2 42 2 3 2 2 2 2 3 8 9" xfId="1023"/>
    <cellStyle name="Normal 4 4 2 3 2 4 2 4 2 2 3 2 42 2 3 2 2 2 2 3 8 9 2" xfId="1024"/>
    <cellStyle name="Normal 4 4 2 3 2 4 2 4 2 2 3 2 5" xfId="1025"/>
    <cellStyle name="Normal 4 4 2 3 2 4 2 4 2 2 3 2 5 2" xfId="1026"/>
    <cellStyle name="Normal 4 4 2 3 2 4 2 4 2 2 3 2 6" xfId="1027"/>
    <cellStyle name="Normal 4 4 2 3 2 4 2 4 2 2 3 2 6 2" xfId="1028"/>
    <cellStyle name="Normal 4 4 2 3 2 4 2 4 2 2 3 2 7" xfId="1029"/>
    <cellStyle name="Normal 4 4 2 3 2 4 2 4 2 2 3 2 7 2" xfId="1030"/>
    <cellStyle name="Normal 4 4 2 3 2 4 2 4 2 2 3 2 8" xfId="1031"/>
    <cellStyle name="Normal 4 4 2 3 2 4 2 4 2 2 3 2 8 2" xfId="1032"/>
    <cellStyle name="Normal 4 4 2 3 2 4 2 4 2 2 3 2 9" xfId="1033"/>
    <cellStyle name="Normal 4 4 2 3 2 4 2 4 2 2 3 2 9 2" xfId="1034"/>
    <cellStyle name="Normal 4 4 2 3 2 4 2 5" xfId="1035"/>
    <cellStyle name="Normal 4 4 2 3 2 4 2 5 2" xfId="1036"/>
    <cellStyle name="Normal 4 4 2 3 2 4 2 6" xfId="1037"/>
    <cellStyle name="Normal 4 4 2 3 2 4 2 6 2" xfId="1038"/>
    <cellStyle name="Normal 4 4 2 3 2 4 2 6 2 2" xfId="1039"/>
    <cellStyle name="Normal 4 4 2 3 2 4 2 6 3" xfId="1040"/>
    <cellStyle name="Normal 4 4 2 3 2 4 2 6 3 2" xfId="1041"/>
    <cellStyle name="Normal 4 4 2 3 2 4 2 6 4" xfId="1042"/>
    <cellStyle name="Normal 4 4 2 3 2 4 2 6 4 2" xfId="1043"/>
    <cellStyle name="Normal 4 4 2 3 2 4 2 6 5" xfId="1044"/>
    <cellStyle name="Normal 4 4 2 3 2 4 2 6 5 2" xfId="1045"/>
    <cellStyle name="Normal 4 4 2 3 2 4 2 6 5 2 2" xfId="1046"/>
    <cellStyle name="Normal 4 4 2 3 2 4 2 6 5 3" xfId="1047"/>
    <cellStyle name="Normal 4 4 2 3 2 4 2 6 5 3 2" xfId="1048"/>
    <cellStyle name="Normal 4 4 2 3 2 4 2 6 5 4" xfId="1049"/>
    <cellStyle name="Normal 4 4 2 3 2 4 2 6 5 5" xfId="1050"/>
    <cellStyle name="Normal 4 4 2 3 2 4 2 6 5 6" xfId="1051"/>
    <cellStyle name="Normal 4 4 2 3 2 4 2 6 6" xfId="1052"/>
    <cellStyle name="Normal 4 4 2 3 2 4 2 6 6 2" xfId="1053"/>
    <cellStyle name="Normal 4 4 2 3 2 4 2 6 7" xfId="1054"/>
    <cellStyle name="Normal 4 4 2 3 2 4 2 6 7 2" xfId="1055"/>
    <cellStyle name="Normal 4 4 2 3 2 4 2 6 8" xfId="1056"/>
    <cellStyle name="Normal 4 4 2 3 2 5" xfId="1057"/>
    <cellStyle name="Normal 4 4 2 3 2 5 2" xfId="1058"/>
    <cellStyle name="Normal 4 4 2 3 2 6" xfId="1059"/>
    <cellStyle name="Normal 4 4 2 3 2 6 2" xfId="1060"/>
    <cellStyle name="Normal 4 4 2 3 2 7" xfId="1061"/>
    <cellStyle name="Normal 4 4 2 3 2 7 2" xfId="1062"/>
    <cellStyle name="Normal 4 4 2 3 2 8" xfId="1063"/>
    <cellStyle name="Normal 4 4 2 3 2 8 2" xfId="1064"/>
    <cellStyle name="Normal 4 4 2 3 2 8 2 2" xfId="1065"/>
    <cellStyle name="Normal 4 4 2 3 2 8 3" xfId="1066"/>
    <cellStyle name="Normal 4 4 2 3 2 9" xfId="1067"/>
    <cellStyle name="Normal 4 4 2 3 2 9 2" xfId="1068"/>
    <cellStyle name="Normal 4 5" xfId="847"/>
    <cellStyle name="Normal 5" xfId="1069"/>
    <cellStyle name="Normal 5 2" xfId="1070"/>
    <cellStyle name="Normal 5 2 2" xfId="1071"/>
    <cellStyle name="Normal 5 2 2 2" xfId="1072"/>
    <cellStyle name="Normal 5 2 3" xfId="1073"/>
    <cellStyle name="Normal 5 2 3 2" xfId="1074"/>
    <cellStyle name="Normal 5 2 4" xfId="1075"/>
    <cellStyle name="Normal 5 2 4 2" xfId="1076"/>
    <cellStyle name="Normal 5 2 4 2 2" xfId="1077"/>
    <cellStyle name="Normal 5 2 4 2 2 2" xfId="1078"/>
    <cellStyle name="Normal 5 2 4 2 2 2 2" xfId="1079"/>
    <cellStyle name="Normal 5 2 4 2 2 3" xfId="1080"/>
    <cellStyle name="Normal 5 2 4 2 2 4" xfId="1081"/>
    <cellStyle name="Normal 5 2 4 2 3" xfId="1082"/>
    <cellStyle name="Normal 5 2 4 3" xfId="1083"/>
    <cellStyle name="Normal 5 2 5" xfId="1084"/>
    <cellStyle name="Normal 5 3" xfId="1085"/>
    <cellStyle name="Normal 5 3 2" xfId="1086"/>
    <cellStyle name="Normal 5 3 3" xfId="1087"/>
    <cellStyle name="Normal 5 4" xfId="1088"/>
    <cellStyle name="Normal 5 4 2" xfId="1089"/>
    <cellStyle name="Normal 5 4 3" xfId="1090"/>
    <cellStyle name="Normal 5 5" xfId="1091"/>
    <cellStyle name="Normal 5 6" xfId="1092"/>
    <cellStyle name="Normal 6" xfId="1093"/>
    <cellStyle name="Normal 6 2" xfId="1094"/>
    <cellStyle name="Normal 7" xfId="1095"/>
    <cellStyle name="Normal 7 2" xfId="1096"/>
    <cellStyle name="Normal 7 2 2" xfId="1097"/>
    <cellStyle name="Normal 7 2 3" xfId="1098"/>
    <cellStyle name="Normal 7 3" xfId="1099"/>
    <cellStyle name="Normal 7 3 2" xfId="1100"/>
    <cellStyle name="Normal 7 3 3" xfId="1101"/>
    <cellStyle name="Normal 7 4" xfId="1102"/>
    <cellStyle name="Normal 7 4 2" xfId="1103"/>
    <cellStyle name="Normal 7 4 3" xfId="1104"/>
    <cellStyle name="Normal 7 5" xfId="1105"/>
    <cellStyle name="Normal 7 6" xfId="1106"/>
    <cellStyle name="Normal 8" xfId="1107"/>
    <cellStyle name="Normal 8 2" xfId="1108"/>
    <cellStyle name="Normal 8 3" xfId="1109"/>
    <cellStyle name="Normal 9" xfId="1110"/>
    <cellStyle name="Normal 9 2" xfId="1111"/>
    <cellStyle name="Normal 9 2 2" xfId="1112"/>
    <cellStyle name="Normal 9 2 3" xfId="1113"/>
    <cellStyle name="Normal 9 3" xfId="1114"/>
    <cellStyle name="Normal 9 4" xfId="1115"/>
    <cellStyle name="Normál_8gradk" xfId="197"/>
    <cellStyle name="Normal_Totaal" xfId="1270"/>
    <cellStyle name="Note 2" xfId="198"/>
    <cellStyle name="Note 2 2" xfId="1117"/>
    <cellStyle name="Note 2 2 2" xfId="1118"/>
    <cellStyle name="Note 2 2 3" xfId="1119"/>
    <cellStyle name="Note 2 3" xfId="1120"/>
    <cellStyle name="Note 2 3 2" xfId="1121"/>
    <cellStyle name="Note 2 3 3" xfId="1122"/>
    <cellStyle name="Note 2 4" xfId="1123"/>
    <cellStyle name="Note 2 4 2" xfId="1124"/>
    <cellStyle name="Note 2 4 3" xfId="1125"/>
    <cellStyle name="Note 2 5" xfId="1126"/>
    <cellStyle name="Note 2 6" xfId="1127"/>
    <cellStyle name="Note 2 7" xfId="1116"/>
    <cellStyle name="Note 3" xfId="1128"/>
    <cellStyle name="Note 3 2" xfId="1129"/>
    <cellStyle name="Note 3 2 2" xfId="1130"/>
    <cellStyle name="Note 3 2 3" xfId="1131"/>
    <cellStyle name="Note 3 3" xfId="1132"/>
    <cellStyle name="Note 3 3 2" xfId="1133"/>
    <cellStyle name="Note 3 3 3" xfId="1134"/>
    <cellStyle name="Note 3 4" xfId="1135"/>
    <cellStyle name="Note 3 4 2" xfId="1136"/>
    <cellStyle name="Note 3 4 3" xfId="1137"/>
    <cellStyle name="Note 3 5" xfId="1138"/>
    <cellStyle name="Note 3 6" xfId="1139"/>
    <cellStyle name="Note 4" xfId="1140"/>
    <cellStyle name="Note 4 2" xfId="1141"/>
    <cellStyle name="Note 4 2 2" xfId="1142"/>
    <cellStyle name="Note 4 2 3" xfId="1143"/>
    <cellStyle name="Note 4 3" xfId="1144"/>
    <cellStyle name="Note 4 3 2" xfId="1145"/>
    <cellStyle name="Note 4 3 3" xfId="1146"/>
    <cellStyle name="Note 4 4" xfId="1147"/>
    <cellStyle name="Note 4 4 2" xfId="1148"/>
    <cellStyle name="Note 4 4 3" xfId="1149"/>
    <cellStyle name="Note 4 5" xfId="1150"/>
    <cellStyle name="Note 4 6" xfId="1151"/>
    <cellStyle name="Notitie" xfId="1271"/>
    <cellStyle name="Notitie 2" xfId="199"/>
    <cellStyle name="Notitie 3" xfId="200"/>
    <cellStyle name="Notitie 4" xfId="201"/>
    <cellStyle name="Notitie 5" xfId="202"/>
    <cellStyle name="Ongeldig" xfId="1272"/>
    <cellStyle name="Ongeldig 2" xfId="203"/>
    <cellStyle name="Ongeldig 3" xfId="204"/>
    <cellStyle name="Output 2" xfId="205"/>
    <cellStyle name="Output 3" xfId="1286"/>
    <cellStyle name="Percent" xfId="449" builtinId="5"/>
    <cellStyle name="Percent 10" xfId="1152"/>
    <cellStyle name="Percent 11" xfId="1153"/>
    <cellStyle name="Percent 12" xfId="1154"/>
    <cellStyle name="Percent 13" xfId="1155"/>
    <cellStyle name="Percent 13 2" xfId="1156"/>
    <cellStyle name="Percent 14" xfId="1157"/>
    <cellStyle name="Percent 14 2" xfId="1158"/>
    <cellStyle name="Percent 15" xfId="1159"/>
    <cellStyle name="Percent 15 2" xfId="1160"/>
    <cellStyle name="Percent 16" xfId="1161"/>
    <cellStyle name="Percent 16 2" xfId="1162"/>
    <cellStyle name="Percent 17" xfId="1163"/>
    <cellStyle name="Percent 17 2" xfId="1164"/>
    <cellStyle name="Percent 18" xfId="1165"/>
    <cellStyle name="Percent 18 2" xfId="1166"/>
    <cellStyle name="Percent 19" xfId="1167"/>
    <cellStyle name="Percent 19 2" xfId="1168"/>
    <cellStyle name="Percent 2" xfId="14"/>
    <cellStyle name="Percent 2 2" xfId="1169"/>
    <cellStyle name="Percent 20" xfId="1170"/>
    <cellStyle name="Percent 20 2" xfId="1171"/>
    <cellStyle name="Percent 21" xfId="1172"/>
    <cellStyle name="Percent 21 2" xfId="1173"/>
    <cellStyle name="Percent 22" xfId="1174"/>
    <cellStyle name="Percent 23" xfId="1175"/>
    <cellStyle name="Percent 23 2" xfId="1176"/>
    <cellStyle name="Percent 24" xfId="1177"/>
    <cellStyle name="Percent 24 2" xfId="1178"/>
    <cellStyle name="Percent 25" xfId="1179"/>
    <cellStyle name="Percent 3" xfId="30"/>
    <cellStyle name="Percent 3 2" xfId="1181"/>
    <cellStyle name="Percent 3 3" xfId="1180"/>
    <cellStyle name="Percent 4" xfId="1182"/>
    <cellStyle name="Percent 5" xfId="1183"/>
    <cellStyle name="Percent 6" xfId="1184"/>
    <cellStyle name="Percent 7" xfId="1185"/>
    <cellStyle name="Percent 8" xfId="1186"/>
    <cellStyle name="Percent 9" xfId="1187"/>
    <cellStyle name="Procen - Opmaakprofiel2" xfId="206"/>
    <cellStyle name="Procent 2" xfId="207"/>
    <cellStyle name="Procent 3" xfId="208"/>
    <cellStyle name="Procent 3 2" xfId="209"/>
    <cellStyle name="Procent 4" xfId="210"/>
    <cellStyle name="Procent 4 2" xfId="211"/>
    <cellStyle name="Prozent_SubCatperStud" xfId="212"/>
    <cellStyle name="PUNT" xfId="9"/>
    <cellStyle name="PUNT 2" xfId="213"/>
    <cellStyle name="row" xfId="214"/>
    <cellStyle name="RowCodes" xfId="215"/>
    <cellStyle name="Row-Col Headings" xfId="216"/>
    <cellStyle name="RowTitles" xfId="217"/>
    <cellStyle name="RowTitles1-Detail" xfId="218"/>
    <cellStyle name="RowTitles-Col2" xfId="219"/>
    <cellStyle name="RowTitles-Detail" xfId="220"/>
    <cellStyle name="SAPBEXaggData" xfId="221"/>
    <cellStyle name="SAPBEXaggData 2" xfId="222"/>
    <cellStyle name="SAPBEXaggData 3" xfId="223"/>
    <cellStyle name="SAPBEXaggData 4" xfId="224"/>
    <cellStyle name="SAPBEXaggDataEmph" xfId="225"/>
    <cellStyle name="SAPBEXaggDataEmph 2" xfId="226"/>
    <cellStyle name="SAPBEXaggDataEmph 3" xfId="227"/>
    <cellStyle name="SAPBEXaggDataEmph 4" xfId="228"/>
    <cellStyle name="SAPBEXaggItem" xfId="229"/>
    <cellStyle name="SAPBEXaggItem 2" xfId="230"/>
    <cellStyle name="SAPBEXaggItem 3" xfId="231"/>
    <cellStyle name="SAPBEXaggItem 4" xfId="232"/>
    <cellStyle name="SAPBEXaggItemX" xfId="233"/>
    <cellStyle name="SAPBEXaggItemX 2" xfId="234"/>
    <cellStyle name="SAPBEXaggItemX 3" xfId="235"/>
    <cellStyle name="SAPBEXchaText" xfId="236"/>
    <cellStyle name="SAPBEXchaText 2" xfId="237"/>
    <cellStyle name="SAPBEXchaText 2 2" xfId="238"/>
    <cellStyle name="SAPBEXchaText 3" xfId="239"/>
    <cellStyle name="SAPBEXchaText 3 2" xfId="240"/>
    <cellStyle name="SAPBEXchaText 4" xfId="241"/>
    <cellStyle name="SAPBEXchaText_13 Totaal en tabellen begroting 2013 versie 21" xfId="242"/>
    <cellStyle name="SAPBEXexcBad7" xfId="243"/>
    <cellStyle name="SAPBEXexcBad7 2" xfId="244"/>
    <cellStyle name="SAPBEXexcBad7 3" xfId="245"/>
    <cellStyle name="SAPBEXexcBad7 4" xfId="246"/>
    <cellStyle name="SAPBEXexcBad8" xfId="247"/>
    <cellStyle name="SAPBEXexcBad8 2" xfId="248"/>
    <cellStyle name="SAPBEXexcBad8 3" xfId="249"/>
    <cellStyle name="SAPBEXexcBad8 4" xfId="250"/>
    <cellStyle name="SAPBEXexcBad9" xfId="251"/>
    <cellStyle name="SAPBEXexcBad9 2" xfId="252"/>
    <cellStyle name="SAPBEXexcBad9 3" xfId="253"/>
    <cellStyle name="SAPBEXexcBad9 4" xfId="254"/>
    <cellStyle name="SAPBEXexcCritical4" xfId="255"/>
    <cellStyle name="SAPBEXexcCritical4 2" xfId="256"/>
    <cellStyle name="SAPBEXexcCritical4 3" xfId="257"/>
    <cellStyle name="SAPBEXexcCritical4 4" xfId="258"/>
    <cellStyle name="SAPBEXexcCritical5" xfId="259"/>
    <cellStyle name="SAPBEXexcCritical5 2" xfId="260"/>
    <cellStyle name="SAPBEXexcCritical5 3" xfId="261"/>
    <cellStyle name="SAPBEXexcCritical5 4" xfId="262"/>
    <cellStyle name="SAPBEXexcCritical6" xfId="263"/>
    <cellStyle name="SAPBEXexcCritical6 2" xfId="264"/>
    <cellStyle name="SAPBEXexcCritical6 3" xfId="265"/>
    <cellStyle name="SAPBEXexcCritical6 4" xfId="266"/>
    <cellStyle name="SAPBEXexcGood1" xfId="267"/>
    <cellStyle name="SAPBEXexcGood1 2" xfId="268"/>
    <cellStyle name="SAPBEXexcGood1 3" xfId="269"/>
    <cellStyle name="SAPBEXexcGood1 4" xfId="270"/>
    <cellStyle name="SAPBEXexcGood2" xfId="271"/>
    <cellStyle name="SAPBEXexcGood2 2" xfId="272"/>
    <cellStyle name="SAPBEXexcGood2 3" xfId="273"/>
    <cellStyle name="SAPBEXexcGood2 4" xfId="274"/>
    <cellStyle name="SAPBEXexcGood3" xfId="275"/>
    <cellStyle name="SAPBEXexcGood3 2" xfId="276"/>
    <cellStyle name="SAPBEXexcGood3 3" xfId="277"/>
    <cellStyle name="SAPBEXexcGood3 4" xfId="278"/>
    <cellStyle name="SAPBEXfilterDrill" xfId="279"/>
    <cellStyle name="SAPBEXfilterDrill 2" xfId="280"/>
    <cellStyle name="SAPBEXfilterDrill 3" xfId="281"/>
    <cellStyle name="SAPBEXfilterDrill 4" xfId="282"/>
    <cellStyle name="SAPBEXfilterItem" xfId="283"/>
    <cellStyle name="SAPBEXfilterItem 2" xfId="284"/>
    <cellStyle name="SAPBEXfilterItem 3" xfId="285"/>
    <cellStyle name="SAPBEXfilterItem 4" xfId="286"/>
    <cellStyle name="SAPBEXfilterText" xfId="287"/>
    <cellStyle name="SAPBEXfilterText 2" xfId="288"/>
    <cellStyle name="SAPBEXfilterText 3" xfId="289"/>
    <cellStyle name="SAPBEXformats" xfId="290"/>
    <cellStyle name="SAPBEXformats 2" xfId="291"/>
    <cellStyle name="SAPBEXformats 2 2" xfId="292"/>
    <cellStyle name="SAPBEXformats 3" xfId="293"/>
    <cellStyle name="SAPBEXformats 3 2" xfId="294"/>
    <cellStyle name="SAPBEXformats 4" xfId="295"/>
    <cellStyle name="SAPBEXformats_20100402 standen 11 12 13 en mutaties 11" xfId="296"/>
    <cellStyle name="SAPBEXheaderItem" xfId="297"/>
    <cellStyle name="SAPBEXheaderItem 2" xfId="298"/>
    <cellStyle name="SAPBEXheaderItem 3" xfId="299"/>
    <cellStyle name="SAPBEXheaderItem 4" xfId="300"/>
    <cellStyle name="SAPBEXheaderText" xfId="301"/>
    <cellStyle name="SAPBEXheaderText 2" xfId="302"/>
    <cellStyle name="SAPBEXheaderText 3" xfId="303"/>
    <cellStyle name="SAPBEXheaderText 4" xfId="304"/>
    <cellStyle name="SAPBEXHLevel0" xfId="305"/>
    <cellStyle name="SAPBEXHLevel0 2" xfId="306"/>
    <cellStyle name="SAPBEXHLevel0 3" xfId="307"/>
    <cellStyle name="SAPBEXHLevel0X" xfId="308"/>
    <cellStyle name="SAPBEXHLevel0X 2" xfId="309"/>
    <cellStyle name="SAPBEXHLevel0X 3" xfId="310"/>
    <cellStyle name="SAPBEXHLevel1" xfId="311"/>
    <cellStyle name="SAPBEXHLevel1 2" xfId="312"/>
    <cellStyle name="SAPBEXHLevel1 3" xfId="313"/>
    <cellStyle name="SAPBEXHLevel1X" xfId="314"/>
    <cellStyle name="SAPBEXHLevel1X 2" xfId="315"/>
    <cellStyle name="SAPBEXHLevel1X 3" xfId="316"/>
    <cellStyle name="SAPBEXHLevel2" xfId="317"/>
    <cellStyle name="SAPBEXHLevel2 2" xfId="318"/>
    <cellStyle name="SAPBEXHLevel2 3" xfId="319"/>
    <cellStyle name="SAPBEXHLevel2X" xfId="320"/>
    <cellStyle name="SAPBEXHLevel2X 2" xfId="321"/>
    <cellStyle name="SAPBEXHLevel2X 3" xfId="322"/>
    <cellStyle name="SAPBEXHLevel3" xfId="323"/>
    <cellStyle name="SAPBEXHLevel3 2" xfId="324"/>
    <cellStyle name="SAPBEXHLevel3 3" xfId="325"/>
    <cellStyle name="SAPBEXHLevel3X" xfId="326"/>
    <cellStyle name="SAPBEXHLevel3X 2" xfId="327"/>
    <cellStyle name="SAPBEXHLevel3X 3" xfId="328"/>
    <cellStyle name="SAPBEXinputData" xfId="329"/>
    <cellStyle name="SAPBEXinputData 2" xfId="330"/>
    <cellStyle name="SAPBEXresData" xfId="331"/>
    <cellStyle name="SAPBEXresData 2" xfId="332"/>
    <cellStyle name="SAPBEXresData 3" xfId="333"/>
    <cellStyle name="SAPBEXresData 4" xfId="334"/>
    <cellStyle name="SAPBEXresDataEmph" xfId="335"/>
    <cellStyle name="SAPBEXresDataEmph 2" xfId="336"/>
    <cellStyle name="SAPBEXresDataEmph 3" xfId="337"/>
    <cellStyle name="SAPBEXresDataEmph 4" xfId="338"/>
    <cellStyle name="SAPBEXresItem" xfId="339"/>
    <cellStyle name="SAPBEXresItem 2" xfId="340"/>
    <cellStyle name="SAPBEXresItem 3" xfId="341"/>
    <cellStyle name="SAPBEXresItem 4" xfId="342"/>
    <cellStyle name="SAPBEXresItemX" xfId="343"/>
    <cellStyle name="SAPBEXresItemX 2" xfId="344"/>
    <cellStyle name="SAPBEXresItemX 3" xfId="345"/>
    <cellStyle name="SAPBEXstdData" xfId="346"/>
    <cellStyle name="SAPBEXstdData 2" xfId="347"/>
    <cellStyle name="SAPBEXstdData 2 2" xfId="348"/>
    <cellStyle name="SAPBEXstdData 3" xfId="349"/>
    <cellStyle name="SAPBEXstdData 3 2" xfId="350"/>
    <cellStyle name="SAPBEXstdData_2012 06 11 Mutaties MLN 2013 (zoals aangeleverd bij Fin)" xfId="351"/>
    <cellStyle name="SAPBEXstdDataEmph" xfId="352"/>
    <cellStyle name="SAPBEXstdDataEmph 2" xfId="353"/>
    <cellStyle name="SAPBEXstdDataEmph 3" xfId="354"/>
    <cellStyle name="SAPBEXstdDataEmph 4" xfId="355"/>
    <cellStyle name="SAPBEXstdItem" xfId="356"/>
    <cellStyle name="SAPBEXstdItem 2" xfId="357"/>
    <cellStyle name="SAPBEXstdItem 2 2" xfId="358"/>
    <cellStyle name="SAPBEXstdItem 3" xfId="359"/>
    <cellStyle name="SAPBEXstdItem 3 2" xfId="360"/>
    <cellStyle name="SAPBEXstdItem 4" xfId="361"/>
    <cellStyle name="SAPBEXstdItem_00 Totaal ramingsbijstellingen SF" xfId="362"/>
    <cellStyle name="SAPBEXstdItemX" xfId="363"/>
    <cellStyle name="SAPBEXstdItemX 2" xfId="364"/>
    <cellStyle name="SAPBEXstdItemX 3" xfId="365"/>
    <cellStyle name="SAPBEXtitle" xfId="366"/>
    <cellStyle name="SAPBEXtitle 2" xfId="367"/>
    <cellStyle name="SAPBEXtitle 3" xfId="368"/>
    <cellStyle name="SAPBEXtitle 4" xfId="369"/>
    <cellStyle name="SAPBEXundefined" xfId="370"/>
    <cellStyle name="SAPBEXundefined 2" xfId="371"/>
    <cellStyle name="SAPBEXundefined 3" xfId="372"/>
    <cellStyle name="SAPBEXundefined 4" xfId="373"/>
    <cellStyle name="Standaard 10" xfId="374"/>
    <cellStyle name="Standaard 11" xfId="375"/>
    <cellStyle name="Standaard 12" xfId="376"/>
    <cellStyle name="Standaard 13" xfId="377"/>
    <cellStyle name="Standaard 13 2" xfId="378"/>
    <cellStyle name="Standaard 13 3" xfId="379"/>
    <cellStyle name="Standaard 13 4" xfId="380"/>
    <cellStyle name="Standaard 14" xfId="381"/>
    <cellStyle name="Standaard 15" xfId="382"/>
    <cellStyle name="Standaard 16" xfId="383"/>
    <cellStyle name="Standaard 17" xfId="384"/>
    <cellStyle name="Standaard 18" xfId="385"/>
    <cellStyle name="Standaard 19" xfId="386"/>
    <cellStyle name="Standaard 2" xfId="15"/>
    <cellStyle name="Standaard 2 2" xfId="33"/>
    <cellStyle name="Standaard 2 3" xfId="387"/>
    <cellStyle name="Standaard 2 3 2" xfId="388"/>
    <cellStyle name="Standaard 2 4" xfId="389"/>
    <cellStyle name="Standaard 2 5" xfId="390"/>
    <cellStyle name="Standaard 2 6" xfId="34"/>
    <cellStyle name="Standaard 20" xfId="391"/>
    <cellStyle name="Standaard 21" xfId="392"/>
    <cellStyle name="Standaard 22" xfId="393"/>
    <cellStyle name="Standaard 23" xfId="394"/>
    <cellStyle name="Standaard 24" xfId="395"/>
    <cellStyle name="Standaard 25" xfId="396"/>
    <cellStyle name="Standaard 26" xfId="397"/>
    <cellStyle name="Standaard 3" xfId="25"/>
    <cellStyle name="Standaard 3 2" xfId="398"/>
    <cellStyle name="Standaard 3 3" xfId="399"/>
    <cellStyle name="Standaard 3 4" xfId="1307"/>
    <cellStyle name="Standaard 4" xfId="400"/>
    <cellStyle name="Standaard 4 2" xfId="401"/>
    <cellStyle name="Standaard 5" xfId="402"/>
    <cellStyle name="Standaard 5 2" xfId="403"/>
    <cellStyle name="Standaard 6" xfId="404"/>
    <cellStyle name="Standaard 6 2" xfId="405"/>
    <cellStyle name="Standaard 6 3" xfId="406"/>
    <cellStyle name="Standaard 7" xfId="407"/>
    <cellStyle name="Standaard 7 2" xfId="408"/>
    <cellStyle name="Standaard 7 2 2" xfId="409"/>
    <cellStyle name="Standaard 8" xfId="410"/>
    <cellStyle name="Standaard 9" xfId="411"/>
    <cellStyle name="STANDAARD1" xfId="10"/>
    <cellStyle name="Standaard2_Sserie1" xfId="1188"/>
    <cellStyle name="Standard_DIAGRAM" xfId="412"/>
    <cellStyle name="Sub-titles" xfId="413"/>
    <cellStyle name="Sub-titles Cols" xfId="414"/>
    <cellStyle name="Sub-titles rows" xfId="415"/>
    <cellStyle name="Table No." xfId="416"/>
    <cellStyle name="Table Title" xfId="417"/>
    <cellStyle name="temp" xfId="418"/>
    <cellStyle name="Titel" xfId="1273"/>
    <cellStyle name="Title 2" xfId="419"/>
    <cellStyle name="Title 3" xfId="1278"/>
    <cellStyle name="title1" xfId="420"/>
    <cellStyle name="Titles" xfId="421"/>
    <cellStyle name="TOTAAL" xfId="11"/>
    <cellStyle name="Totaal 2" xfId="422"/>
    <cellStyle name="Totaal 2 2" xfId="423"/>
    <cellStyle name="Totaal 3" xfId="424"/>
    <cellStyle name="Totaal 4" xfId="1189"/>
    <cellStyle name="Totaal_Totaal" xfId="1274"/>
    <cellStyle name="Total 2" xfId="425"/>
    <cellStyle name="TOTAL 2 2" xfId="1191"/>
    <cellStyle name="TOTAL 2 3" xfId="1190"/>
    <cellStyle name="TOTAL 3" xfId="1192"/>
    <cellStyle name="Total 4" xfId="1292"/>
    <cellStyle name="Tusental (0)_Blad2" xfId="426"/>
    <cellStyle name="Tusental_Blad2" xfId="427"/>
    <cellStyle name="Uitvoer" xfId="1275"/>
    <cellStyle name="Uitvoer 2" xfId="428"/>
    <cellStyle name="Uitvoer 3" xfId="429"/>
    <cellStyle name="Valuta (0)_Blad2" xfId="430"/>
    <cellStyle name="Valuta 2" xfId="431"/>
    <cellStyle name="Valuta 2 2" xfId="432"/>
    <cellStyle name="Valuta 2 3" xfId="433"/>
    <cellStyle name="Valuta 3" xfId="434"/>
    <cellStyle name="Valuta 4" xfId="435"/>
    <cellStyle name="Valuta 5" xfId="436"/>
    <cellStyle name="Valuta 6" xfId="437"/>
    <cellStyle name="Valuta 7" xfId="438"/>
    <cellStyle name="Valuta 8" xfId="439"/>
    <cellStyle name="Valuta0" xfId="440"/>
    <cellStyle name="Valuta0 10" xfId="1236"/>
    <cellStyle name="Valuta0 2" xfId="1194"/>
    <cellStyle name="Valuta0 2 2" xfId="1195"/>
    <cellStyle name="Valuta0 2 2 2" xfId="1196"/>
    <cellStyle name="Valuta0 2 2 2 2" xfId="1239"/>
    <cellStyle name="Valuta0 2 2 3" xfId="1197"/>
    <cellStyle name="Valuta0 2 2 3 2" xfId="1240"/>
    <cellStyle name="Valuta0 2 2 4" xfId="1238"/>
    <cellStyle name="Valuta0 2 3" xfId="1198"/>
    <cellStyle name="Valuta0 2 3 2" xfId="1199"/>
    <cellStyle name="Valuta0 2 3 2 2" xfId="1242"/>
    <cellStyle name="Valuta0 2 3 3" xfId="1200"/>
    <cellStyle name="Valuta0 2 3 3 2" xfId="1243"/>
    <cellStyle name="Valuta0 2 3 4" xfId="1241"/>
    <cellStyle name="Valuta0 2 4" xfId="1201"/>
    <cellStyle name="Valuta0 2 4 2" xfId="1202"/>
    <cellStyle name="Valuta0 2 4 2 2" xfId="1245"/>
    <cellStyle name="Valuta0 2 4 3" xfId="1203"/>
    <cellStyle name="Valuta0 2 4 3 2" xfId="1246"/>
    <cellStyle name="Valuta0 2 4 4" xfId="1244"/>
    <cellStyle name="Valuta0 2 5" xfId="1204"/>
    <cellStyle name="Valuta0 2 5 2" xfId="1247"/>
    <cellStyle name="Valuta0 2 6" xfId="1205"/>
    <cellStyle name="Valuta0 2 6 2" xfId="1248"/>
    <cellStyle name="Valuta0 2 7" xfId="1206"/>
    <cellStyle name="Valuta0 2 8" xfId="1237"/>
    <cellStyle name="Valuta0 3" xfId="1207"/>
    <cellStyle name="Valuta0 3 2" xfId="1208"/>
    <cellStyle name="Valuta0 3 2 2" xfId="1250"/>
    <cellStyle name="Valuta0 3 3" xfId="1209"/>
    <cellStyle name="Valuta0 3 3 2" xfId="1251"/>
    <cellStyle name="Valuta0 3 4" xfId="1210"/>
    <cellStyle name="Valuta0 3 5" xfId="1249"/>
    <cellStyle name="Valuta0 4" xfId="1211"/>
    <cellStyle name="Valuta0 4 2" xfId="1212"/>
    <cellStyle name="Valuta0 4 2 2" xfId="1253"/>
    <cellStyle name="Valuta0 4 3" xfId="1213"/>
    <cellStyle name="Valuta0 4 3 2" xfId="1254"/>
    <cellStyle name="Valuta0 4 4" xfId="1214"/>
    <cellStyle name="Valuta0 4 5" xfId="1252"/>
    <cellStyle name="Valuta0 5" xfId="1215"/>
    <cellStyle name="Valuta0 5 2" xfId="1216"/>
    <cellStyle name="Valuta0 5 2 2" xfId="1256"/>
    <cellStyle name="Valuta0 5 3" xfId="1217"/>
    <cellStyle name="Valuta0 5 3 2" xfId="1257"/>
    <cellStyle name="Valuta0 5 4" xfId="1255"/>
    <cellStyle name="Valuta0 6" xfId="1218"/>
    <cellStyle name="Valuta0 6 2" xfId="1258"/>
    <cellStyle name="Valuta0 7" xfId="1219"/>
    <cellStyle name="Valuta0 7 2" xfId="1259"/>
    <cellStyle name="Valuta0 8" xfId="1220"/>
    <cellStyle name="Valuta0 9" xfId="1193"/>
    <cellStyle name="Vast" xfId="441"/>
    <cellStyle name="Vast 2" xfId="1221"/>
    <cellStyle name="Vast1" xfId="1222"/>
    <cellStyle name="Vast1 2" xfId="1223"/>
    <cellStyle name="Verklarende tekst" xfId="1276"/>
    <cellStyle name="Verklarende tekst 2" xfId="442"/>
    <cellStyle name="Verklarende tekst 3" xfId="443"/>
    <cellStyle name="Waarschuwingstekst" xfId="1277"/>
    <cellStyle name="Waarschuwingstekst 2" xfId="444"/>
    <cellStyle name="Waarschuwingstekst 3" xfId="445"/>
    <cellStyle name="Währung [0]_DIAGRAM" xfId="446"/>
    <cellStyle name="Währung_DIAGRAM" xfId="447"/>
    <cellStyle name="Warning Text 2" xfId="448"/>
    <cellStyle name="Warning Text 3" xfId="129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2660990A\Totaaloverzicht_TWIN_2020-2026_Rathenau_Instituut_bewerking%20ten%20behoeve%20van%20BiB%202022_nu%20te%20gebruiken%20voor%20overzicht%20van%20NGF-middelen%20ten%20behoeve%20van%20input%20voor%20TWIN_0312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oud"/>
      <sheetName val="Toelichting"/>
      <sheetName val="Totaal"/>
      <sheetName val="R&amp;D"/>
      <sheetName val="Innovatie"/>
      <sheetName val="R&amp;D + Innovatie"/>
      <sheetName val="Fiscaal"/>
      <sheetName val="Type"/>
      <sheetName val="NABS 2007"/>
      <sheetName val="Draaitabel"/>
    </sheetNames>
    <sheetDataSet>
      <sheetData sheetId="0" refreshError="1"/>
      <sheetData sheetId="1" refreshError="1"/>
      <sheetData sheetId="2" refreshError="1"/>
      <sheetData sheetId="3" refreshError="1">
        <row r="134">
          <cell r="N134" t="str">
            <v>U/HBO/O/TO2</v>
          </cell>
        </row>
        <row r="534">
          <cell r="I534" t="str">
            <v>U/UMC//SO/O</v>
          </cell>
        </row>
        <row r="535">
          <cell r="I535" t="str">
            <v>U/HBO/TO2/SO/O</v>
          </cell>
        </row>
        <row r="536">
          <cell r="I536" t="str">
            <v>U//TO2/SO/O</v>
          </cell>
        </row>
      </sheetData>
      <sheetData sheetId="4" refreshError="1"/>
      <sheetData sheetId="5" refreshError="1"/>
      <sheetData sheetId="6" refreshError="1"/>
      <sheetData sheetId="7" refreshError="1"/>
      <sheetData sheetId="8" refreshError="1"/>
      <sheetData sheetId="9"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ia\rathenau$\group\Microdata\F&amp;C%20publicaties\27%20TWIN%202019-2025%20Begroting%202021\Overzichten\Totaaloverzicht%20TWIN%202019-2025.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Lionne Koens" refreshedDate="43812.459676388891" createdVersion="6" refreshedVersion="6" minRefreshableVersion="3" recordCount="267">
  <cacheSource type="worksheet">
    <worksheetSource ref="A1:O279" sheet="R&amp;D Data" r:id="rId2"/>
  </cacheSource>
  <cacheFields count="15">
    <cacheField name="Ministerie" numFmtId="0">
      <sharedItems count="11">
        <s v="Algemene Zaken"/>
        <s v="Buitenlandse Zaken"/>
        <s v="Justitie en Veiligheid"/>
        <s v="Binnenlandse Zaken"/>
        <s v="Onderwijs, Cultuur en Wetenschap"/>
        <s v="Defensie"/>
        <s v="Infrastructuur en Waterstaat"/>
        <s v="Economische Zaken en Klimaat"/>
        <s v="Landbouw, Natuur en Voedselkwaliteit"/>
        <s v="Sociale Zaken en Werkgelegenheid"/>
        <s v="Volksgezondheid, Welzijn en Sport"/>
      </sharedItems>
    </cacheField>
    <cacheField name="Artikelnr." numFmtId="0">
      <sharedItems containsBlank="1" containsMixedTypes="1" containsNumber="1" containsInteger="1" minValue="1" maxValue="98"/>
    </cacheField>
    <cacheField name="Begrotingsartikel" numFmtId="0">
      <sharedItems/>
    </cacheField>
    <cacheField name="2018" numFmtId="0">
      <sharedItems containsString="0" containsBlank="1" containsNumber="1" minValue="0" maxValue="177.34483467953947" count="203">
        <n v="0.53"/>
        <n v="0.24399999999999999"/>
        <n v="0.60499999999999998"/>
        <n v="23.437999999999999"/>
        <n v="5.36"/>
        <n v="7.11"/>
        <n v="2.1890000000000001"/>
        <n v="6.45"/>
        <n v="10.262511"/>
        <n v="0.65"/>
        <n v="4.6333333333333337E-2"/>
        <n v="1.6253333333333335"/>
        <m/>
        <n v="2.2255499999999997"/>
        <n v="0.71775"/>
        <n v="9.9456436843018654"/>
        <n v="30.547041705892862"/>
        <n v="11.305616722354081"/>
        <n v="16.96017988745119"/>
        <n v="10.50889378757515"/>
        <n v="43.793861723446895"/>
        <n v="13.995775551102204"/>
        <n v="10.225897795591184"/>
        <n v="16.743156312625253"/>
        <n v="1.7666372745490981"/>
        <n v="177.34483467953947"/>
        <n v="92.391215689774285"/>
        <n v="34.264956858007707"/>
        <n v="67.569133797168007"/>
        <n v="48.05724374504959"/>
        <n v="70"/>
        <n v="9.5842000000000009"/>
        <n v="62.237516510407445"/>
        <n v="14.40081549619671"/>
        <n v="33.008983872869862"/>
        <n v="29.248826874572131"/>
        <n v="21.988857245953838"/>
        <n v="8"/>
        <n v="85.38"/>
        <n v="28.986000000000001"/>
        <n v="6.2649999999999997"/>
        <n v="9.6080000000000005"/>
        <n v="0.221"/>
        <n v="2.5"/>
        <n v="3.1469999999999998"/>
        <n v="0.75349999999999995"/>
        <n v="0"/>
        <n v="0.91800000000000004"/>
        <n v="5.1760000000000002"/>
        <n v="31.065000000000001"/>
        <n v="44.198999999999998"/>
        <n v="8.4250000000000007"/>
        <n v="9.3668399999999998"/>
        <n v="0.31583999999999995"/>
        <n v="1.2350000000000001"/>
        <n v="0.76200000000000001"/>
        <n v="41.83"/>
        <n v="0.51700000000000002"/>
        <n v="5.0430000000000001"/>
        <n v="17.289000000000001"/>
        <n v="0.25"/>
        <n v="3.3000000000000002E-2"/>
        <n v="0.2"/>
        <n v="0.6"/>
        <n v="0.36299999999999999"/>
        <n v="0.13"/>
        <n v="0.55000000000000004"/>
        <n v="0.47499999999999998"/>
        <n v="1.1890000000000001"/>
        <n v="0.35"/>
        <n v="29.526"/>
        <n v="5.0155366325582973"/>
        <n v="3.6520000000000001"/>
        <n v="0.45"/>
        <n v="2.4590000000000001"/>
        <n v="3.87"/>
        <n v="0.502"/>
        <n v="1"/>
        <n v="3.5000000000000003E-2"/>
        <n v="0.3"/>
        <n v="0.22500000000000001"/>
        <n v="0.23"/>
        <n v="1.0546200000000001"/>
        <n v="0.72199999999999998"/>
        <n v="0.80103999999999997"/>
        <n v="0.42605500000000002"/>
        <n v="1.43892"/>
        <n v="0.436"/>
        <n v="9.4259999999999997E-2"/>
        <n v="1.29"/>
        <n v="1.32582"/>
        <n v="0.85385999999999995"/>
        <n v="0.36486000000000002"/>
        <n v="1.8440000000000001"/>
        <n v="0.59499999999999997"/>
        <n v="0.16400000000000001"/>
        <n v="2.3337500000000002"/>
        <n v="4.985995"/>
        <n v="0.107"/>
        <n v="12.632400000000001"/>
        <n v="15.432"/>
        <n v="0.01"/>
        <n v="0.81100000000000005"/>
        <n v="0.159"/>
        <n v="1.631"/>
        <n v="9.4399999999999998E-2"/>
        <n v="17.007158333333333"/>
        <n v="46.530820833333337"/>
        <n v="58.856233333333336"/>
        <n v="21.115629166666668"/>
        <n v="40.99"/>
        <n v="12.115748943140515"/>
        <n v="1.1986671288729678"/>
        <n v="15.679821521583479"/>
        <n v="54.674933276423218"/>
        <n v="18.209008811097679"/>
        <n v="21.190820651342303"/>
        <n v="6.1509999999999998"/>
        <n v="14.035"/>
        <n v="21.995000000000001"/>
        <n v="25.638999999999999"/>
        <n v="0.4"/>
        <n v="3.7999999999999999E-2"/>
        <n v="2.75"/>
        <n v="104"/>
        <n v="0.19500000000000001"/>
        <n v="5.99"/>
        <n v="2.423"/>
        <n v="2.8000000000000001E-2"/>
        <n v="5.3769999999999998"/>
        <n v="65.075000000000003"/>
        <n v="3.589"/>
        <n v="0.20100000000000001"/>
        <n v="3.5999999999999997E-2"/>
        <n v="0.08"/>
        <n v="1.079"/>
        <n v="2.2155"/>
        <n v="9.3048000000000002"/>
        <n v="0.8216"/>
        <n v="27.352"/>
        <n v="13.856"/>
        <n v="15.0745"/>
        <n v="14.25"/>
        <n v="2.802"/>
        <n v="0.29520000000000002"/>
        <n v="2.5865"/>
        <n v="2.5649999999999999"/>
        <n v="0.76800000000000002"/>
        <n v="0.32400000000000001"/>
        <n v="0.64400000000000002"/>
        <n v="15.85"/>
        <n v="6.9892500000000002"/>
        <n v="8.4579000000000004"/>
        <n v="0.25800000000000001"/>
        <n v="0.94974999999999998"/>
        <n v="0.113"/>
        <n v="0.65500000000000003"/>
        <n v="1.4379999999999999"/>
        <n v="7.25"/>
        <n v="8.1000000000000003E-2"/>
        <n v="2.1509999999999998"/>
        <n v="0.879"/>
        <n v="11.904"/>
        <n v="137.738"/>
        <n v="2.7869999999999999"/>
        <n v="5.45"/>
        <n v="32.359000000000002"/>
        <n v="1.7789999999999999"/>
        <n v="3.8410000000000002"/>
        <n v="3.01"/>
        <n v="0.65200000000000002"/>
        <n v="0.501"/>
        <n v="23.245000000000001"/>
        <n v="3.8889999999999998"/>
        <n v="64.367999999999995"/>
        <n v="38.793999999999997"/>
        <n v="51.83"/>
        <n v="1.3"/>
        <n v="0.56000000000000005"/>
        <n v="1.349"/>
        <n v="1.329"/>
        <n v="0.23899999999999999"/>
        <n v="1.145"/>
        <n v="6.2439999999999998"/>
        <n v="4.0389999999999997"/>
        <n v="2.57"/>
        <n v="0.42499999999999999"/>
        <n v="0.17199999999999999"/>
        <n v="1.996"/>
        <n v="22"/>
        <n v="7"/>
        <n v="15.4"/>
        <n v="1.708"/>
        <n v="17.422999999999998"/>
        <n v="2.0781000000000001"/>
        <n v="155.441"/>
        <n v="5.3920000000000003"/>
        <n v="16.399999999999999"/>
        <n v="4.665"/>
        <n v="10.9"/>
        <n v="6.0650000000000004"/>
        <n v="3.1030000000000002"/>
        <n v="6.5000000000000002E-2"/>
      </sharedItems>
    </cacheField>
    <cacheField name="2019" numFmtId="0">
      <sharedItems containsString="0" containsBlank="1" containsNumber="1" minValue="0" maxValue="174.328" count="200">
        <n v="0.69399999999999995"/>
        <n v="0.31"/>
        <n v="1.8"/>
        <n v="26.629000000000001"/>
        <n v="5.3869999999999996"/>
        <n v="4.585"/>
        <n v="2.5249999999999999"/>
        <n v="6.7"/>
        <n v="11.366922000000001"/>
        <n v="1.0549999999999999"/>
        <n v="7.5333333333333335E-2"/>
        <n v="2.6376666666666666"/>
        <m/>
        <n v="2.2540499999999999"/>
        <n v="0.73649999999999993"/>
        <n v="9.9712905883503886"/>
        <n v="30.625813585568572"/>
        <n v="11.33477059881411"/>
        <n v="17.003915227266926"/>
        <n v="11.241899799599199"/>
        <n v="61.501060120240481"/>
        <n v="15.68354509018036"/>
        <n v="10.829931863727456"/>
        <n v="20.789535070140282"/>
        <n v="2.0830360721442887"/>
        <n v="152.52349860686923"/>
        <n v="79.460061427839463"/>
        <n v="29.469203932781518"/>
        <n v="58.112099533106502"/>
        <n v="41.331110447299103"/>
        <n v="108"/>
        <n v="9.6407000000000007"/>
        <n v="66.105963942449421"/>
        <n v="15.295915443127543"/>
        <n v="35.060696827643142"/>
        <n v="31.066822764466909"/>
        <n v="23.355601022312968"/>
        <n v="8"/>
        <n v="85.38"/>
        <n v="29.957000000000001"/>
        <n v="6.2649999999999997"/>
        <n v="9.6080000000000005"/>
        <n v="0.221"/>
        <n v="2.5"/>
        <n v="3.1469999999999998"/>
        <n v="3.0985"/>
        <n v="0"/>
        <n v="0.94099999999999995"/>
        <n v="5.2270000000000003"/>
        <n v="31.065000000000001"/>
        <n v="46.167999999999999"/>
        <n v="9.8710000000000004"/>
        <n v="9.9999900000000004"/>
        <n v="0.32436000000000004"/>
        <n v="1.829"/>
        <n v="0.78200000000000003"/>
        <n v="42.808"/>
        <n v="0.51700000000000002"/>
        <n v="6.86"/>
        <n v="20.053000000000001"/>
        <n v="3.3000000000000002E-2"/>
        <n v="0.15"/>
        <n v="0.6"/>
        <n v="0.13"/>
        <n v="0.55000000000000004"/>
        <n v="0.47499999999999998"/>
        <n v="1.1659999999999999"/>
        <n v="0.35"/>
        <n v="30.274000000000001"/>
        <n v="5.3739977128184977"/>
        <n v="6.319"/>
        <n v="0.4"/>
        <n v="1.2190000000000001"/>
        <n v="3.8690000000000002"/>
        <n v="0.35499999999999998"/>
        <n v="1"/>
        <n v="3.7999999999999999E-2"/>
        <n v="0.3"/>
        <n v="0.22500000000000001"/>
        <n v="1.1434500000000001"/>
        <n v="0.87400000000000011"/>
        <n v="1.0323"/>
        <n v="0.31727500000000003"/>
        <n v="1.79352"/>
        <n v="9.0179999999999982E-2"/>
        <n v="2.8620000000000001"/>
        <n v="2.5745"/>
        <n v="0.75772000000000006"/>
        <n v="5.70418"/>
        <n v="2.2930000000000001"/>
        <n v="0.79459999999999997"/>
        <n v="0.34920000000000001"/>
        <n v="1.45635"/>
        <n v="2.3707500000000001"/>
        <n v="5.1639999999999997"/>
        <n v="26.575199999999999"/>
        <n v="17.292999999999999"/>
        <n v="0.26200000000000001"/>
        <n v="0.52400000000000002"/>
        <n v="0.16300000000000001"/>
        <n v="17.931698809523809"/>
        <n v="49.060322023809526"/>
        <n v="62.055766666666671"/>
        <n v="22.263513690476191"/>
        <n v="44.21"/>
        <n v="14.500917957225365"/>
        <n v="1.4346429408023265"/>
        <n v="18.76663230110492"/>
        <n v="65.438523485340014"/>
        <n v="21.793728484413254"/>
        <n v="25.362555229024103"/>
        <n v="18.585999999999999"/>
        <n v="24.161000000000001"/>
        <n v="5"/>
        <n v="24.091000000000001"/>
        <n v="0.88749999999999996"/>
        <n v="1.8420000000000001"/>
        <n v="0.01"/>
        <n v="1.446"/>
        <n v="3.0000000000000001E-3"/>
        <n v="7.6070000000000002"/>
        <n v="62.936"/>
        <n v="2.9449999999999998"/>
        <n v="0.56200000000000006"/>
        <n v="0.2"/>
        <n v="1.504"/>
        <n v="1.5036"/>
        <n v="2.8"/>
        <n v="8.1806999999999999"/>
        <n v="0.23930000000000001"/>
        <n v="2.4641999999999999"/>
        <n v="42.338999999999999"/>
        <n v="15.29"/>
        <n v="40.857599999999998"/>
        <n v="14.5215"/>
        <n v="23.613"/>
        <n v="8.1839999999999993"/>
        <n v="2.0726399999999998"/>
        <n v="1.21848"/>
        <n v="4.8334999999999999"/>
        <n v="2.625"/>
        <n v="0.40400000000000003"/>
        <n v="1.2350000000000001"/>
        <n v="0.53100000000000003"/>
        <n v="1.62"/>
        <n v="15.791499999999999"/>
        <n v="7.3147500000000001"/>
        <n v="20.379000000000001"/>
        <n v="0.45"/>
        <n v="0.55825000000000002"/>
        <n v="2.3650000000000002"/>
        <n v="7.25"/>
        <n v="1.55"/>
        <n v="2.4249999999999998"/>
        <n v="0.183"/>
        <n v="8.7129999999999992"/>
        <n v="3.4000000000000002E-2"/>
        <n v="1.5309999999999999"/>
        <n v="5.33"/>
        <n v="18.253"/>
        <n v="1.7889999999999999"/>
        <n v="9.2810000000000006"/>
        <n v="6.0860000000000003"/>
        <n v="1.34"/>
        <n v="0.93700000000000006"/>
        <n v="3.5"/>
        <n v="2.6775000000000002"/>
        <n v="23.431999999999999"/>
        <n v="4.1139999999999999"/>
        <n v="65.114000000000004"/>
        <n v="20.966999999999999"/>
        <n v="48.935000000000002"/>
        <n v="1.8759999999999999"/>
        <n v="2.0310000000000001"/>
        <n v="0.82099999999999995"/>
        <n v="2.1840000000000002"/>
        <n v="1.891"/>
        <n v="0.20100000000000001"/>
        <n v="1.679"/>
        <n v="4.7779999999999996"/>
        <n v="4.3140000000000001"/>
        <n v="2.194"/>
        <n v="0.42499999999999999"/>
        <n v="0.123"/>
        <n v="1.8109999999999999"/>
        <n v="22"/>
        <n v="7"/>
        <n v="15.4"/>
        <n v="2.7759999999999998"/>
        <n v="17.422999999999998"/>
        <n v="1.7869999999999999"/>
        <n v="9.8789999999999996"/>
        <n v="174.328"/>
        <n v="5.9089999999999998"/>
        <n v="16.7"/>
        <n v="11.17"/>
        <n v="7.157"/>
        <n v="3.6070000000000002"/>
        <n v="9.4E-2"/>
        <n v="7.5999999999999998E-2"/>
      </sharedItems>
    </cacheField>
    <cacheField name="2020" numFmtId="0">
      <sharedItems containsBlank="1" containsMixedTypes="1" containsNumber="1" minValue="0" maxValue="279.99" count="194">
        <n v="0.59399999999999997"/>
        <n v="0.24199999999999999"/>
        <n v="3"/>
        <n v="26.157"/>
        <n v="5.3310000000000004"/>
        <n v="3.1880000000000002"/>
        <n v="2.512"/>
        <n v="6.7"/>
        <n v="10.662939"/>
        <n v="0.84633333333333338"/>
        <n v="6.0333333333333329E-2"/>
        <n v="2.1160000000000001"/>
        <m/>
        <n v="2.2498499999999999"/>
        <n v="0.73649999999999993"/>
        <n v="9.9969667109035392"/>
        <n v="30.704675206934986"/>
        <n v="11.363957689133894"/>
        <n v="17.04770039302759"/>
        <n v="11.241899799599199"/>
        <n v="61.501060120240481"/>
        <n v="15.68354509018036"/>
        <n v="10.829931863727456"/>
        <n v="20.789535070140282"/>
        <n v="2.0830360721442887"/>
        <n v="152.77564115631355"/>
        <n v="79.591419957183589"/>
        <n v="29.517920624160716"/>
        <n v="58.208166913304794"/>
        <n v="41.399436519378057"/>
        <n v="130"/>
        <n v="4.7779000000000007"/>
        <n v="64.17174022642844"/>
        <n v="14.848365469662125"/>
        <n v="34.034840350256502"/>
        <n v="30.157824819519522"/>
        <n v="22.672229134133403"/>
        <n v="8"/>
        <n v="55.38"/>
        <n v="26.132999999999999"/>
        <n v="6.2649999999999997"/>
        <n v="9.6080000000000005"/>
        <n v="0.221"/>
        <n v="2.5"/>
        <n v="3.1469999999999998"/>
        <n v="2.3864999999999998"/>
        <n v="0"/>
        <n v="0.94099999999999995"/>
        <n v="5.2270000000000003"/>
        <n v="31.065000000000001"/>
        <n v="46.167999999999999"/>
        <n v="9.9019999999999992"/>
        <n v="9.4645799999999998"/>
        <n v="0.32436000000000004"/>
        <n v="2.0259999999999998"/>
        <n v="0.78200000000000003"/>
        <n v="42.183"/>
        <n v="0.51700000000000002"/>
        <n v="1.5"/>
        <n v="5.8"/>
        <n v="26.510999999999999"/>
        <n v="3.3000000000000002E-2"/>
        <n v="0.15"/>
        <n v="0.6"/>
        <s v="pm"/>
        <n v="0.13"/>
        <n v="0.55000000000000004"/>
        <n v="0.47499999999999998"/>
        <n v="1.1659999999999999"/>
        <n v="0.35"/>
        <n v="26.428000000000001"/>
        <n v="5.3739977128184977"/>
        <n v="2.286"/>
        <n v="0.4"/>
        <n v="1.5860000000000001"/>
        <n v="3.8690000000000002"/>
        <n v="0.29099999999999998"/>
        <n v="1"/>
        <n v="3.7999999999999999E-2"/>
        <n v="0.3"/>
        <n v="0.22500000000000001"/>
        <n v="1.9160400000000002"/>
        <n v="0.51400000000000001"/>
        <n v="1.0676399999999999"/>
        <n v="0.29877500000000001"/>
        <n v="1.5811200000000003"/>
        <n v="0.1074"/>
        <n v="3.8029999999999999"/>
        <n v="2.0841099999999999"/>
        <n v="1.1723000000000001"/>
        <n v="7.4272500000000008"/>
        <n v="1.3129999999999999"/>
        <n v="0.8196"/>
        <n v="0.34920000000000001"/>
        <n v="1.4107499999999999"/>
        <n v="4.7785000000000002"/>
        <n v="2.3707500000000001"/>
        <n v="5.1935099999999998"/>
        <n v="2.0379"/>
        <n v="35.2179"/>
        <n v="18.132000000000001"/>
        <n v="0.26200000000000001"/>
        <n v="0.52400000000000002"/>
        <n v="0.16300000000000001"/>
        <n v="18.103023809523812"/>
        <n v="49.529059523809529"/>
        <n v="62.648666666666678"/>
        <n v="22.476226190476194"/>
        <n v="40.850999999999999"/>
        <n v="16.249529977539673"/>
        <n v="1.6076412226039309"/>
        <n v="21.02963102431195"/>
        <n v="73.329512807231225"/>
        <n v="24.421753531360224"/>
        <n v="28.420931882845473"/>
        <n v="6.8739999999999997"/>
        <n v="18.988"/>
        <n v="24.259"/>
        <n v="7.5"/>
        <n v="24.007000000000001"/>
        <n v="4.1025"/>
        <n v="0.01"/>
        <n v="0.79"/>
        <n v="16.312000000000001"/>
        <n v="8.4740000000000002"/>
        <n v="71.644000000000005"/>
        <n v="2.97"/>
        <n v="0.56200000000000006"/>
        <n v="7.0083000000000002"/>
        <n v="1.64"/>
        <n v="35.46"/>
        <n v="19.745000000000001"/>
        <n v="32.7761"/>
        <n v="17.866499999999998"/>
        <n v="1.2"/>
        <n v="0.60924"/>
        <n v="4.1260000000000003"/>
        <n v="2.7250000000000001"/>
        <n v="0.19900000000000001"/>
        <n v="0.34399999999999997"/>
        <n v="8.8109999999999999"/>
        <n v="12.01"/>
        <n v="20.041799999999999"/>
        <n v="1.47"/>
        <n v="0.59199999999999997"/>
        <n v="4.08"/>
        <n v="7.6509999999999998"/>
        <n v="1.5660000000000001"/>
        <n v="1.925"/>
        <n v="0.25"/>
        <n v="9.4969999999999999"/>
        <n v="1.8220000000000001"/>
        <n v="5.28"/>
        <n v="23.885999999999999"/>
        <n v="1.7889999999999999"/>
        <n v="7.2140000000000004"/>
        <n v="15.898"/>
        <n v="1.2669999999999999"/>
        <n v="0.41299999999999998"/>
        <n v="3.5"/>
        <n v="5"/>
        <n v="2.6739999999999999"/>
        <n v="24.15"/>
        <n v="4.2220000000000004"/>
        <n v="64.209000000000003"/>
        <n v="17.754999999999999"/>
        <n v="58.84"/>
        <n v="0.37"/>
        <n v="1.1890000000000001"/>
        <n v="0.51600000000000001"/>
        <n v="2.9359999999999999"/>
        <n v="2.2170000000000001"/>
        <n v="0.20100000000000001"/>
        <n v="1.724"/>
        <n v="4.5739999999999998"/>
        <n v="4.2679999999999998"/>
        <n v="2.0459999999999998"/>
        <n v="0.45"/>
        <n v="0.66"/>
        <n v="1.821"/>
        <n v="22"/>
        <n v="7"/>
        <n v="15.4"/>
        <n v="6.8920000000000003"/>
        <n v="17.422999999999998"/>
        <n v="6.2"/>
        <n v="279.99"/>
        <n v="6.0469999999999997"/>
        <n v="17.600000000000001"/>
        <n v="11.17"/>
        <n v="7.3"/>
        <n v="3.6789999999999998"/>
        <n v="9.6000000000000002E-2"/>
        <n v="7.8E-2"/>
      </sharedItems>
    </cacheField>
    <cacheField name="2021" numFmtId="0">
      <sharedItems containsBlank="1" containsMixedTypes="1" containsNumber="1" minValue="0" maxValue="253.512" count="192">
        <n v="0.59399999999999997"/>
        <n v="0.24199999999999999"/>
        <n v="3"/>
        <n v="25.286000000000001"/>
        <n v="5.2060000000000004"/>
        <n v="3.1878500000000001"/>
        <n v="2.52"/>
        <n v="6.7"/>
        <n v="10.582236"/>
        <n v="0.9903333333333334"/>
        <n v="7.0666666666666669E-2"/>
        <n v="2.4756666666666667"/>
        <m/>
        <n v="2.2498499999999999"/>
        <n v="0.73649999999999993"/>
        <n v="9.987330245574185"/>
        <n v="30.675077775370273"/>
        <n v="11.353003527992581"/>
        <n v="17.031267451062959"/>
        <n v="11.241899799599199"/>
        <n v="61.501060120240481"/>
        <n v="15.68354509018036"/>
        <n v="10.829931863727456"/>
        <n v="20.789535070140282"/>
        <n v="2.0830360721442887"/>
        <n v="151.6631552888586"/>
        <n v="79.011848965349586"/>
        <n v="29.302976217562303"/>
        <n v="57.784305081854477"/>
        <n v="41.097972963409184"/>
        <n v="130"/>
        <n v="4.7779000000000007"/>
        <n v="64.17174022642844"/>
        <n v="14.848365469662125"/>
        <n v="34.034840350256502"/>
        <n v="30.157824819519522"/>
        <n v="22.672229134133403"/>
        <n v="8"/>
        <n v="55.38"/>
        <n v="21.542000000000002"/>
        <n v="6.266"/>
        <n v="9.609"/>
        <n v="0.221"/>
        <n v="2.5"/>
        <n v="1.5"/>
        <n v="2.7235"/>
        <n v="0"/>
        <n v="0.94099999999999995"/>
        <n v="5.2270000000000003"/>
        <n v="31.065000000000001"/>
        <n v="46.167999999999999"/>
        <n v="9.9019999999999992"/>
        <n v="9.4597200000000008"/>
        <n v="0.32436000000000004"/>
        <n v="2.0760000000000001"/>
        <n v="0.78200000000000003"/>
        <n v="42.183"/>
        <n v="0.51700000000000002"/>
        <n v="5.8"/>
        <n v="26.542999999999999"/>
        <n v="0.15"/>
        <n v="0.6"/>
        <s v="pm"/>
        <n v="0.13"/>
        <n v="0.55000000000000004"/>
        <n v="0.47499999999999998"/>
        <n v="1.1659999999999999"/>
        <n v="0.35"/>
        <n v="24.888999999999999"/>
        <n v="5.3739977128184977"/>
        <n v="2.2989999999999999"/>
        <n v="0.4"/>
        <n v="1.5740000000000001"/>
        <n v="3.8690000000000002"/>
        <n v="0.45600000000000002"/>
        <n v="0.752"/>
        <n v="3.7999999999999999E-2"/>
        <n v="0.3"/>
        <n v="0.22500000000000001"/>
        <n v="1.2677700000000001"/>
        <n v="0.373"/>
        <n v="1.085"/>
        <n v="0.29877500000000001"/>
        <n v="1.6426799999999999"/>
        <n v="0.1047"/>
        <n v="2.9550000000000001"/>
        <n v="1.5602799999999999"/>
        <n v="1.5579999999999998"/>
        <n v="1.52501"/>
        <n v="1.3"/>
        <n v="1.0758000000000001"/>
        <n v="0.34920000000000001"/>
        <n v="2.7987000000000002"/>
        <n v="4.9039000000000001"/>
        <n v="2.3707500000000001"/>
        <n v="5.2091200000000004"/>
        <n v="2.3490000000000002"/>
        <n v="36.188099999999999"/>
        <n v="18.132000000000001"/>
        <n v="0.26200000000000001"/>
        <n v="1.2E-2"/>
        <n v="0.16300000000000001"/>
        <n v="18.048882142857142"/>
        <n v="49.380930357142859"/>
        <n v="62.461300000000001"/>
        <n v="22.409005357142856"/>
        <n v="41.036000000000001"/>
        <n v="16.946336411487692"/>
        <n v="1.676579508753675"/>
        <n v="21.931416012649937"/>
        <n v="76.474002302803015"/>
        <n v="25.468998283206339"/>
        <n v="29.639667946112429"/>
        <n v="6.8739999999999997"/>
        <n v="18.988"/>
        <n v="24.259"/>
        <n v="10"/>
        <n v="24.756"/>
        <n v="4.5824999999999996"/>
        <n v="0.01"/>
        <n v="0.495"/>
        <n v="7.55"/>
        <n v="6.6390000000000002"/>
        <n v="55.704000000000001"/>
        <n v="2.9750000000000001"/>
        <n v="0.56200000000000006"/>
        <n v="7.2270000000000003"/>
        <n v="1"/>
        <n v="3.5"/>
        <n v="35.622"/>
        <n v="20.56"/>
        <n v="24.584"/>
        <n v="15.795999999999999"/>
        <n v="2"/>
        <n v="1.2"/>
        <n v="0.60924"/>
        <n v="4.1280000000000001"/>
        <n v="2.7250000000000001"/>
        <n v="0.183"/>
        <n v="0.23899999999999999"/>
        <n v="9.6750000000000007"/>
        <n v="3.8849999999999998"/>
        <n v="17.100000000000001"/>
        <n v="1.3023"/>
        <n v="0.59199999999999997"/>
        <n v="3.38"/>
        <n v="5.4009999999999998"/>
        <n v="1.82"/>
        <n v="2.0249999999999999"/>
        <n v="0.25"/>
        <n v="7.0670000000000002"/>
        <n v="1.8220000000000001"/>
        <n v="5.28"/>
        <n v="22.007000000000001"/>
        <n v="1.7889999999999999"/>
        <n v="6.1829999999999998"/>
        <n v="13.792"/>
        <n v="1.2669999999999999"/>
        <n v="0.503"/>
        <n v="5"/>
        <n v="2.6575000000000002"/>
        <n v="24.15"/>
        <n v="4.2220000000000004"/>
        <n v="64.055000000000007"/>
        <n v="15.446999999999999"/>
        <n v="58.805999999999997"/>
        <n v="1.66"/>
        <n v="2.9359999999999999"/>
        <n v="2.1179999999999999"/>
        <n v="0.20100000000000001"/>
        <n v="2.5059999999999998"/>
        <n v="4.6100000000000003"/>
        <n v="4.048"/>
        <n v="2.468"/>
        <n v="0.45"/>
        <n v="0.5"/>
        <n v="1.821"/>
        <n v="22"/>
        <n v="7"/>
        <n v="15.4"/>
        <n v="6.3719999999999999"/>
        <n v="17.422999999999998"/>
        <n v="6.2"/>
        <n v="253.512"/>
        <n v="6.0789999999999997"/>
        <n v="16.899999999999999"/>
        <n v="1.7"/>
        <n v="11.17"/>
        <n v="7.4459999999999997"/>
        <n v="3.7530000000000001"/>
        <n v="9.8000000000000004E-2"/>
        <n v="0.08"/>
      </sharedItems>
    </cacheField>
    <cacheField name="2022" numFmtId="0">
      <sharedItems containsBlank="1" containsMixedTypes="1" containsNumber="1" minValue="0" maxValue="179.572" count="191">
        <n v="0.59399999999999997"/>
        <n v="0.24199999999999999"/>
        <n v="3"/>
        <n v="24.245000000000001"/>
        <n v="4.9180000000000001"/>
        <n v="3.1878500000000001"/>
        <n v="2.6280000000000001"/>
        <n v="6.7"/>
        <n v="10.582089"/>
        <n v="1.0256666666666667"/>
        <n v="7.3333333333333334E-2"/>
        <n v="2.5640000000000001"/>
        <m/>
        <n v="2.2468499999999998"/>
        <n v="0.73649999999999993"/>
        <n v="9.978866859811653"/>
        <n v="30.649083339407397"/>
        <n v="11.343382853992802"/>
        <n v="17.016834946788148"/>
        <n v="11.241899799599199"/>
        <n v="61.501060120240481"/>
        <n v="15.68354509018036"/>
        <n v="10.829931863727456"/>
        <n v="20.789535070140282"/>
        <n v="2.0830360721442887"/>
        <n v="151.88784841612392"/>
        <n v="79.128907188233228"/>
        <n v="29.346389381108615"/>
        <n v="57.869914115841446"/>
        <n v="41.158860738372233"/>
        <n v="130"/>
        <n v="4.7234000000000007"/>
        <n v="64.17174022642844"/>
        <n v="14.848365469662125"/>
        <n v="34.034840350256502"/>
        <n v="30.157824819519522"/>
        <n v="22.672229134133403"/>
        <n v="8"/>
        <n v="55.38"/>
        <n v="18.068999999999999"/>
        <n v="6.266"/>
        <n v="9.609"/>
        <n v="0.221"/>
        <n v="2.5"/>
        <n v="1.5"/>
        <n v="2.7040000000000002"/>
        <n v="0"/>
        <n v="0.94099999999999995"/>
        <n v="5.2270000000000003"/>
        <n v="31.065000000000001"/>
        <n v="46.167999999999999"/>
        <n v="9.9019999999999992"/>
        <n v="9.2304899999999996"/>
        <n v="0.32436000000000004"/>
        <n v="2.0510000000000002"/>
        <n v="0.78200000000000003"/>
        <n v="42.183"/>
        <n v="0.51700000000000002"/>
        <n v="5.8"/>
        <n v="26.573"/>
        <n v="3.3000000000000002E-2"/>
        <n v="0.15"/>
        <n v="0.6"/>
        <s v="pm"/>
        <n v="0.13"/>
        <n v="0.55000000000000004"/>
        <n v="0.47499999999999998"/>
        <n v="1.1659999999999999"/>
        <n v="0.35"/>
        <n v="24.898"/>
        <n v="5.3739977128184977"/>
        <n v="2.302"/>
        <n v="0.4"/>
        <n v="1.639"/>
        <n v="3.8690000000000002"/>
        <n v="0.45600000000000002"/>
        <n v="0.502"/>
        <n v="3.7999999999999999E-2"/>
        <n v="0.3"/>
        <n v="0.22500000000000001"/>
        <n v="1.6182600000000003"/>
        <n v="0.37200000000000005"/>
        <n v="1.0846900000000002"/>
        <n v="0.280275"/>
        <n v="1.68588"/>
        <n v="0.1014"/>
        <n v="2.1110000000000002"/>
        <n v="1.4630000000000001"/>
        <n v="0.41800000000000004"/>
        <n v="1.3702499999999997"/>
        <n v="1.349"/>
        <n v="1.0027999999999999"/>
        <n v="0.34920000000000001"/>
        <n v="2.6770999999999998"/>
        <n v="5.0283499999999997"/>
        <n v="2.3707500000000001"/>
        <n v="5.1671199999999997"/>
        <n v="2.5188000000000001"/>
        <n v="35.2881"/>
        <n v="18.132000000000001"/>
        <n v="0.26200000000000001"/>
        <n v="1.2E-2"/>
        <n v="0.16300000000000001"/>
        <n v="17.582691666666669"/>
        <n v="48.105454166666675"/>
        <n v="60.847966666666679"/>
        <n v="21.830195833333335"/>
        <n v="40.686"/>
        <n v="17.247780505970432"/>
        <n v="1.7064027684584671"/>
        <n v="22.321535486271149"/>
        <n v="77.834333870398495"/>
        <n v="25.922044826036633"/>
        <n v="30.166903016149647"/>
        <n v="6.8739999999999997"/>
        <n v="18.988"/>
        <n v="24.259"/>
        <n v="10"/>
        <n v="24.242000000000001"/>
        <n v="4.3834999999999997"/>
        <n v="0.01"/>
        <n v="0.495"/>
        <n v="24.574000000000002"/>
        <n v="5.6"/>
        <n v="39.719000000000001"/>
        <n v="2.99"/>
        <n v="0.56200000000000006"/>
        <n v="7.0605000000000002"/>
        <n v="1"/>
        <n v="4.5"/>
        <n v="39.804000000000002"/>
        <n v="17.195"/>
        <n v="35.741300000000003"/>
        <n v="13.646000000000001"/>
        <n v="1.2"/>
        <n v="4.532"/>
        <n v="2.7250000000000001"/>
        <n v="0.184"/>
        <n v="0.315"/>
        <n v="10.925000000000001"/>
        <n v="0.76"/>
        <n v="21.15"/>
        <n v="1.6425000000000001"/>
        <n v="0.59199999999999997"/>
        <n v="2.88"/>
        <n v="5.4009999999999998"/>
        <n v="2.12"/>
        <n v="2.4249999999999998"/>
        <n v="0.25"/>
        <n v="7.0620000000000003"/>
        <n v="1.8220000000000001"/>
        <n v="5.28"/>
        <n v="22.012"/>
        <n v="1.7889999999999999"/>
        <n v="5.1529999999999996"/>
        <n v="10.166"/>
        <n v="1.2669999999999999"/>
        <n v="0.503"/>
        <n v="2.6575000000000002"/>
        <n v="24.016999999999999"/>
        <n v="4.1959999999999997"/>
        <n v="64.546999999999997"/>
        <n v="14.026"/>
        <n v="58.783999999999999"/>
        <n v="0.74099999999999999"/>
        <n v="1.8260000000000001"/>
        <n v="3.073"/>
        <n v="1.835"/>
        <n v="0.20100000000000001"/>
        <n v="2.5059999999999998"/>
        <n v="3.0910000000000002"/>
        <n v="6.7480000000000002"/>
        <n v="2.52"/>
        <n v="0.45"/>
        <n v="0.5"/>
        <n v="1.821"/>
        <n v="22"/>
        <n v="7"/>
        <n v="15.4"/>
        <n v="6.3719999999999999"/>
        <n v="17.422999999999998"/>
        <n v="6.2"/>
        <n v="179.572"/>
        <n v="5.5970000000000004"/>
        <n v="17"/>
        <n v="3.2"/>
        <n v="11.17"/>
        <n v="7.5949999999999998"/>
        <n v="3.8279999999999998"/>
        <n v="0.1"/>
        <n v="8.2000000000000003E-2"/>
      </sharedItems>
    </cacheField>
    <cacheField name="2023" numFmtId="0">
      <sharedItems containsBlank="1" containsMixedTypes="1" containsNumber="1" minValue="0" maxValue="193.05600000000001" count="188">
        <n v="0.59399999999999997"/>
        <n v="0.24199999999999999"/>
        <n v="3"/>
        <n v="23.425000000000001"/>
        <n v="4.8849999999999998"/>
        <n v="3.1878500000000001"/>
        <n v="2.629"/>
        <n v="6.7"/>
        <n v="10.582971000000001"/>
        <n v="0.91100000000000003"/>
        <n v="6.5000000000000002E-2"/>
        <n v="2.2770000000000001"/>
        <m/>
        <n v="2.2468499999999998"/>
        <n v="0.73649999999999993"/>
        <n v="9.9881450368442088"/>
        <n v="30.677580324596551"/>
        <n v="11.35392973428953"/>
        <n v="17.032656904269707"/>
        <n v="11.241899799599199"/>
        <n v="61.501060120240481"/>
        <n v="15.68354509018036"/>
        <n v="10.829931863727456"/>
        <n v="20.789535070140282"/>
        <n v="2.0830360721442887"/>
        <n v="151.88980908913669"/>
        <n v="79.129928638694679"/>
        <n v="29.346768204525247"/>
        <n v="57.870661140570824"/>
        <n v="41.159392045309076"/>
        <n v="130"/>
        <n v="4.7846000000000002"/>
        <n v="64.17174022642844"/>
        <n v="14.848365469662125"/>
        <n v="34.034840350256502"/>
        <n v="30.157824819519522"/>
        <n v="22.672229134133403"/>
        <n v="8"/>
        <n v="55.38"/>
        <n v="16.582000000000001"/>
        <n v="6.266"/>
        <n v="9.609"/>
        <n v="0.221"/>
        <n v="2.5"/>
        <n v="1.5"/>
        <n v="2.7235"/>
        <n v="0"/>
        <n v="0.94099999999999995"/>
        <n v="5.2270000000000003"/>
        <n v="31.065000000000001"/>
        <n v="46.167999999999999"/>
        <n v="9.9019999999999992"/>
        <n v="9.2718000000000007"/>
        <n v="0.32436000000000004"/>
        <n v="1.9259999999999999"/>
        <n v="0.78200000000000003"/>
        <n v="42.183"/>
        <n v="0.51700000000000002"/>
        <n v="5.8"/>
        <n v="26.573"/>
        <n v="3.3000000000000002E-2"/>
        <n v="0.15"/>
        <n v="0.6"/>
        <s v="pm"/>
        <n v="0.13"/>
        <n v="0.55000000000000004"/>
        <n v="0.47499999999999998"/>
        <n v="1.1659999999999999"/>
        <n v="0.35"/>
        <n v="24.911000000000001"/>
        <n v="5.3739977128184977"/>
        <n v="2.3140000000000001"/>
        <n v="0.4"/>
        <n v="1.6539999999999999"/>
        <n v="3.8690000000000002"/>
        <n v="0.45600000000000002"/>
        <n v="0.502"/>
        <n v="3.7999999999999999E-2"/>
        <n v="0.3"/>
        <n v="0.22500000000000001"/>
        <n v="1.04958"/>
        <n v="0.37200000000000005"/>
        <n v="1.0846900000000002"/>
        <n v="0.23772499999999996"/>
        <n v="1.76868"/>
        <n v="0.1014"/>
        <n v="1.161"/>
        <n v="1.4595799999999999"/>
        <n v="0.51907999999999999"/>
        <n v="1.3194999999999999"/>
        <n v="1.431"/>
        <n v="1.0518000000000001"/>
        <n v="0.34920000000000001"/>
        <n v="2.6770999999999998"/>
        <n v="5.0283499999999997"/>
        <n v="2.3707500000000001"/>
        <n v="5.1671199999999997"/>
        <n v="2.3931"/>
        <n v="35.832599999999999"/>
        <n v="18.132000000000001"/>
        <n v="0.26200000000000001"/>
        <n v="1.2E-2"/>
        <n v="0.16300000000000001"/>
        <n v="17.582691666666669"/>
        <n v="48.105454166666675"/>
        <n v="60.847966666666679"/>
        <n v="21.830195833333335"/>
        <n v="39.856999999999999"/>
        <n v="17.247780505970432"/>
        <n v="1.7064027684584671"/>
        <n v="22.321535486271149"/>
        <n v="77.834333870398495"/>
        <n v="25.922044826036633"/>
        <n v="30.166903016149647"/>
        <n v="6.8739999999999997"/>
        <n v="18.988"/>
        <n v="24.259"/>
        <n v="10"/>
        <n v="24.242000000000001"/>
        <n v="4.4335000000000004"/>
        <n v="0.01"/>
        <n v="0.495"/>
        <n v="38.048000000000002"/>
        <n v="0.48099999999999998"/>
        <n v="31.731999999999999"/>
        <n v="2.99"/>
        <n v="0.56200000000000006"/>
        <n v="0.89500000000000002"/>
        <n v="6.9531000000000001"/>
        <n v="5.5"/>
        <n v="39.966000000000001"/>
        <n v="16.966999999999999"/>
        <n v="41.129899999999999"/>
        <n v="5.633"/>
        <n v="4.5235000000000003"/>
        <n v="2.7250000000000001"/>
        <n v="0.158"/>
        <n v="10.925000000000001"/>
        <n v="0.13500000000000001"/>
        <n v="21.164999999999999"/>
        <n v="1.2887999999999999"/>
        <n v="0.59199999999999997"/>
        <n v="3.48"/>
        <n v="5.4009999999999998"/>
        <n v="1.1200000000000001"/>
        <n v="0.25"/>
        <n v="8.4619999999999997"/>
        <n v="1.8220000000000001"/>
        <n v="5.28"/>
        <n v="22.012"/>
        <n v="1.7889999999999999"/>
        <n v="4.1449999999999996"/>
        <n v="11.266"/>
        <n v="1.3919999999999999"/>
        <n v="0.503"/>
        <n v="2.762"/>
        <n v="24.914000000000001"/>
        <n v="4.1959999999999997"/>
        <n v="64.546999999999997"/>
        <n v="11.897"/>
        <n v="57.084000000000003"/>
        <n v="1.252"/>
        <n v="2.2599999999999998"/>
        <n v="3.073"/>
        <n v="1.835"/>
        <n v="0.20100000000000001"/>
        <n v="2.5059999999999998"/>
        <n v="2.581"/>
        <n v="6.7480000000000002"/>
        <n v="2.516"/>
        <n v="4"/>
        <n v="0.5"/>
        <n v="1.821"/>
        <n v="22"/>
        <n v="7"/>
        <n v="15.4"/>
        <n v="6.3719999999999999"/>
        <n v="17.422999999999998"/>
        <n v="6.2"/>
        <n v="193.05600000000001"/>
        <n v="5.3970000000000002"/>
        <n v="15.2"/>
        <n v="3.2"/>
        <n v="11.17"/>
        <n v="7.7469999999999999"/>
        <n v="3.9049999999999998"/>
        <n v="0.10199999999999999"/>
        <n v="8.4000000000000005E-2"/>
      </sharedItems>
    </cacheField>
    <cacheField name="2024" numFmtId="0">
      <sharedItems containsBlank="1" containsMixedTypes="1" containsNumber="1" minValue="0" maxValue="170.553" count="184">
        <n v="0.59399999999999997"/>
        <n v="0.24199999999999999"/>
        <n v="3"/>
        <n v="23.497"/>
        <n v="4.8780000000000001"/>
        <n v="3.1878500000000001"/>
        <n v="2.629"/>
        <n v="6.7"/>
        <n v="10.582971000000001"/>
        <n v="0.88566666666666671"/>
        <n v="6.3333333333333339E-2"/>
        <n v="2.214"/>
        <m/>
        <n v="2.2468499999999998"/>
        <n v="0.73649999999999993"/>
        <n v="9.9881450368442088"/>
        <n v="30.677580324596551"/>
        <n v="11.35392973428953"/>
        <n v="17.032656904269707"/>
        <n v="11.241899799599199"/>
        <n v="61.501060120240481"/>
        <n v="15.68354509018036"/>
        <n v="10.829931863727456"/>
        <n v="20.789535070140282"/>
        <n v="2.0830360721442887"/>
        <n v="151.85843832093209"/>
        <n v="79.113585431311279"/>
        <n v="29.340707029859093"/>
        <n v="57.858708744900738"/>
        <n v="41.150891134319473"/>
        <n v="130"/>
        <n v="4.7846000000000002"/>
        <n v="64.17174022642844"/>
        <n v="14.848365469662125"/>
        <n v="34.034840350256502"/>
        <n v="30.157824819519522"/>
        <n v="22.672229134133403"/>
        <n v="8"/>
        <n v="55.38"/>
        <n v="16.082000000000001"/>
        <n v="6.266"/>
        <n v="9.609"/>
        <n v="0.221"/>
        <n v="2.5"/>
        <n v="1.5"/>
        <n v="2.7235"/>
        <n v="0"/>
        <n v="0.94099999999999995"/>
        <n v="5.2270000000000003"/>
        <n v="31.065000000000001"/>
        <n v="46.167999999999999"/>
        <n v="9.9019999999999992"/>
        <n v="9.3676500000000011"/>
        <n v="0.32436000000000004"/>
        <n v="1.9259999999999999"/>
        <n v="0.78200000000000003"/>
        <n v="42.183"/>
        <n v="0.51700000000000002"/>
        <n v="5.8"/>
        <n v="26.573"/>
        <n v="3.3000000000000002E-2"/>
        <n v="0.15"/>
        <n v="0.6"/>
        <s v="pm"/>
        <n v="0.13"/>
        <n v="0.55000000000000004"/>
        <n v="0.47499999999999998"/>
        <n v="1.1659999999999999"/>
        <n v="0.35"/>
        <n v="24.911000000000001"/>
        <n v="5.3739977128184977"/>
        <n v="2.3140000000000001"/>
        <n v="0.4"/>
        <n v="1.6539999999999999"/>
        <n v="3.8690000000000002"/>
        <n v="0.45600000000000002"/>
        <n v="0.502"/>
        <n v="3.7999999999999999E-2"/>
        <n v="0.3"/>
        <n v="0.22500000000000001"/>
        <n v="1.0065300000000001"/>
        <n v="0.37200000000000005"/>
        <n v="1.0846900000000002"/>
        <n v="0.280275"/>
        <n v="1.68588"/>
        <n v="0.1014"/>
        <n v="1.161"/>
        <n v="1.3066299999999997"/>
        <n v="0.41800000000000004"/>
        <n v="0.14499999999999999"/>
        <n v="1.4750000000000001"/>
        <n v="1.0518000000000001"/>
        <n v="0.34920000000000001"/>
        <n v="2.6770999999999998"/>
        <n v="5.0283499999999997"/>
        <n v="2.3707500000000001"/>
        <n v="5.1671199999999997"/>
        <n v="2.3931"/>
        <n v="36.638100000000001"/>
        <n v="18.132000000000001"/>
        <n v="0.26200000000000001"/>
        <n v="1.2E-2"/>
        <n v="0.16300000000000001"/>
        <n v="17.582691666666669"/>
        <n v="48.105454166666675"/>
        <n v="60.847966666666679"/>
        <n v="21.830195833333335"/>
        <n v="39.856999999999999"/>
        <n v="17.247780505970432"/>
        <n v="1.7064027684584671"/>
        <n v="22.321535486271149"/>
        <n v="77.834333870398495"/>
        <n v="25.922044826036633"/>
        <n v="30.166903016149647"/>
        <n v="6.8739999999999997"/>
        <n v="18.988"/>
        <n v="24.259"/>
        <n v="10"/>
        <n v="24.242000000000001"/>
        <n v="3.871"/>
        <n v="0.01"/>
        <n v="0.495"/>
        <n v="44.488"/>
        <n v="5.0000000000000001E-3"/>
        <n v="25.768000000000001"/>
        <n v="2.99"/>
        <n v="0.56200000000000006"/>
        <n v="6.9531000000000001"/>
        <n v="5.5"/>
        <n v="41.722000000000001"/>
        <n v="16.966999999999999"/>
        <n v="38.327100000000002"/>
        <n v="6.5505000000000004"/>
        <n v="4.5735000000000001"/>
        <n v="2.7250000000000001"/>
        <n v="10.925000000000001"/>
        <n v="0.13500000000000001"/>
        <n v="21.09"/>
        <n v="0.50880000000000003"/>
        <n v="0.59199999999999997"/>
        <n v="5.48"/>
        <n v="5.4009999999999998"/>
        <n v="1.1200000000000001"/>
        <n v="0.25"/>
        <n v="8.4619999999999997"/>
        <n v="1.8220000000000001"/>
        <n v="5.28"/>
        <n v="22.012"/>
        <n v="1.7889999999999999"/>
        <n v="3.1309999999999998"/>
        <n v="11.166"/>
        <n v="1.3919999999999999"/>
        <n v="0.503"/>
        <n v="24.914000000000001"/>
        <n v="4.1959999999999997"/>
        <n v="64.546999999999997"/>
        <n v="11.897"/>
        <n v="57.084000000000003"/>
        <n v="1.9470000000000001"/>
        <n v="2.206"/>
        <n v="3.073"/>
        <n v="1.835"/>
        <n v="0.20100000000000001"/>
        <n v="2.5059999999999998"/>
        <n v="2.5840000000000001"/>
        <n v="6.7480000000000002"/>
        <n v="2.4340000000000002"/>
        <n v="0.5"/>
        <n v="1.821"/>
        <n v="22"/>
        <n v="7"/>
        <n v="15.4"/>
        <n v="6.3719999999999999"/>
        <n v="17.422999999999998"/>
        <n v="6.2"/>
        <n v="170.553"/>
        <n v="5.3970000000000002"/>
        <n v="14.3"/>
        <n v="3.2"/>
        <n v="11.17"/>
        <n v="7.9020000000000001"/>
        <n v="3.9830000000000001"/>
        <n v="0.104"/>
        <n v="8.5999999999999993E-2"/>
      </sharedItems>
    </cacheField>
    <cacheField name="%R&amp;D" numFmtId="0">
      <sharedItems containsSemiMixedTypes="0" containsString="0" containsNumber="1" minValue="0" maxValue="100"/>
    </cacheField>
    <cacheField name="Nabscode" numFmtId="0">
      <sharedItems containsMixedTypes="1" containsNumber="1" containsInteger="1" minValue="1" maxValue="14" count="25">
        <n v="11"/>
        <n v="1"/>
        <n v="3"/>
        <n v="5"/>
        <s v="12.1"/>
        <s v="12.2"/>
        <s v="12.3"/>
        <s v="12.4"/>
        <s v="12.5"/>
        <s v="12.6"/>
        <s v="13.5"/>
        <s v="13.1"/>
        <s v="13.3"/>
        <s v="13.6"/>
        <s v="13.2"/>
        <n v="13"/>
        <n v="10"/>
        <n v="9"/>
        <n v="7"/>
        <n v="14"/>
        <n v="4"/>
        <n v="2"/>
        <n v="6"/>
        <n v="8"/>
        <s v="13.4"/>
      </sharedItems>
    </cacheField>
    <cacheField name="NABS" numFmtId="0">
      <sharedItems/>
    </cacheField>
    <cacheField name="Bestemming" numFmtId="0">
      <sharedItems containsBlank="1"/>
    </cacheField>
    <cacheField name="Type"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Suzanne Vogelezang" refreshedDate="44995.488024768521" createdVersion="6" refreshedVersion="6" minRefreshableVersion="3" recordCount="281">
  <cacheSource type="worksheet">
    <worksheetSource ref="A3:O284" sheet="R&amp;D data voor NABS"/>
  </cacheSource>
  <cacheFields count="15">
    <cacheField name="Ministerie" numFmtId="0">
      <sharedItems/>
    </cacheField>
    <cacheField name="Artikelnr." numFmtId="0">
      <sharedItems containsBlank="1" containsMixedTypes="1" containsNumber="1" containsInteger="1" minValue="1" maxValue="28"/>
    </cacheField>
    <cacheField name="Begrotingsartikel" numFmtId="0">
      <sharedItems/>
    </cacheField>
    <cacheField name="2021" numFmtId="0">
      <sharedItems containsString="0" containsBlank="1" containsNumber="1" minValue="0" maxValue="1131.8434107264875"/>
    </cacheField>
    <cacheField name="2022" numFmtId="0">
      <sharedItems containsString="0" containsBlank="1" containsNumber="1" minValue="-5.7000000000000002E-2" maxValue="1259.9233129225713"/>
    </cacheField>
    <cacheField name="2023" numFmtId="0">
      <sharedItems containsString="0" containsBlank="1" containsNumber="1" minValue="0" maxValue="1300.9471661428206"/>
    </cacheField>
    <cacheField name="2024" numFmtId="0">
      <sharedItems containsString="0" containsBlank="1" containsNumber="1" minValue="0" maxValue="1254.9113988061181"/>
    </cacheField>
    <cacheField name="2025" numFmtId="0">
      <sharedItems containsString="0" containsBlank="1" containsNumber="1" minValue="0" maxValue="1275.5756627757282"/>
    </cacheField>
    <cacheField name="2026" numFmtId="0">
      <sharedItems containsString="0" containsBlank="1" containsNumber="1" minValue="0" maxValue="1292.728696146808"/>
    </cacheField>
    <cacheField name="2027" numFmtId="0">
      <sharedItems containsString="0" containsBlank="1" containsNumber="1" minValue="0" maxValue="1303.2509365785409"/>
    </cacheField>
    <cacheField name="% R&amp;D van (sub-)artikel" numFmtId="0">
      <sharedItems containsMixedTypes="1" containsNumber="1" minValue="0" maxValue="100"/>
    </cacheField>
    <cacheField name="Nabscode" numFmtId="0">
      <sharedItems containsMixedTypes="1" containsNumber="1" containsInteger="1" minValue="1" maxValue="14" count="25">
        <n v="11"/>
        <n v="1"/>
        <n v="3"/>
        <n v="5"/>
        <s v="12.1"/>
        <s v="12.2"/>
        <s v="12.3"/>
        <s v="12.4"/>
        <s v="12.5"/>
        <s v="12.6"/>
        <s v="13.5"/>
        <s v="13.1"/>
        <s v="13.3"/>
        <s v="13.6"/>
        <s v="13.2"/>
        <n v="10"/>
        <s v="13.0"/>
        <n v="9"/>
        <n v="7"/>
        <n v="14"/>
        <n v="4"/>
        <n v="2"/>
        <n v="6"/>
        <n v="8"/>
        <s v="13.4"/>
      </sharedItems>
    </cacheField>
    <cacheField name="NABS" numFmtId="0">
      <sharedItems containsBlank="1"/>
    </cacheField>
    <cacheField name="Bestemming" numFmtId="0">
      <sharedItems containsBlank="1"/>
    </cacheField>
    <cacheField name="Typ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67">
  <r>
    <x v="0"/>
    <s v="0.1"/>
    <s v="Bevorderen van de eenheid van het algemeen regeringsbeleid: wetenschappelijke studies"/>
    <x v="0"/>
    <x v="0"/>
    <x v="0"/>
    <x v="0"/>
    <x v="0"/>
    <x v="0"/>
    <x v="0"/>
    <n v="100"/>
    <x v="0"/>
    <s v="Politieke en soc. systemen, structuren/processen"/>
    <s v="R"/>
    <s v="Proj."/>
  </r>
  <r>
    <x v="1"/>
    <n v="5"/>
    <s v="Stichting Instituut Clingendael"/>
    <x v="1"/>
    <x v="1"/>
    <x v="1"/>
    <x v="1"/>
    <x v="1"/>
    <x v="1"/>
    <x v="1"/>
    <n v="10"/>
    <x v="0"/>
    <s v="Politieke en soc. systemen, structuren/processen"/>
    <s v="SO"/>
    <s v="Inst."/>
  </r>
  <r>
    <x v="1"/>
    <n v="17"/>
    <s v="Onderzoeksprogramma"/>
    <x v="2"/>
    <x v="2"/>
    <x v="2"/>
    <x v="2"/>
    <x v="2"/>
    <x v="2"/>
    <x v="2"/>
    <n v="100"/>
    <x v="0"/>
    <s v="Politieke en soc. systemen, structuren/processen"/>
    <s v="IO"/>
    <s v="Proj."/>
  </r>
  <r>
    <x v="1"/>
    <n v="17"/>
    <s v="Landenspecifieke sectorale samenwerking"/>
    <x v="3"/>
    <x v="3"/>
    <x v="3"/>
    <x v="3"/>
    <x v="3"/>
    <x v="3"/>
    <x v="3"/>
    <n v="5"/>
    <x v="0"/>
    <s v="Politieke en soc. systemen, structuren/processen"/>
    <s v="IO"/>
    <s v="Proj."/>
  </r>
  <r>
    <x v="1"/>
    <n v="17"/>
    <s v="Thematische samenwerking"/>
    <x v="4"/>
    <x v="4"/>
    <x v="4"/>
    <x v="4"/>
    <x v="4"/>
    <x v="4"/>
    <x v="4"/>
    <n v="5"/>
    <x v="0"/>
    <s v="Politieke en soc. systemen, structuren/processen"/>
    <s v="IO"/>
    <s v="Proj."/>
  </r>
  <r>
    <x v="1"/>
    <n v="17"/>
    <s v="Speciale activiteiten"/>
    <x v="5"/>
    <x v="5"/>
    <x v="5"/>
    <x v="5"/>
    <x v="5"/>
    <x v="5"/>
    <x v="5"/>
    <n v="5"/>
    <x v="0"/>
    <s v="Politieke en soc. systemen, structuren/processen"/>
    <s v="IO"/>
    <s v="Proj."/>
  </r>
  <r>
    <x v="2"/>
    <m/>
    <s v="uitgevoerd door universiteiten"/>
    <x v="6"/>
    <x v="6"/>
    <x v="6"/>
    <x v="6"/>
    <x v="6"/>
    <x v="6"/>
    <x v="6"/>
    <n v="10"/>
    <x v="0"/>
    <s v="Politieke en soc. systemen, structuren/processen"/>
    <s v="U"/>
    <s v="Proj."/>
  </r>
  <r>
    <x v="2"/>
    <m/>
    <s v="uitgevoerd door onderzoeksinstituten"/>
    <x v="6"/>
    <x v="6"/>
    <x v="6"/>
    <x v="6"/>
    <x v="6"/>
    <x v="6"/>
    <x v="6"/>
    <n v="10"/>
    <x v="0"/>
    <s v="Politieke en soc. systemen, structuren/processen"/>
    <s v="SO"/>
    <s v="Proj."/>
  </r>
  <r>
    <x v="2"/>
    <m/>
    <s v="Uitgevoerd door eigen diensten/kenniscentra (WODC)"/>
    <x v="7"/>
    <x v="7"/>
    <x v="7"/>
    <x v="7"/>
    <x v="7"/>
    <x v="7"/>
    <x v="7"/>
    <n v="15"/>
    <x v="0"/>
    <s v="Politieke en soc. systemen, structuren/processen"/>
    <s v="R"/>
    <s v="Inst."/>
  </r>
  <r>
    <x v="2"/>
    <s v="33.3"/>
    <s v="Nederlands Forensisch Instituut"/>
    <x v="8"/>
    <x v="8"/>
    <x v="8"/>
    <x v="8"/>
    <x v="8"/>
    <x v="8"/>
    <x v="8"/>
    <n v="15"/>
    <x v="0"/>
    <s v="Politieke en soc. systemen, structuren/processen"/>
    <s v="R"/>
    <s v="Inst."/>
  </r>
  <r>
    <x v="3"/>
    <s v="H 7 - 3.1, 4.1 en 4.2"/>
    <s v="Woningmarkt, Energietransitie en duurzaamheid, bouwregelgeving en bouwkwaliteit"/>
    <x v="9"/>
    <x v="9"/>
    <x v="9"/>
    <x v="9"/>
    <x v="9"/>
    <x v="9"/>
    <x v="9"/>
    <n v="80"/>
    <x v="1"/>
    <s v="Exploratie en exploitatie van het aards milieu "/>
    <s v="R/SO"/>
    <s v="Proj."/>
  </r>
  <r>
    <x v="3"/>
    <s v="H 7 - 3.1, 4.1 en 4.3"/>
    <s v="Woningmarkt, Energietransitie en duurzaamheid, bouwregelgeving en bouwkwaliteit"/>
    <x v="9"/>
    <x v="9"/>
    <x v="9"/>
    <x v="9"/>
    <x v="9"/>
    <x v="9"/>
    <x v="9"/>
    <n v="80"/>
    <x v="2"/>
    <s v="Exploratie en exploitatie van de ruimte"/>
    <s v="R/SO"/>
    <s v="Proj."/>
  </r>
  <r>
    <x v="3"/>
    <s v="H 7 - 3.1, 4.1 en 4.4"/>
    <s v="Woningmarkt, Energietransitie en duurzaamheid, bouwregelgeving en bouwkwaliteit"/>
    <x v="9"/>
    <x v="9"/>
    <x v="9"/>
    <x v="9"/>
    <x v="9"/>
    <x v="9"/>
    <x v="9"/>
    <n v="80"/>
    <x v="3"/>
    <s v="Energie"/>
    <s v="R/SO"/>
    <s v="Proj."/>
  </r>
  <r>
    <x v="3"/>
    <s v="H 7 - 3.1, 4.1 en 4.3"/>
    <s v="Woningmarkt, Energietransitie en duurzaamheid, bouwregelgeving en bouwkwaliteit"/>
    <x v="10"/>
    <x v="10"/>
    <x v="10"/>
    <x v="10"/>
    <x v="10"/>
    <x v="10"/>
    <x v="10"/>
    <n v="80"/>
    <x v="1"/>
    <s v="Exploratie en exploitatie van het aards milieu "/>
    <s v="Diversen"/>
    <s v="Proj."/>
  </r>
  <r>
    <x v="3"/>
    <s v="H 7 - 3.1, 4.1 en 4.4"/>
    <s v="Woningmarkt, Energietransitie en duurzaamheid, bouwregelgeving en bouwkwaliteit"/>
    <x v="10"/>
    <x v="10"/>
    <x v="10"/>
    <x v="10"/>
    <x v="10"/>
    <x v="10"/>
    <x v="10"/>
    <n v="80"/>
    <x v="2"/>
    <s v="Exploratie en exploitatie van de ruimte"/>
    <s v="Diversen"/>
    <s v="Proj."/>
  </r>
  <r>
    <x v="3"/>
    <s v="H 7 - 3.1, 4.1 en 4.5"/>
    <s v="Woningmarkt, Energietransitie en duurzaamheid, bouwregelgeving en bouwkwaliteit"/>
    <x v="10"/>
    <x v="10"/>
    <x v="10"/>
    <x v="10"/>
    <x v="10"/>
    <x v="10"/>
    <x v="10"/>
    <n v="80"/>
    <x v="3"/>
    <s v="Energie"/>
    <s v="Diversen"/>
    <s v="Proj."/>
  </r>
  <r>
    <x v="3"/>
    <s v="H 7 - 3.1, 4.1 en 4.4"/>
    <s v="Woningmarkt, Energietransitie en duurzaamheid, bouwregelgeving en bouwkwaliteit"/>
    <x v="11"/>
    <x v="11"/>
    <x v="11"/>
    <x v="11"/>
    <x v="11"/>
    <x v="11"/>
    <x v="11"/>
    <n v="80"/>
    <x v="1"/>
    <s v="Exploratie en exploitatie van het aards milieu "/>
    <s v="R/SO"/>
    <s v="Proj."/>
  </r>
  <r>
    <x v="3"/>
    <s v="H 7 - 3.1, 4.1 en 4.5"/>
    <s v="Woningmarkt, Energietransitie en duurzaamheid, bouwregelgeving en bouwkwaliteit"/>
    <x v="11"/>
    <x v="11"/>
    <x v="11"/>
    <x v="11"/>
    <x v="11"/>
    <x v="11"/>
    <x v="11"/>
    <n v="80"/>
    <x v="2"/>
    <s v="Exploratie en exploitatie van de ruimte"/>
    <s v="R/SO"/>
    <s v="Proj."/>
  </r>
  <r>
    <x v="3"/>
    <s v="H 7 - 3.1, 4.1 en 4.6"/>
    <s v="Woningmarkt, Energietransitie en duurzaamheid, bouwregelgeving en bouwkwaliteit"/>
    <x v="11"/>
    <x v="11"/>
    <x v="11"/>
    <x v="11"/>
    <x v="11"/>
    <x v="11"/>
    <x v="11"/>
    <n v="80"/>
    <x v="3"/>
    <s v="Energie"/>
    <s v="R/SO"/>
    <s v="Proj."/>
  </r>
  <r>
    <x v="4"/>
    <s v="6/7"/>
    <s v="Hoger onderwijs- natuurwetenschappen"/>
    <x v="12"/>
    <x v="12"/>
    <x v="12"/>
    <x v="12"/>
    <x v="12"/>
    <x v="12"/>
    <x v="12"/>
    <n v="100"/>
    <x v="4"/>
    <s v="Natuurwetenschappen"/>
    <s v="U/HBO"/>
    <s v="Inst."/>
  </r>
  <r>
    <x v="4"/>
    <s v="6/7"/>
    <s v="Hoger onderwijs- technische wetenschappen"/>
    <x v="12"/>
    <x v="12"/>
    <x v="12"/>
    <x v="12"/>
    <x v="12"/>
    <x v="12"/>
    <x v="12"/>
    <n v="100"/>
    <x v="5"/>
    <s v="Technische wetenschappen"/>
    <s v="U/HBO"/>
    <s v="Inst."/>
  </r>
  <r>
    <x v="4"/>
    <s v="6/7"/>
    <s v="Hoger onderwijs- medische wetenschappen"/>
    <x v="12"/>
    <x v="12"/>
    <x v="12"/>
    <x v="12"/>
    <x v="12"/>
    <x v="12"/>
    <x v="12"/>
    <n v="100"/>
    <x v="6"/>
    <s v="Medische wetenschappen"/>
    <s v="U/HBO"/>
    <s v="Inst."/>
  </r>
  <r>
    <x v="4"/>
    <s v="6/7"/>
    <s v="Hoger onderwijs- landbouwwetenschappen"/>
    <x v="12"/>
    <x v="12"/>
    <x v="12"/>
    <x v="12"/>
    <x v="12"/>
    <x v="12"/>
    <x v="12"/>
    <n v="100"/>
    <x v="7"/>
    <s v="landbouwwetenschappen"/>
    <s v="U/HBO"/>
    <s v="Inst."/>
  </r>
  <r>
    <x v="4"/>
    <s v="6/7"/>
    <s v="Hoger onderwijs- sociale wetenschappen"/>
    <x v="12"/>
    <x v="12"/>
    <x v="12"/>
    <x v="12"/>
    <x v="12"/>
    <x v="12"/>
    <x v="12"/>
    <n v="100"/>
    <x v="8"/>
    <s v="Sociale wetenschappen"/>
    <s v="U/HBO"/>
    <s v="Inst."/>
  </r>
  <r>
    <x v="4"/>
    <s v="6/7"/>
    <s v="Hoger onderwijs- geesteswetenschappen"/>
    <x v="12"/>
    <x v="12"/>
    <x v="12"/>
    <x v="12"/>
    <x v="12"/>
    <x v="12"/>
    <x v="12"/>
    <n v="100"/>
    <x v="9"/>
    <s v="Geesteswetenschappen"/>
    <s v="U/HBO"/>
    <s v="Inst."/>
  </r>
  <r>
    <x v="4"/>
    <n v="7"/>
    <s v="NUFFIC"/>
    <x v="13"/>
    <x v="13"/>
    <x v="13"/>
    <x v="13"/>
    <x v="13"/>
    <x v="13"/>
    <x v="13"/>
    <n v="15"/>
    <x v="0"/>
    <s v="Politieke en soc. systemen, structuren/processen"/>
    <s v="SO"/>
    <s v="Inst."/>
  </r>
  <r>
    <x v="4"/>
    <n v="7"/>
    <s v="UNU-MERIT"/>
    <x v="14"/>
    <x v="14"/>
    <x v="14"/>
    <x v="14"/>
    <x v="14"/>
    <x v="14"/>
    <x v="14"/>
    <n v="75"/>
    <x v="10"/>
    <s v="Sociale wetenschappen"/>
    <s v="SO"/>
    <s v="Inst."/>
  </r>
  <r>
    <x v="4"/>
    <n v="16"/>
    <s v="KNAW-sociale wetenschappen"/>
    <x v="15"/>
    <x v="15"/>
    <x v="15"/>
    <x v="15"/>
    <x v="15"/>
    <x v="15"/>
    <x v="15"/>
    <n v="77"/>
    <x v="10"/>
    <s v="Sociale wetenschappen"/>
    <s v="KNAW"/>
    <s v="Inst."/>
  </r>
  <r>
    <x v="4"/>
    <n v="16"/>
    <s v="KNAW-natuurwetenschappen"/>
    <x v="16"/>
    <x v="16"/>
    <x v="16"/>
    <x v="16"/>
    <x v="16"/>
    <x v="16"/>
    <x v="16"/>
    <n v="77"/>
    <x v="11"/>
    <s v="Natuurwetenschappen"/>
    <s v="KNAW"/>
    <s v="Inst."/>
  </r>
  <r>
    <x v="4"/>
    <n v="16"/>
    <s v="KNAW-medische wetenschappen"/>
    <x v="17"/>
    <x v="17"/>
    <x v="17"/>
    <x v="17"/>
    <x v="17"/>
    <x v="17"/>
    <x v="17"/>
    <n v="77"/>
    <x v="12"/>
    <s v="Medische wetenschappen"/>
    <s v="KNAW"/>
    <s v="Inst."/>
  </r>
  <r>
    <x v="4"/>
    <n v="16"/>
    <s v="KNAW-geesteswetenschappen"/>
    <x v="18"/>
    <x v="18"/>
    <x v="18"/>
    <x v="18"/>
    <x v="18"/>
    <x v="18"/>
    <x v="18"/>
    <n v="77"/>
    <x v="13"/>
    <s v="Geesteswetenschappen"/>
    <s v="KNAW"/>
    <s v="Inst."/>
  </r>
  <r>
    <x v="4"/>
    <n v="16"/>
    <s v="NWO-SMC/CWI"/>
    <x v="19"/>
    <x v="19"/>
    <x v="19"/>
    <x v="19"/>
    <x v="19"/>
    <x v="19"/>
    <x v="19"/>
    <n v="93"/>
    <x v="11"/>
    <s v="Natuurwetenschappen"/>
    <s v="NWO"/>
    <s v="Inst."/>
  </r>
  <r>
    <x v="4"/>
    <n v="16"/>
    <s v="NWO-FOM-instituten"/>
    <x v="20"/>
    <x v="20"/>
    <x v="20"/>
    <x v="20"/>
    <x v="20"/>
    <x v="20"/>
    <x v="20"/>
    <n v="93"/>
    <x v="11"/>
    <s v="Natuurwetenschappen"/>
    <s v="NWO"/>
    <s v="Inst."/>
  </r>
  <r>
    <x v="4"/>
    <n v="16"/>
    <s v="NWO-SRON (ruimte-onderzoek)"/>
    <x v="21"/>
    <x v="21"/>
    <x v="21"/>
    <x v="21"/>
    <x v="21"/>
    <x v="21"/>
    <x v="21"/>
    <n v="93"/>
    <x v="11"/>
    <s v="Natuurwetenschappen"/>
    <s v="NWO"/>
    <s v="Inst."/>
  </r>
  <r>
    <x v="4"/>
    <n v="16"/>
    <s v="NWO-ASTRON (sterrenkundig onderzoek)"/>
    <x v="22"/>
    <x v="22"/>
    <x v="22"/>
    <x v="22"/>
    <x v="22"/>
    <x v="22"/>
    <x v="22"/>
    <n v="93"/>
    <x v="11"/>
    <s v="Natuurwetenschappen"/>
    <s v="NWO"/>
    <s v="Inst."/>
  </r>
  <r>
    <x v="4"/>
    <n v="16"/>
    <s v="NWO-NIOZ (zee-onderzoek)"/>
    <x v="23"/>
    <x v="23"/>
    <x v="23"/>
    <x v="23"/>
    <x v="23"/>
    <x v="23"/>
    <x v="23"/>
    <n v="93"/>
    <x v="11"/>
    <s v="Natuurwetenschappen"/>
    <s v="NWO"/>
    <s v="Inst."/>
  </r>
  <r>
    <x v="4"/>
    <n v="16"/>
    <s v="NWO-NSCR (rechtswetenschappen)"/>
    <x v="24"/>
    <x v="24"/>
    <x v="24"/>
    <x v="24"/>
    <x v="24"/>
    <x v="24"/>
    <x v="24"/>
    <n v="93"/>
    <x v="10"/>
    <s v="Sociale wetenschappen"/>
    <s v="NWO"/>
    <s v="Inst."/>
  </r>
  <r>
    <x v="4"/>
    <n v="16"/>
    <s v="NWO-natuurwetenschappen"/>
    <x v="25"/>
    <x v="25"/>
    <x v="25"/>
    <x v="25"/>
    <x v="25"/>
    <x v="25"/>
    <x v="25"/>
    <n v="93"/>
    <x v="11"/>
    <s v="Natuurwetenschappen"/>
    <s v="NWO"/>
    <s v="Proj."/>
  </r>
  <r>
    <x v="4"/>
    <n v="16"/>
    <s v="NWO-technische wetenschappen"/>
    <x v="26"/>
    <x v="26"/>
    <x v="26"/>
    <x v="26"/>
    <x v="26"/>
    <x v="26"/>
    <x v="26"/>
    <n v="93"/>
    <x v="14"/>
    <s v="Technische wetenschappen"/>
    <s v="NWO"/>
    <s v="Proj."/>
  </r>
  <r>
    <x v="4"/>
    <n v="16"/>
    <s v="NWO-medische wetenschappen"/>
    <x v="27"/>
    <x v="27"/>
    <x v="27"/>
    <x v="27"/>
    <x v="27"/>
    <x v="27"/>
    <x v="27"/>
    <n v="93"/>
    <x v="12"/>
    <s v="Medische wetenschappen"/>
    <s v="NWO"/>
    <s v="Proj."/>
  </r>
  <r>
    <x v="4"/>
    <n v="16"/>
    <s v="NWO-sociale wetenschappen"/>
    <x v="28"/>
    <x v="28"/>
    <x v="28"/>
    <x v="28"/>
    <x v="28"/>
    <x v="28"/>
    <x v="28"/>
    <n v="93"/>
    <x v="10"/>
    <s v="Sociale wetenschappen"/>
    <s v="NWO"/>
    <s v="Proj."/>
  </r>
  <r>
    <x v="4"/>
    <n v="16"/>
    <s v="NWO-geesteswetenschappen"/>
    <x v="29"/>
    <x v="29"/>
    <x v="29"/>
    <x v="29"/>
    <x v="29"/>
    <x v="29"/>
    <x v="29"/>
    <n v="93"/>
    <x v="13"/>
    <s v="Geesteswetenschappen"/>
    <s v="NWO"/>
    <s v="Proj."/>
  </r>
  <r>
    <x v="4"/>
    <n v="16"/>
    <s v="NWO NWA"/>
    <x v="30"/>
    <x v="30"/>
    <x v="30"/>
    <x v="30"/>
    <x v="30"/>
    <x v="30"/>
    <x v="30"/>
    <n v="100"/>
    <x v="15"/>
    <s v="Niet in te delen wetenschappen"/>
    <s v="NWO"/>
    <s v="Proj."/>
  </r>
  <r>
    <x v="4"/>
    <n v="16"/>
    <s v="Koninklijke Bibliotheek (hoofdbekostiging, zie ook art. 14)"/>
    <x v="31"/>
    <x v="31"/>
    <x v="31"/>
    <x v="31"/>
    <x v="31"/>
    <x v="31"/>
    <x v="31"/>
    <n v="10"/>
    <x v="16"/>
    <s v="Cultuur, recreatie, religie en massamedia"/>
    <s v="R"/>
    <s v="Inst."/>
  </r>
  <r>
    <x v="4"/>
    <n v="16"/>
    <s v="Vernieuwingsimpuls - Exacte en Natuurwetenschappen"/>
    <x v="32"/>
    <x v="32"/>
    <x v="32"/>
    <x v="32"/>
    <x v="32"/>
    <x v="32"/>
    <x v="32"/>
    <n v="100"/>
    <x v="11"/>
    <s v="Natuurwetenschappen"/>
    <s v="NWO"/>
    <s v="Proj."/>
  </r>
  <r>
    <x v="4"/>
    <n v="16"/>
    <s v="Vernieuwingsimpuls - Technische wetenschappen"/>
    <x v="33"/>
    <x v="33"/>
    <x v="33"/>
    <x v="33"/>
    <x v="33"/>
    <x v="33"/>
    <x v="33"/>
    <n v="100"/>
    <x v="14"/>
    <s v="Technische wetenschappen"/>
    <s v="NWO"/>
    <s v="Proj."/>
  </r>
  <r>
    <x v="4"/>
    <n v="16"/>
    <s v="Vernieuwingsimpuls - Medische wetenschappen"/>
    <x v="34"/>
    <x v="34"/>
    <x v="34"/>
    <x v="34"/>
    <x v="34"/>
    <x v="34"/>
    <x v="34"/>
    <n v="100"/>
    <x v="12"/>
    <s v="Medische wetenschappen"/>
    <s v="NWO"/>
    <s v="Proj."/>
  </r>
  <r>
    <x v="4"/>
    <n v="16"/>
    <s v="Vernieuwingsimpuls - Sociale wetenschappen"/>
    <x v="35"/>
    <x v="35"/>
    <x v="35"/>
    <x v="35"/>
    <x v="35"/>
    <x v="35"/>
    <x v="35"/>
    <n v="100"/>
    <x v="10"/>
    <s v="Sociale wetenschappen"/>
    <s v="NWO"/>
    <s v="Proj."/>
  </r>
  <r>
    <x v="4"/>
    <n v="16"/>
    <s v="Vernieuwingsimpuls - Geesteswetenschappen"/>
    <x v="36"/>
    <x v="36"/>
    <x v="36"/>
    <x v="36"/>
    <x v="36"/>
    <x v="36"/>
    <x v="36"/>
    <n v="100"/>
    <x v="13"/>
    <s v="Geesteswetenschappen"/>
    <s v="NWO"/>
    <s v="Proj."/>
  </r>
  <r>
    <x v="4"/>
    <n v="16"/>
    <s v="NWO STW"/>
    <x v="37"/>
    <x v="37"/>
    <x v="37"/>
    <x v="37"/>
    <x v="37"/>
    <x v="37"/>
    <x v="37"/>
    <n v="100"/>
    <x v="14"/>
    <s v="Technische wetenschappen"/>
    <s v="STW"/>
    <s v="Proj."/>
  </r>
  <r>
    <x v="4"/>
    <n v="16"/>
    <s v="NWO Grootschalige researchinfrastructuur"/>
    <x v="38"/>
    <x v="38"/>
    <x v="38"/>
    <x v="38"/>
    <x v="38"/>
    <x v="38"/>
    <x v="38"/>
    <n v="100"/>
    <x v="15"/>
    <s v="Niet in te delen wetenschappen"/>
    <s v="NWO"/>
    <s v="Proj."/>
  </r>
  <r>
    <x v="4"/>
    <n v="16"/>
    <s v="NWO Regieorgaan onderwijsonderzoek"/>
    <x v="39"/>
    <x v="39"/>
    <x v="39"/>
    <x v="39"/>
    <x v="39"/>
    <x v="39"/>
    <x v="39"/>
    <n v="100"/>
    <x v="17"/>
    <s v="Onderwijs"/>
    <s v="NWO"/>
    <s v="Proj."/>
  </r>
  <r>
    <x v="4"/>
    <n v="16"/>
    <s v="Naturalis - Biodiversity center"/>
    <x v="40"/>
    <x v="40"/>
    <x v="40"/>
    <x v="40"/>
    <x v="40"/>
    <x v="40"/>
    <x v="40"/>
    <n v="100"/>
    <x v="11"/>
    <s v="Natuurwetenschappen"/>
    <s v="Naturalis"/>
    <s v="Inst."/>
  </r>
  <r>
    <x v="4"/>
    <n v="16"/>
    <s v="Primatencentrum (BPRC)"/>
    <x v="41"/>
    <x v="41"/>
    <x v="41"/>
    <x v="41"/>
    <x v="41"/>
    <x v="41"/>
    <x v="41"/>
    <n v="100"/>
    <x v="18"/>
    <s v="Gezondheid"/>
    <s v="SO"/>
    <s v="Inst."/>
  </r>
  <r>
    <x v="4"/>
    <n v="16"/>
    <s v="STT"/>
    <x v="42"/>
    <x v="42"/>
    <x v="42"/>
    <x v="42"/>
    <x v="42"/>
    <x v="42"/>
    <x v="42"/>
    <n v="100"/>
    <x v="14"/>
    <s v="Technische wetenschappen"/>
    <s v="SO"/>
    <s v="Inst."/>
  </r>
  <r>
    <x v="4"/>
    <n v="16"/>
    <s v="Caribisch Nederland "/>
    <x v="43"/>
    <x v="43"/>
    <x v="43"/>
    <x v="43"/>
    <x v="43"/>
    <x v="43"/>
    <x v="43"/>
    <n v="100"/>
    <x v="1"/>
    <s v="Exploratie en exploitatie van het aards milieu"/>
    <s v="NWO"/>
    <s v="Proj."/>
  </r>
  <r>
    <x v="4"/>
    <n v="16"/>
    <s v="Poolonderzoek"/>
    <x v="44"/>
    <x v="44"/>
    <x v="44"/>
    <x v="44"/>
    <x v="44"/>
    <x v="44"/>
    <x v="44"/>
    <n v="100"/>
    <x v="11"/>
    <s v="Natuurwetenschappen"/>
    <s v="NWO"/>
    <s v="Proj."/>
  </r>
  <r>
    <x v="4"/>
    <n v="16"/>
    <s v="Nationale coördinatie"/>
    <x v="45"/>
    <x v="45"/>
    <x v="45"/>
    <x v="45"/>
    <x v="45"/>
    <x v="45"/>
    <x v="45"/>
    <n v="50"/>
    <x v="15"/>
    <s v="Niet in te delen wetenschappen"/>
    <s v="Proj."/>
    <s v="Proj."/>
  </r>
  <r>
    <x v="4"/>
    <n v="16"/>
    <s v="Bilaterale samenwerking"/>
    <x v="46"/>
    <x v="46"/>
    <x v="46"/>
    <x v="46"/>
    <x v="46"/>
    <x v="46"/>
    <x v="46"/>
    <n v="0"/>
    <x v="15"/>
    <s v="Niet in te delen wetenschappen"/>
    <s v="Proj."/>
    <s v="Proj."/>
  </r>
  <r>
    <x v="4"/>
    <n v="16"/>
    <s v="EMBC"/>
    <x v="47"/>
    <x v="47"/>
    <x v="47"/>
    <x v="47"/>
    <x v="47"/>
    <x v="47"/>
    <x v="47"/>
    <n v="100"/>
    <x v="11"/>
    <s v="Natuurwetenschappen"/>
    <s v="IO"/>
    <s v="Inst."/>
  </r>
  <r>
    <x v="4"/>
    <n v="16"/>
    <s v="EMBL"/>
    <x v="48"/>
    <x v="48"/>
    <x v="48"/>
    <x v="48"/>
    <x v="48"/>
    <x v="48"/>
    <x v="48"/>
    <n v="100"/>
    <x v="11"/>
    <s v="Natuurwetenschappen"/>
    <s v="IO"/>
    <s v="Inst."/>
  </r>
  <r>
    <x v="4"/>
    <n v="16"/>
    <s v="ESA"/>
    <x v="49"/>
    <x v="49"/>
    <x v="49"/>
    <x v="49"/>
    <x v="49"/>
    <x v="49"/>
    <x v="49"/>
    <n v="100"/>
    <x v="2"/>
    <s v="Exploratie en exploitatie van de ruimte"/>
    <s v="IO"/>
    <s v="Proj."/>
  </r>
  <r>
    <x v="4"/>
    <n v="16"/>
    <s v="CERN"/>
    <x v="50"/>
    <x v="50"/>
    <x v="50"/>
    <x v="50"/>
    <x v="50"/>
    <x v="50"/>
    <x v="50"/>
    <n v="100"/>
    <x v="11"/>
    <s v="Natuurwetenschappen"/>
    <s v="IO"/>
    <s v="Inst."/>
  </r>
  <r>
    <x v="4"/>
    <n v="16"/>
    <s v="ESO"/>
    <x v="51"/>
    <x v="51"/>
    <x v="51"/>
    <x v="51"/>
    <x v="51"/>
    <x v="51"/>
    <x v="51"/>
    <n v="100"/>
    <x v="11"/>
    <s v="Natuurwetenschappen"/>
    <s v="IO"/>
    <s v="Inst."/>
  </r>
  <r>
    <x v="4"/>
    <s v="14.4"/>
    <s v="Rijksdienst voor het Cultureel Erfgoed (RCE)"/>
    <x v="52"/>
    <x v="52"/>
    <x v="52"/>
    <x v="52"/>
    <x v="52"/>
    <x v="52"/>
    <x v="52"/>
    <n v="27"/>
    <x v="16"/>
    <s v="Cultuur, recreatie, religie en massamedia"/>
    <s v="R"/>
    <s v="Inst."/>
  </r>
  <r>
    <x v="4"/>
    <s v="14.4"/>
    <s v="Rijksbureau voor Kunsthistorisch onderzoek (RKD)"/>
    <x v="53"/>
    <x v="53"/>
    <x v="53"/>
    <x v="53"/>
    <x v="53"/>
    <x v="53"/>
    <x v="53"/>
    <n v="6"/>
    <x v="16"/>
    <s v="Cultuur, recreatie, religie en massamedia"/>
    <s v="R"/>
    <s v="Inst."/>
  </r>
  <r>
    <x v="4"/>
    <s v="14.4"/>
    <s v="Culturele zaken: onderzoek"/>
    <x v="54"/>
    <x v="54"/>
    <x v="54"/>
    <x v="54"/>
    <x v="54"/>
    <x v="54"/>
    <x v="54"/>
    <n v="100"/>
    <x v="16"/>
    <s v="Cultuur, recreatie, religie en massamedia"/>
    <s v="Proj."/>
    <s v="Proj."/>
  </r>
  <r>
    <x v="4"/>
    <s v="14.4"/>
    <s v="Subsidie Boekmanstichting"/>
    <x v="55"/>
    <x v="55"/>
    <x v="55"/>
    <x v="55"/>
    <x v="55"/>
    <x v="55"/>
    <x v="55"/>
    <n v="100"/>
    <x v="16"/>
    <s v="Cultuur, recreatie, religie en massamedia"/>
    <s v="SO"/>
    <s v="Inst."/>
  </r>
  <r>
    <x v="5"/>
    <s v="U0604"/>
    <s v="Programmafinanciering TNO (totaal)"/>
    <x v="56"/>
    <x v="56"/>
    <x v="56"/>
    <x v="56"/>
    <x v="56"/>
    <x v="56"/>
    <x v="56"/>
    <n v="100"/>
    <x v="19"/>
    <s v="Defensie"/>
    <s v="TNO"/>
    <s v="Inst."/>
  </r>
  <r>
    <x v="5"/>
    <s v="U0604"/>
    <s v="NLR-programmafinanciering"/>
    <x v="57"/>
    <x v="57"/>
    <x v="57"/>
    <x v="57"/>
    <x v="57"/>
    <x v="57"/>
    <x v="57"/>
    <n v="100"/>
    <x v="19"/>
    <s v="Defensie"/>
    <s v="GTI"/>
    <s v="Inst."/>
  </r>
  <r>
    <x v="5"/>
    <s v="U0604"/>
    <s v="Programmafinanciering MARIN"/>
    <x v="12"/>
    <x v="12"/>
    <x v="58"/>
    <x v="44"/>
    <x v="44"/>
    <x v="44"/>
    <x v="44"/>
    <n v="100"/>
    <x v="19"/>
    <s v="Defensie"/>
    <s v="GTI"/>
    <s v="Inst."/>
  </r>
  <r>
    <x v="5"/>
    <s v="U0604"/>
    <s v="Contractonderzoek en kennistoepassing"/>
    <x v="58"/>
    <x v="58"/>
    <x v="59"/>
    <x v="58"/>
    <x v="58"/>
    <x v="58"/>
    <x v="58"/>
    <n v="100"/>
    <x v="19"/>
    <s v="Defensie"/>
    <s v="O"/>
    <s v="Proj."/>
  </r>
  <r>
    <x v="5"/>
    <s v="U0604"/>
    <s v="Technologie en kennistoepassing"/>
    <x v="59"/>
    <x v="59"/>
    <x v="60"/>
    <x v="59"/>
    <x v="59"/>
    <x v="59"/>
    <x v="59"/>
    <n v="100"/>
    <x v="19"/>
    <s v="Defensie"/>
    <s v="TNO/GTI/DGI"/>
    <s v="Proj."/>
  </r>
  <r>
    <x v="5"/>
    <s v="U0604"/>
    <s v="Technologie en kennistoepassing"/>
    <x v="60"/>
    <x v="12"/>
    <x v="12"/>
    <x v="12"/>
    <x v="12"/>
    <x v="12"/>
    <x v="12"/>
    <n v="100"/>
    <x v="19"/>
    <s v="Defensie"/>
    <s v="U"/>
    <s v="Proj."/>
  </r>
  <r>
    <x v="6"/>
    <s v="IF 12.06.02"/>
    <s v="InfraQuest"/>
    <x v="61"/>
    <x v="60"/>
    <x v="61"/>
    <x v="46"/>
    <x v="60"/>
    <x v="60"/>
    <x v="60"/>
    <n v="0"/>
    <x v="20"/>
    <s v="Transport, telecommunicatie en ov. infrastructuren"/>
    <s v="TNO/TUD"/>
    <s v="Inst."/>
  </r>
  <r>
    <x v="6"/>
    <s v="IF 12.06.02"/>
    <s v="Afdrachten CROW"/>
    <x v="62"/>
    <x v="61"/>
    <x v="62"/>
    <x v="60"/>
    <x v="61"/>
    <x v="61"/>
    <x v="61"/>
    <n v="0"/>
    <x v="20"/>
    <s v="Transport, telecommunicatie en ov. infrastructuren"/>
    <s v="CROW"/>
    <s v="Inst."/>
  </r>
  <r>
    <x v="6"/>
    <s v="IF 12.06.02"/>
    <s v="Basisfinanciering CUR"/>
    <x v="63"/>
    <x v="62"/>
    <x v="63"/>
    <x v="61"/>
    <x v="62"/>
    <x v="62"/>
    <x v="62"/>
    <n v="0.1"/>
    <x v="20"/>
    <s v="Transport, telecommunicatie en ov. infrastructuren"/>
    <s v="CUR"/>
    <s v="Inst."/>
  </r>
  <r>
    <x v="6"/>
    <s v="IF 12.06.02"/>
    <s v="Vernieuwing bouw (exclusief bouwcampus)"/>
    <x v="64"/>
    <x v="46"/>
    <x v="64"/>
    <x v="62"/>
    <x v="63"/>
    <x v="63"/>
    <x v="63"/>
    <n v="0"/>
    <x v="20"/>
    <s v="Transport, telecommunicatie en ov. infrastructuren"/>
    <s v="Vern.Bouw"/>
    <s v="Inst."/>
  </r>
  <r>
    <x v="6"/>
    <s v="IF 12.06.02"/>
    <s v="PianOo"/>
    <x v="65"/>
    <x v="63"/>
    <x v="65"/>
    <x v="63"/>
    <x v="64"/>
    <x v="64"/>
    <x v="64"/>
    <n v="0"/>
    <x v="20"/>
    <s v="Transport, telecommunicatie en ov. infrastructuren"/>
    <s v="PianOo"/>
    <s v="Inst."/>
  </r>
  <r>
    <x v="6"/>
    <s v="IF 12.06.02"/>
    <s v="Centrum Ondergronds Bouwen"/>
    <x v="66"/>
    <x v="64"/>
    <x v="66"/>
    <x v="64"/>
    <x v="65"/>
    <x v="65"/>
    <x v="65"/>
    <n v="0.105687390789696"/>
    <x v="20"/>
    <s v="Transport, telecommunicatie en ov. infrastructuren"/>
    <s v="COB"/>
    <s v="Inst."/>
  </r>
  <r>
    <x v="6"/>
    <s v="IF 12.06.02"/>
    <s v="NEN "/>
    <x v="67"/>
    <x v="65"/>
    <x v="67"/>
    <x v="65"/>
    <x v="66"/>
    <x v="66"/>
    <x v="66"/>
    <n v="0.1"/>
    <x v="20"/>
    <s v="Transport, telecommunicatie en ov. infrastructuren"/>
    <s v="NNI"/>
    <s v="Inst."/>
  </r>
  <r>
    <x v="6"/>
    <s v="IF 12.06.02"/>
    <s v="Kennisontwikkeling (allianties) universiteiten"/>
    <x v="68"/>
    <x v="66"/>
    <x v="68"/>
    <x v="66"/>
    <x v="67"/>
    <x v="67"/>
    <x v="67"/>
    <n v="0.2"/>
    <x v="20"/>
    <s v="Transport, telecommunicatie en ov. infrastructuren"/>
    <s v="TUD/TUE e.a."/>
    <s v="Inst."/>
  </r>
  <r>
    <x v="6"/>
    <s v="DF 65.05.01"/>
    <s v="Kennisontwikkeling (allianties) universiteiten (HWS)"/>
    <x v="69"/>
    <x v="67"/>
    <x v="69"/>
    <x v="67"/>
    <x v="68"/>
    <x v="68"/>
    <x v="68"/>
    <n v="0.1"/>
    <x v="20"/>
    <s v="Transport, telecommunicatie en ov. infrastructuren"/>
    <s v="TUD/TUE e.a."/>
    <s v="Inst."/>
  </r>
  <r>
    <x v="6"/>
    <s v="98.02.18"/>
    <s v="Apparaat Planbureau Leefomgeving (PBL)"/>
    <x v="70"/>
    <x v="68"/>
    <x v="70"/>
    <x v="68"/>
    <x v="69"/>
    <x v="69"/>
    <x v="69"/>
    <n v="11.7"/>
    <x v="21"/>
    <s v="Milieubeheer en milieuzorg"/>
    <s v="PBL"/>
    <s v="Inst."/>
  </r>
  <r>
    <x v="6"/>
    <s v="23.01"/>
    <s v="Meteorologie, seismologie en Aardobservatie"/>
    <x v="71"/>
    <x v="69"/>
    <x v="71"/>
    <x v="69"/>
    <x v="70"/>
    <x v="70"/>
    <x v="70"/>
    <n v="15.2"/>
    <x v="1"/>
    <s v="Exploratie en exploitatie van het aards milieu"/>
    <s v="KNMI"/>
    <s v="Inst."/>
  </r>
  <r>
    <x v="6"/>
    <s v="1297U0101"/>
    <s v="Programma Planbureau Leefomgeving (PBL)"/>
    <x v="72"/>
    <x v="70"/>
    <x v="72"/>
    <x v="70"/>
    <x v="71"/>
    <x v="71"/>
    <x v="71"/>
    <n v="4.3"/>
    <x v="21"/>
    <s v="Milieubeheer en milieuzorg"/>
    <s v="PBL"/>
    <s v="Inst."/>
  </r>
  <r>
    <x v="6"/>
    <s v="1297U01010005"/>
    <s v="Onderzoek / Kennis (KIS)"/>
    <x v="73"/>
    <x v="71"/>
    <x v="73"/>
    <x v="71"/>
    <x v="72"/>
    <x v="72"/>
    <x v="72"/>
    <n v="0.7"/>
    <x v="20"/>
    <s v="Transport, telecommunicatie en ov. infrastructuren"/>
    <s v="KIS"/>
    <s v="Inst."/>
  </r>
  <r>
    <x v="6"/>
    <s v="1297U01010009"/>
    <s v="Onderzoek / Kennis (KiM)"/>
    <x v="74"/>
    <x v="72"/>
    <x v="74"/>
    <x v="72"/>
    <x v="73"/>
    <x v="73"/>
    <x v="73"/>
    <n v="3"/>
    <x v="20"/>
    <s v="Transport, telecommunicatie en ov. infrastructuren"/>
    <s v="KiM"/>
    <s v="Inst."/>
  </r>
  <r>
    <x v="6"/>
    <s v="1214U02020003"/>
    <s v="Veiligheid en mobiliteit (SWOV)"/>
    <x v="75"/>
    <x v="73"/>
    <x v="75"/>
    <x v="73"/>
    <x v="74"/>
    <x v="74"/>
    <x v="74"/>
    <n v="24.1"/>
    <x v="20"/>
    <s v="Transport, telecommunicatie en ov. infrastructuren"/>
    <s v="SWOV"/>
    <s v="Inst."/>
  </r>
  <r>
    <x v="6"/>
    <s v="1220u01070001"/>
    <s v="Beperken van verzuring en grootschalige luchtverontreiniging"/>
    <x v="76"/>
    <x v="74"/>
    <x v="76"/>
    <x v="74"/>
    <x v="75"/>
    <x v="75"/>
    <x v="75"/>
    <n v="1.1000000000000001"/>
    <x v="21"/>
    <s v="Milieubeheer en milieuzorg"/>
    <s v="ECN"/>
    <s v="Inst."/>
  </r>
  <r>
    <x v="6"/>
    <s v="1297U01020003"/>
    <s v="Subsidies KIS"/>
    <x v="77"/>
    <x v="75"/>
    <x v="77"/>
    <x v="75"/>
    <x v="76"/>
    <x v="76"/>
    <x v="76"/>
    <n v="1.9"/>
    <x v="20"/>
    <s v="Transport, telecommunicatie en ov. infrastructuren"/>
    <s v="NWO"/>
    <s v="Inst."/>
  </r>
  <r>
    <x v="6"/>
    <s v="1219U02010001"/>
    <s v="Aandeel Kennisvragen in opdracht - RIVM"/>
    <x v="63"/>
    <x v="62"/>
    <x v="63"/>
    <x v="61"/>
    <x v="62"/>
    <x v="62"/>
    <x v="62"/>
    <n v="1.4"/>
    <x v="21"/>
    <s v="Milieubeheer en milieuzorg"/>
    <s v="RIVM"/>
    <s v="Inst."/>
  </r>
  <r>
    <x v="6"/>
    <s v="1217U01020004"/>
    <s v="Mainports en logistiek (proj.)"/>
    <x v="78"/>
    <x v="76"/>
    <x v="78"/>
    <x v="76"/>
    <x v="77"/>
    <x v="77"/>
    <x v="77"/>
    <n v="0.2"/>
    <x v="20"/>
    <s v="Transport, telecommunicatie en ov. infrastructuren"/>
    <s v="KDC"/>
    <s v="Inst."/>
  </r>
  <r>
    <x v="6"/>
    <s v="1297U01010009"/>
    <s v="KIRE (CPB)"/>
    <x v="79"/>
    <x v="77"/>
    <x v="79"/>
    <x v="77"/>
    <x v="78"/>
    <x v="78"/>
    <x v="78"/>
    <n v="0.6"/>
    <x v="20"/>
    <s v="Transport, telecommunicatie en ov. infrastructuren"/>
    <s v="KiM "/>
    <s v="Inst."/>
  </r>
  <r>
    <x v="6"/>
    <s v="1214U02010001"/>
    <s v="Veiligheid en mobiliteit Universiteit Utrecht Rijvaardiheid cat III medicijnen"/>
    <x v="46"/>
    <x v="46"/>
    <x v="46"/>
    <x v="46"/>
    <x v="46"/>
    <x v="46"/>
    <x v="46"/>
    <n v="0"/>
    <x v="20"/>
    <s v="Transport, telecommunicatie en ov. infrastructuren"/>
    <s v="U"/>
    <s v="Inst."/>
  </r>
  <r>
    <x v="6"/>
    <s v="IF 12.06.02"/>
    <s v="Doorontwikkeling kennismanagement HWN"/>
    <x v="80"/>
    <x v="78"/>
    <x v="80"/>
    <x v="78"/>
    <x v="79"/>
    <x v="79"/>
    <x v="79"/>
    <n v="0"/>
    <x v="20"/>
    <s v="Transport, telecommunicatie en ov. infrastructuren"/>
    <s v="SO"/>
    <s v="Proj."/>
  </r>
  <r>
    <x v="6"/>
    <s v="IF 12.06.02"/>
    <s v="Traffic Quest"/>
    <x v="81"/>
    <x v="67"/>
    <x v="69"/>
    <x v="67"/>
    <x v="68"/>
    <x v="68"/>
    <x v="68"/>
    <n v="7.0458260526464089E-2"/>
    <x v="20"/>
    <s v="Transport, telecommunicatie en ov. infrastructuren"/>
    <s v="TNO/TUD"/>
    <s v="Proj."/>
  </r>
  <r>
    <x v="6"/>
    <s v="1211U0101"/>
    <s v="Algemeen waterbeleid opdrachten"/>
    <x v="82"/>
    <x v="79"/>
    <x v="81"/>
    <x v="79"/>
    <x v="80"/>
    <x v="80"/>
    <x v="80"/>
    <n v="0.9"/>
    <x v="20"/>
    <s v="Transport, telecommunicatie en ov. infrastructuren"/>
    <s v="Deltares/WUR/U"/>
    <s v="Proj."/>
  </r>
  <r>
    <x v="6"/>
    <s v="1211U0103"/>
    <s v="Algemeen waterbeleid bijdrage KNMI"/>
    <x v="83"/>
    <x v="80"/>
    <x v="82"/>
    <x v="80"/>
    <x v="81"/>
    <x v="81"/>
    <x v="81"/>
    <n v="0.9"/>
    <x v="20"/>
    <s v="Transport, telecommunicatie en ov. infrastructuren"/>
    <s v="KNMI"/>
    <s v="Proj."/>
  </r>
  <r>
    <x v="6"/>
    <s v="1211U0201"/>
    <s v="Waterveiligheid opdrachten"/>
    <x v="84"/>
    <x v="81"/>
    <x v="83"/>
    <x v="81"/>
    <x v="82"/>
    <x v="82"/>
    <x v="82"/>
    <n v="0.9"/>
    <x v="20"/>
    <s v="Transport, telecommunicatie en ov. infrastructuren"/>
    <s v="Deltares/U"/>
    <s v="Proj."/>
  </r>
  <r>
    <x v="6"/>
    <s v="1211U0301"/>
    <s v="Grote oppervlaktewateren opdrachte"/>
    <x v="85"/>
    <x v="82"/>
    <x v="84"/>
    <x v="82"/>
    <x v="83"/>
    <x v="83"/>
    <x v="83"/>
    <n v="0.9"/>
    <x v="20"/>
    <s v="Transport, telecommunicatie en ov. infrastructuren"/>
    <s v="Deltares/WUR"/>
    <s v="Proj."/>
  </r>
  <r>
    <x v="6"/>
    <s v="1211U0401"/>
    <s v="Waterkwaliteit opdrachten"/>
    <x v="86"/>
    <x v="83"/>
    <x v="85"/>
    <x v="83"/>
    <x v="84"/>
    <x v="84"/>
    <x v="84"/>
    <n v="0.9"/>
    <x v="20"/>
    <s v="Transport, telecommunicatie en ov. infrastructuren"/>
    <s v="Deltares/WUR "/>
    <s v="Proj."/>
  </r>
  <r>
    <x v="6"/>
    <s v="1211U0402"/>
    <s v="Waterkwaliteit subsidies"/>
    <x v="87"/>
    <x v="71"/>
    <x v="73"/>
    <x v="71"/>
    <x v="46"/>
    <x v="46"/>
    <x v="46"/>
    <n v="0.9"/>
    <x v="20"/>
    <s v="Transport, telecommunicatie en ov. infrastructuren"/>
    <s v="U"/>
    <s v="Proj."/>
  </r>
  <r>
    <x v="6"/>
    <s v="1211U0405"/>
    <s v="Waterkwaliteit bijdrage int. organisaties"/>
    <x v="88"/>
    <x v="84"/>
    <x v="86"/>
    <x v="84"/>
    <x v="85"/>
    <x v="85"/>
    <x v="85"/>
    <n v="0.9"/>
    <x v="20"/>
    <s v="Transport, telecommunicatie en ov. infrastructuren"/>
    <s v="IO"/>
    <s v="Proj."/>
  </r>
  <r>
    <x v="6"/>
    <s v="1213U0401"/>
    <s v="Ruimtegebruik bodem"/>
    <x v="89"/>
    <x v="85"/>
    <x v="87"/>
    <x v="85"/>
    <x v="86"/>
    <x v="86"/>
    <x v="86"/>
    <n v="13.6"/>
    <x v="20"/>
    <s v="Transport, telecommunicatie en ov. infrastructuren"/>
    <s v="Deltares"/>
    <s v="Proj."/>
  </r>
  <r>
    <x v="6"/>
    <s v="6501u0301"/>
    <s v="Studiekosten waterveiligheid"/>
    <x v="90"/>
    <x v="86"/>
    <x v="88"/>
    <x v="86"/>
    <x v="87"/>
    <x v="87"/>
    <x v="87"/>
    <n v="0.5"/>
    <x v="20"/>
    <s v="Transport, telecommunicatie en ov. infrastructuren"/>
    <s v="Proj."/>
    <s v="Proj."/>
  </r>
  <r>
    <x v="6"/>
    <s v="6502u0301"/>
    <s v="Studiekosten zoetwatervoorziening"/>
    <x v="91"/>
    <x v="87"/>
    <x v="89"/>
    <x v="87"/>
    <x v="88"/>
    <x v="88"/>
    <x v="88"/>
    <n v="0.3"/>
    <x v="20"/>
    <s v="Transport, telecommunicatie en ov. infrastructuren"/>
    <s v="Proj."/>
    <s v="Proj."/>
  </r>
  <r>
    <x v="6"/>
    <s v="DF 07"/>
    <s v="HWS - Waterkwaliteit (studiekosten &amp; overleg aanleg projecten"/>
    <x v="92"/>
    <x v="88"/>
    <x v="90"/>
    <x v="88"/>
    <x v="89"/>
    <x v="89"/>
    <x v="89"/>
    <n v="1.6"/>
    <x v="20"/>
    <s v="Transport, telecommunicatie en ov. infrastructuren"/>
    <s v="Deltares"/>
    <s v="Proj."/>
  </r>
  <r>
    <x v="7"/>
    <s v="11.06"/>
    <s v="Onderzoek &amp; opdrachten"/>
    <x v="93"/>
    <x v="89"/>
    <x v="91"/>
    <x v="89"/>
    <x v="90"/>
    <x v="90"/>
    <x v="90"/>
    <n v="100"/>
    <x v="22"/>
    <s v="Industriële productie en technologie"/>
    <s v="R/O"/>
    <s v="Proj."/>
  </r>
  <r>
    <x v="7"/>
    <s v="11.06"/>
    <s v="Beleidsvoorbereiding en evaluaties Veiligheid en Frequenties: frequenties"/>
    <x v="94"/>
    <x v="90"/>
    <x v="92"/>
    <x v="90"/>
    <x v="91"/>
    <x v="91"/>
    <x v="91"/>
    <n v="20"/>
    <x v="20"/>
    <s v="Transport, telecommunicatie en ov. infrastructuren"/>
    <s v="R/SO/O"/>
    <s v="Inst."/>
  </r>
  <r>
    <x v="7"/>
    <s v="11.06"/>
    <s v="Beleidsvoorbereiding en evaluaties Veiligheid en Frequenties:bemiddelingsdienst voor doven en slechtzienden"/>
    <x v="95"/>
    <x v="91"/>
    <x v="93"/>
    <x v="91"/>
    <x v="92"/>
    <x v="92"/>
    <x v="92"/>
    <n v="20"/>
    <x v="20"/>
    <s v="Transport, telecommunicatie en ov. infrastructuren"/>
    <s v="SO"/>
    <s v="Inst."/>
  </r>
  <r>
    <x v="7"/>
    <s v="11.06"/>
    <s v="Versterking aanpak cybersecurity"/>
    <x v="46"/>
    <x v="92"/>
    <x v="94"/>
    <x v="92"/>
    <x v="93"/>
    <x v="93"/>
    <x v="93"/>
    <n v="95"/>
    <x v="19"/>
    <s v="Defensie"/>
    <s v="U/NWO/TNO/So/O"/>
    <s v="Proj."/>
  </r>
  <r>
    <x v="7"/>
    <s v="11.06"/>
    <s v="Cyber KI (alleen budget)"/>
    <x v="46"/>
    <x v="46"/>
    <x v="95"/>
    <x v="93"/>
    <x v="94"/>
    <x v="94"/>
    <x v="94"/>
    <n v="95"/>
    <x v="22"/>
    <s v="Industriële productie en technologie"/>
    <s v="U/NWO/TNO/So/O"/>
    <s v="Proj."/>
  </r>
  <r>
    <x v="7"/>
    <s v="11.08"/>
    <s v="Bijdrage Metrologie (Nmi)"/>
    <x v="96"/>
    <x v="93"/>
    <x v="96"/>
    <x v="94"/>
    <x v="95"/>
    <x v="95"/>
    <x v="95"/>
    <n v="25"/>
    <x v="22"/>
    <s v="Industriële productie en technologie"/>
    <s v="SO"/>
    <s v="Inst."/>
  </r>
  <r>
    <x v="7"/>
    <s v="11.08"/>
    <s v="Bijdrage aan het CBS"/>
    <x v="97"/>
    <x v="94"/>
    <x v="97"/>
    <x v="95"/>
    <x v="96"/>
    <x v="96"/>
    <x v="96"/>
    <n v="3.5"/>
    <x v="0"/>
    <s v="Politieke en soc. systemen, structuren/processen"/>
    <s v="R"/>
    <s v="Inst."/>
  </r>
  <r>
    <x v="7"/>
    <s v="?"/>
    <s v="Digitale innovatie voor bedrijven (PPS) (alleen budget)"/>
    <x v="46"/>
    <x v="46"/>
    <x v="98"/>
    <x v="96"/>
    <x v="97"/>
    <x v="97"/>
    <x v="97"/>
    <n v="30"/>
    <x v="20"/>
    <s v="Transport, telecommunicatie en ov. infrastructuren"/>
    <s v="SO/O"/>
    <s v="Proj."/>
  </r>
  <r>
    <x v="7"/>
    <s v="U12,10"/>
    <s v="Lucht- en Ruimtevaart: Ruimtevaart subsidieregelingen"/>
    <x v="46"/>
    <x v="46"/>
    <x v="46"/>
    <x v="46"/>
    <x v="46"/>
    <x v="46"/>
    <x v="46"/>
    <n v="100"/>
    <x v="2"/>
    <s v="Exploratie en exploitatie van de ruimte"/>
    <s v="IO"/>
    <s v="Proj."/>
  </r>
  <r>
    <x v="7"/>
    <s v="U12,10"/>
    <s v="Lucht- en Ruimtevaart: nat. Prog. luchtvaart"/>
    <x v="98"/>
    <x v="46"/>
    <x v="46"/>
    <x v="46"/>
    <x v="46"/>
    <x v="46"/>
    <x v="46"/>
    <n v="100"/>
    <x v="22"/>
    <s v="Industriële productie en technologie"/>
    <s v="O"/>
    <s v="Proj."/>
  </r>
  <r>
    <x v="7"/>
    <s v="12.01.02"/>
    <s v="MKB-Innovatiestimulering Topsectoren (MIT)"/>
    <x v="99"/>
    <x v="95"/>
    <x v="99"/>
    <x v="97"/>
    <x v="98"/>
    <x v="98"/>
    <x v="98"/>
    <n v="90"/>
    <x v="22"/>
    <s v="Industriële productie en technologie"/>
    <s v="U/TNO/DLO/SO/O"/>
    <s v="Proj."/>
  </r>
  <r>
    <x v="7"/>
    <s v="12.01.05"/>
    <s v="Eurostars: Eurostars"/>
    <x v="100"/>
    <x v="96"/>
    <x v="100"/>
    <x v="98"/>
    <x v="99"/>
    <x v="99"/>
    <x v="99"/>
    <n v="100"/>
    <x v="22"/>
    <s v="Industriële productie en technologie"/>
    <s v="U/TNO/DLO/SO/O"/>
    <s v="Proj."/>
  </r>
  <r>
    <x v="7"/>
    <s v="12.01.06"/>
    <s v="Overig: bijdrage aan NML"/>
    <x v="101"/>
    <x v="97"/>
    <x v="101"/>
    <x v="99"/>
    <x v="100"/>
    <x v="100"/>
    <x v="100"/>
    <n v="100"/>
    <x v="20"/>
    <s v="Transport, telecommunicatie en ov. infrastructuren"/>
    <s v="SO"/>
    <s v="Inst."/>
  </r>
  <r>
    <x v="7"/>
    <s v="12.01.06"/>
    <s v="Overig: innovatieve onderzoeksprogramma's"/>
    <x v="102"/>
    <x v="98"/>
    <x v="102"/>
    <x v="100"/>
    <x v="101"/>
    <x v="101"/>
    <x v="101"/>
    <n v="100"/>
    <x v="22"/>
    <s v="Industriële productie en technologie"/>
    <s v="SO/O"/>
    <s v="Proj."/>
  </r>
  <r>
    <x v="7"/>
    <s v="12.01.06"/>
    <s v="Overig: bijdrage aan overige instituten"/>
    <x v="103"/>
    <x v="99"/>
    <x v="103"/>
    <x v="101"/>
    <x v="102"/>
    <x v="102"/>
    <x v="102"/>
    <n v="100"/>
    <x v="0"/>
    <s v="Politieke en soc. systemen, structuren/processen"/>
    <s v="SO"/>
    <s v="Inst."/>
  </r>
  <r>
    <x v="7"/>
    <s v="12.01.06"/>
    <s v="Overig: Innovatieprogramma diensten"/>
    <x v="46"/>
    <x v="46"/>
    <x v="46"/>
    <x v="46"/>
    <x v="46"/>
    <x v="46"/>
    <x v="46"/>
    <n v="100"/>
    <x v="22"/>
    <s v="Industriële productie en technologie"/>
    <s v="O"/>
    <s v="Proj."/>
  </r>
  <r>
    <x v="7"/>
    <s v="12.01.06"/>
    <s v="Overig: smartmix"/>
    <x v="104"/>
    <x v="46"/>
    <x v="46"/>
    <x v="46"/>
    <x v="46"/>
    <x v="46"/>
    <x v="46"/>
    <n v="100"/>
    <x v="22"/>
    <s v="Industriële productie en technologie"/>
    <s v="SO/O"/>
    <s v="Proj."/>
  </r>
  <r>
    <x v="7"/>
    <s v="12.01.06"/>
    <s v="Overig: Eureka/GL RVO"/>
    <x v="46"/>
    <x v="46"/>
    <x v="46"/>
    <x v="46"/>
    <x v="46"/>
    <x v="46"/>
    <x v="46"/>
    <n v="100"/>
    <x v="22"/>
    <s v="Industriële productie en technologie"/>
    <s v="U/TNO/DLO/SO/O"/>
    <s v="Proj."/>
  </r>
  <r>
    <x v="7"/>
    <s v="12.01.06"/>
    <s v="Overig: opkomende markten HGIS"/>
    <x v="46"/>
    <x v="46"/>
    <x v="46"/>
    <x v="46"/>
    <x v="46"/>
    <x v="46"/>
    <x v="46"/>
    <n v="100"/>
    <x v="22"/>
    <s v="Industriële productie en technologie"/>
    <s v="U/TNO/DLO/SO/O"/>
    <s v="Proj."/>
  </r>
  <r>
    <x v="7"/>
    <s v="12.01.06"/>
    <s v="Innovatie prestatie contracten"/>
    <x v="105"/>
    <x v="46"/>
    <x v="46"/>
    <x v="46"/>
    <x v="46"/>
    <x v="46"/>
    <x v="46"/>
    <n v="80"/>
    <x v="22"/>
    <s v="Industriële productie en technologie"/>
    <s v="O"/>
    <s v="Proj."/>
  </r>
  <r>
    <x v="7"/>
    <s v="12.01.06"/>
    <s v="Bijdrage TNO: NABS 1"/>
    <x v="106"/>
    <x v="100"/>
    <x v="104"/>
    <x v="102"/>
    <x v="103"/>
    <x v="103"/>
    <x v="103"/>
    <n v="100"/>
    <x v="1"/>
    <s v="Exploratie en exploitatie van het aards milieu"/>
    <s v="TNO"/>
    <s v="Inst."/>
  </r>
  <r>
    <x v="7"/>
    <s v="12.01.06"/>
    <s v="Bijdrage TNO: NABS 4"/>
    <x v="106"/>
    <x v="100"/>
    <x v="104"/>
    <x v="102"/>
    <x v="103"/>
    <x v="103"/>
    <x v="103"/>
    <n v="100"/>
    <x v="20"/>
    <s v="Transport, telecommunicatie en ov. infrastructuren"/>
    <s v="TNO"/>
    <s v="Inst."/>
  </r>
  <r>
    <x v="7"/>
    <s v="12.01.06"/>
    <s v="Bijdrage TNO: NABS 5"/>
    <x v="107"/>
    <x v="101"/>
    <x v="105"/>
    <x v="103"/>
    <x v="104"/>
    <x v="104"/>
    <x v="104"/>
    <n v="100"/>
    <x v="3"/>
    <s v="Energie"/>
    <s v="TNO"/>
    <s v="Inst."/>
  </r>
  <r>
    <x v="7"/>
    <s v="12.01.06"/>
    <s v="Bijdrage TNO: NABS 6"/>
    <x v="108"/>
    <x v="102"/>
    <x v="106"/>
    <x v="104"/>
    <x v="105"/>
    <x v="105"/>
    <x v="105"/>
    <n v="100"/>
    <x v="22"/>
    <s v="Industriële productie en technologie"/>
    <s v="TNO"/>
    <s v="Inst."/>
  </r>
  <r>
    <x v="7"/>
    <s v="12.01.06"/>
    <s v="Bijdrage TNO: NABS 7"/>
    <x v="109"/>
    <x v="103"/>
    <x v="107"/>
    <x v="105"/>
    <x v="106"/>
    <x v="106"/>
    <x v="106"/>
    <n v="100"/>
    <x v="18"/>
    <s v="Gezondheid"/>
    <s v="TNO"/>
    <s v="Inst."/>
  </r>
  <r>
    <x v="7"/>
    <s v="12.10.01"/>
    <s v="Internationaal Innoveren"/>
    <x v="110"/>
    <x v="104"/>
    <x v="108"/>
    <x v="106"/>
    <x v="107"/>
    <x v="107"/>
    <x v="107"/>
    <n v="100"/>
    <x v="22"/>
    <s v="Industriële productie en technologie"/>
    <s v="U/TNO/DLO/SO/O"/>
    <s v="Proj."/>
  </r>
  <r>
    <x v="7"/>
    <s v="12.10.01"/>
    <s v="TKI-toeslag: NABS 1"/>
    <x v="111"/>
    <x v="105"/>
    <x v="109"/>
    <x v="107"/>
    <x v="108"/>
    <x v="108"/>
    <x v="108"/>
    <n v="100"/>
    <x v="1"/>
    <s v="Exploratie en exploitatie van het aards milieu"/>
    <s v="U/TNO/DLO/SO/O"/>
    <s v="Proj."/>
  </r>
  <r>
    <x v="7"/>
    <s v="12.10.01"/>
    <s v="TKI-toeslag: NABS 4"/>
    <x v="112"/>
    <x v="106"/>
    <x v="110"/>
    <x v="108"/>
    <x v="109"/>
    <x v="109"/>
    <x v="109"/>
    <n v="100"/>
    <x v="20"/>
    <s v="Transport, telecommunicatie en ov. infrastructuren"/>
    <s v="U/TNO/DLO/SO/O"/>
    <s v="Proj."/>
  </r>
  <r>
    <x v="7"/>
    <s v="12.10.01"/>
    <s v="TKI-toeslag: NABS 5"/>
    <x v="113"/>
    <x v="107"/>
    <x v="111"/>
    <x v="109"/>
    <x v="110"/>
    <x v="110"/>
    <x v="110"/>
    <n v="100"/>
    <x v="3"/>
    <s v="Energie"/>
    <s v="U/TNO/DLO/SO/O"/>
    <s v="Proj."/>
  </r>
  <r>
    <x v="7"/>
    <s v="12.10.01"/>
    <s v="TKI-toeslag: NABS 6"/>
    <x v="114"/>
    <x v="108"/>
    <x v="112"/>
    <x v="110"/>
    <x v="111"/>
    <x v="111"/>
    <x v="111"/>
    <n v="100"/>
    <x v="22"/>
    <s v="Industriële productie en technologie"/>
    <s v="U/TNO/DLO/SO/O"/>
    <s v="Proj."/>
  </r>
  <r>
    <x v="7"/>
    <s v="12.10.01"/>
    <s v="TKI-toeslag: NABS 7"/>
    <x v="115"/>
    <x v="109"/>
    <x v="113"/>
    <x v="111"/>
    <x v="112"/>
    <x v="112"/>
    <x v="112"/>
    <n v="100"/>
    <x v="18"/>
    <s v="Gezondheid"/>
    <s v="U/TNO/DLO/SO/O"/>
    <s v="Proj."/>
  </r>
  <r>
    <x v="7"/>
    <s v="12.10.01"/>
    <s v="TKI-toeslag: NABS 8"/>
    <x v="116"/>
    <x v="110"/>
    <x v="114"/>
    <x v="112"/>
    <x v="113"/>
    <x v="113"/>
    <x v="113"/>
    <n v="100"/>
    <x v="23"/>
    <s v="Landbouw"/>
    <s v="U/TNO/DLO/SO/O"/>
    <s v="Proj."/>
  </r>
  <r>
    <x v="7"/>
    <s v="12.10.02"/>
    <s v="Grote Technologische Instituten (MARIN)"/>
    <x v="117"/>
    <x v="7"/>
    <x v="115"/>
    <x v="113"/>
    <x v="114"/>
    <x v="114"/>
    <x v="114"/>
    <n v="100"/>
    <x v="20"/>
    <s v="Transport, telecommunicatie en ov. infrastructuren"/>
    <s v="SO"/>
    <s v="Inst."/>
  </r>
  <r>
    <x v="7"/>
    <s v="12.10.02"/>
    <s v="Grote Technologische Instituten (Deltares)"/>
    <x v="118"/>
    <x v="111"/>
    <x v="116"/>
    <x v="114"/>
    <x v="115"/>
    <x v="115"/>
    <x v="115"/>
    <n v="100"/>
    <x v="20"/>
    <s v="Transport, telecommunicatie en ov. infrastructuren"/>
    <s v="SO"/>
    <s v="Inst."/>
  </r>
  <r>
    <x v="7"/>
    <s v="12.10.02"/>
    <s v="Grote Technologische Instituten (NLR)"/>
    <x v="119"/>
    <x v="112"/>
    <x v="117"/>
    <x v="115"/>
    <x v="116"/>
    <x v="116"/>
    <x v="116"/>
    <n v="100"/>
    <x v="2"/>
    <s v="Exploratie en exploitatie van de ruimte"/>
    <s v="SO"/>
    <s v="Inst."/>
  </r>
  <r>
    <x v="7"/>
    <m/>
    <s v="Economische ontwikkeling en technologie"/>
    <x v="12"/>
    <x v="113"/>
    <x v="118"/>
    <x v="116"/>
    <x v="117"/>
    <x v="117"/>
    <x v="117"/>
    <n v="100"/>
    <x v="22"/>
    <s v="Industriële productie en technologie"/>
    <s v="U/TNO/DLO/SO/O"/>
    <s v="Proj."/>
  </r>
  <r>
    <x v="7"/>
    <s v="12.10.03"/>
    <s v="Topsectoren overig (NWO-TTW)"/>
    <x v="120"/>
    <x v="114"/>
    <x v="119"/>
    <x v="117"/>
    <x v="118"/>
    <x v="118"/>
    <x v="118"/>
    <n v="100"/>
    <x v="22"/>
    <s v="Industriële productie en technologie"/>
    <s v="NWO"/>
    <s v="Inst."/>
  </r>
  <r>
    <x v="7"/>
    <s v="12.10.03"/>
    <s v="Topsectoren overig (Innovatieprogramma's algemeen)"/>
    <x v="60"/>
    <x v="115"/>
    <x v="120"/>
    <x v="118"/>
    <x v="119"/>
    <x v="119"/>
    <x v="119"/>
    <n v="100"/>
    <x v="22"/>
    <s v="Industriële productie en technologie"/>
    <s v="TNO/DLO/SO/NWO"/>
    <s v="Inst."/>
  </r>
  <r>
    <x v="7"/>
    <s v="12.10.04"/>
    <s v="Topsectoren overig (Innovatieprogramma's algemeen)"/>
    <x v="60"/>
    <x v="115"/>
    <x v="120"/>
    <x v="118"/>
    <x v="119"/>
    <x v="119"/>
    <x v="119"/>
    <n v="100"/>
    <x v="15"/>
    <s v="Algemene kennisopbouw: Onderzoek gefinancierd uit andere bronnen dan hoofdstuk 12"/>
    <s v="TNO/DLO/SO/NWO"/>
    <s v="Inst."/>
  </r>
  <r>
    <x v="7"/>
    <s v="12.10.03"/>
    <s v="TTI Water"/>
    <x v="121"/>
    <x v="46"/>
    <x v="46"/>
    <x v="46"/>
    <x v="46"/>
    <x v="46"/>
    <x v="46"/>
    <n v="100"/>
    <x v="22"/>
    <s v="Industriële productie en technologie"/>
    <s v="SO"/>
    <s v="Proj."/>
  </r>
  <r>
    <x v="7"/>
    <s v="12.10.03"/>
    <s v="Topsectoren overig (Innowator)"/>
    <x v="46"/>
    <x v="46"/>
    <x v="46"/>
    <x v="46"/>
    <x v="46"/>
    <x v="46"/>
    <x v="46"/>
    <n v="100"/>
    <x v="22"/>
    <s v="Industriële productie en technologie"/>
    <s v="SO/O"/>
    <s v="Proj."/>
  </r>
  <r>
    <x v="7"/>
    <s v="12.10.03"/>
    <s v="Topsectoren overig (TIFN)"/>
    <x v="46"/>
    <x v="46"/>
    <x v="46"/>
    <x v="46"/>
    <x v="46"/>
    <x v="46"/>
    <x v="46"/>
    <n v="100"/>
    <x v="22"/>
    <s v="Industriële productie en technologie"/>
    <s v="SO"/>
    <s v="Inst."/>
  </r>
  <r>
    <x v="7"/>
    <s v="12.10.03"/>
    <s v="Topsectoren overig (Food and nutrition delta)"/>
    <x v="46"/>
    <x v="46"/>
    <x v="46"/>
    <x v="46"/>
    <x v="46"/>
    <x v="46"/>
    <x v="46"/>
    <n v="100"/>
    <x v="22"/>
    <s v="Industriële productie en technologie"/>
    <s v="O"/>
    <s v="Proj."/>
  </r>
  <r>
    <x v="7"/>
    <s v="12.10.03"/>
    <s v="Topsectoren overig (Innovatieprogramma Maritiem)"/>
    <x v="122"/>
    <x v="46"/>
    <x v="46"/>
    <x v="46"/>
    <x v="46"/>
    <x v="46"/>
    <x v="46"/>
    <n v="100"/>
    <x v="22"/>
    <s v="Industriële productie en technologie"/>
    <s v="SO"/>
    <s v="Proj."/>
  </r>
  <r>
    <x v="7"/>
    <s v="12.10.03"/>
    <s v="Topsectoren overig (HTSM)"/>
    <x v="46"/>
    <x v="46"/>
    <x v="46"/>
    <x v="46"/>
    <x v="46"/>
    <x v="46"/>
    <x v="46"/>
    <n v="100"/>
    <x v="22"/>
    <s v="Industriële productie en technologie"/>
    <s v="I/O/TNO"/>
    <s v="Proj."/>
  </r>
  <r>
    <x v="7"/>
    <s v="12.10.03"/>
    <s v="Topsectoren overig (Comict)"/>
    <x v="46"/>
    <x v="46"/>
    <x v="46"/>
    <x v="46"/>
    <x v="46"/>
    <x v="46"/>
    <x v="46"/>
    <n v="100"/>
    <x v="22"/>
    <s v="Industriële productie en technologie"/>
    <s v="I/O/TNO"/>
    <s v="Proj."/>
  </r>
  <r>
    <x v="7"/>
    <s v="12.10.03"/>
    <s v="Topsectoren overig (Holst centrum)"/>
    <x v="123"/>
    <x v="116"/>
    <x v="46"/>
    <x v="46"/>
    <x v="46"/>
    <x v="46"/>
    <x v="46"/>
    <n v="100"/>
    <x v="22"/>
    <s v="Industriële productie en technologie"/>
    <s v="SO"/>
    <s v="Proj."/>
  </r>
  <r>
    <x v="7"/>
    <s v="12.10.03"/>
    <s v="Topsectoren overig (phase 2)"/>
    <x v="124"/>
    <x v="46"/>
    <x v="46"/>
    <x v="46"/>
    <x v="46"/>
    <x v="46"/>
    <x v="46"/>
    <n v="100"/>
    <x v="22"/>
    <s v="Industriële productie en technologie"/>
    <s v="U/O/TNO"/>
    <s v="Proj."/>
  </r>
  <r>
    <x v="7"/>
    <s v="12.10.03"/>
    <s v="Topsectoren overig (innovatieprogramma life sciences and health)"/>
    <x v="125"/>
    <x v="46"/>
    <x v="46"/>
    <x v="46"/>
    <x v="46"/>
    <x v="46"/>
    <x v="46"/>
    <n v="100"/>
    <x v="22"/>
    <s v="Industriële productie en technologie"/>
    <s v="U/O/TNO"/>
    <s v="Proj."/>
  </r>
  <r>
    <x v="7"/>
    <s v="12.10.03"/>
    <s v="Topsectoren overig (BE basic)"/>
    <x v="126"/>
    <x v="117"/>
    <x v="121"/>
    <x v="119"/>
    <x v="120"/>
    <x v="120"/>
    <x v="120"/>
    <n v="100"/>
    <x v="22"/>
    <s v="Industriële productie en technologie"/>
    <s v="U/O"/>
    <s v="Proj."/>
  </r>
  <r>
    <x v="7"/>
    <s v="12.10.03"/>
    <s v="Topsectoren overig (innovatieprogramma logistiek)"/>
    <x v="46"/>
    <x v="46"/>
    <x v="46"/>
    <x v="46"/>
    <x v="46"/>
    <x v="46"/>
    <x v="46"/>
    <n v="100"/>
    <x v="20"/>
    <s v="Transport, telecommunicatie en ov. infrastructuren"/>
    <s v="SO"/>
    <s v="Proj."/>
  </r>
  <r>
    <x v="7"/>
    <s v="12.10.03"/>
    <s v="Topsectoren overig (innovatieprogramma materialen M2i)"/>
    <x v="46"/>
    <x v="46"/>
    <x v="46"/>
    <x v="46"/>
    <x v="46"/>
    <x v="46"/>
    <x v="46"/>
    <n v="100"/>
    <x v="22"/>
    <s v="Industriële productie en technologie"/>
    <s v="SO"/>
    <s v="Proj."/>
  </r>
  <r>
    <x v="7"/>
    <s v="12.10.03"/>
    <s v="Topsectoren overig (NWO)"/>
    <x v="127"/>
    <x v="118"/>
    <x v="122"/>
    <x v="120"/>
    <x v="121"/>
    <x v="121"/>
    <x v="121"/>
    <n v="100"/>
    <x v="22"/>
    <s v="Industriële productie en technologie"/>
    <s v="NWO"/>
    <s v="Proj."/>
  </r>
  <r>
    <x v="7"/>
    <s v="12.10.03"/>
    <s v="Topsectoren overig (TKI CLICK)"/>
    <x v="101"/>
    <x v="46"/>
    <x v="46"/>
    <x v="46"/>
    <x v="46"/>
    <x v="46"/>
    <x v="46"/>
    <n v="20"/>
    <x v="16"/>
    <s v="Cultuur, recreatie, religie en massamedia"/>
    <s v="U/O/TNO"/>
    <s v="Proj."/>
  </r>
  <r>
    <x v="7"/>
    <s v="12.10.05"/>
    <s v="Ruimtevaart (ESA): ruimtevaart"/>
    <x v="128"/>
    <x v="119"/>
    <x v="123"/>
    <x v="121"/>
    <x v="122"/>
    <x v="122"/>
    <x v="122"/>
    <n v="100"/>
    <x v="2"/>
    <s v="Exploratie en exploitatie van de ruimte"/>
    <s v="IO"/>
    <s v="Proj."/>
  </r>
  <r>
    <x v="7"/>
    <s v="12.10.05"/>
    <s v="Ruimtevaart (ESA): nationaal programma ruimtevaart"/>
    <x v="129"/>
    <x v="120"/>
    <x v="124"/>
    <x v="122"/>
    <x v="123"/>
    <x v="123"/>
    <x v="123"/>
    <n v="100"/>
    <x v="2"/>
    <s v="Exploratie en exploitatie van de ruimte"/>
    <s v="IO"/>
    <s v="Proj."/>
  </r>
  <r>
    <x v="7"/>
    <s v="12.10.05"/>
    <s v="Ruimtevaart (ESA): ESA programma NSO"/>
    <x v="130"/>
    <x v="121"/>
    <x v="125"/>
    <x v="123"/>
    <x v="124"/>
    <x v="124"/>
    <x v="124"/>
    <n v="100"/>
    <x v="2"/>
    <s v="Exploratie en exploitatie van de ruimte"/>
    <s v="IO"/>
    <s v="Proj."/>
  </r>
  <r>
    <x v="7"/>
    <s v="12.10"/>
    <s v="Onderzoek: innovatie DG B&amp;I"/>
    <x v="131"/>
    <x v="122"/>
    <x v="126"/>
    <x v="124"/>
    <x v="125"/>
    <x v="125"/>
    <x v="125"/>
    <n v="100"/>
    <x v="22"/>
    <s v="Industriële productie en technologie"/>
    <s v="U/R/SO/O"/>
    <s v="Proj."/>
  </r>
  <r>
    <x v="7"/>
    <s v="12.10"/>
    <s v="Onderzoek: vernieuwingsprogramma's DGB&amp;I"/>
    <x v="132"/>
    <x v="123"/>
    <x v="127"/>
    <x v="125"/>
    <x v="126"/>
    <x v="126"/>
    <x v="126"/>
    <n v="100"/>
    <x v="22"/>
    <s v="Industriële productie en technologie"/>
    <s v="U/R/SO/O"/>
    <s v="Proj."/>
  </r>
  <r>
    <x v="7"/>
    <s v="13.10"/>
    <s v="Onderzoek: ondernemingsklimaat"/>
    <x v="133"/>
    <x v="46"/>
    <x v="46"/>
    <x v="46"/>
    <x v="46"/>
    <x v="46"/>
    <x v="46"/>
    <n v="100"/>
    <x v="22"/>
    <s v="Industriële productie en technologie"/>
    <s v="U/R/SO/O"/>
    <s v="Proj."/>
  </r>
  <r>
    <x v="7"/>
    <s v="13.10"/>
    <s v="Onderzoek: vernieuwingsprogramma's DGB&amp;I"/>
    <x v="134"/>
    <x v="124"/>
    <x v="46"/>
    <x v="46"/>
    <x v="46"/>
    <x v="46"/>
    <x v="46"/>
    <n v="100"/>
    <x v="22"/>
    <s v="Industriële productie en technologie"/>
    <s v="U/R/SO/O"/>
    <s v="Proj."/>
  </r>
  <r>
    <x v="7"/>
    <s v="18.10"/>
    <s v="Onderzoek: onderzoeksbudget regio"/>
    <x v="46"/>
    <x v="46"/>
    <x v="46"/>
    <x v="46"/>
    <x v="46"/>
    <x v="46"/>
    <x v="46"/>
    <n v="100"/>
    <x v="22"/>
    <s v="Industriële productie en technologie"/>
    <s v="U/R/SO/O"/>
    <s v="Proj."/>
  </r>
  <r>
    <x v="7"/>
    <s v="12.10"/>
    <s v="Small Business Innovation Research"/>
    <x v="135"/>
    <x v="125"/>
    <x v="43"/>
    <x v="2"/>
    <x v="44"/>
    <x v="127"/>
    <x v="46"/>
    <n v="100"/>
    <x v="22"/>
    <s v="Industriële productie en technologie"/>
    <s v="O"/>
    <s v="Proj."/>
  </r>
  <r>
    <x v="7"/>
    <s v="13.20"/>
    <s v="Uitfinanciering subsidies (ICT beleid; prima RVO)"/>
    <x v="46"/>
    <x v="46"/>
    <x v="46"/>
    <x v="46"/>
    <x v="46"/>
    <x v="46"/>
    <x v="46"/>
    <n v="70"/>
    <x v="20"/>
    <s v="Transport, telecommunicatie en ov. infrastructuren"/>
    <s v="R/O"/>
    <s v="Proj."/>
  </r>
  <r>
    <x v="7"/>
    <s v="13.20"/>
    <s v="Uitfinanciering subsidies (ICT beleid; flankerend beleid en adm. lasten)"/>
    <x v="136"/>
    <x v="126"/>
    <x v="46"/>
    <x v="46"/>
    <x v="46"/>
    <x v="46"/>
    <x v="46"/>
    <n v="30"/>
    <x v="20"/>
    <s v="Transport, telecommunicatie en ov. infrastructuren"/>
    <s v="SO/O"/>
    <s v="Proj."/>
  </r>
  <r>
    <x v="7"/>
    <s v="U02"/>
    <s v="Cyber KI"/>
    <x v="46"/>
    <x v="127"/>
    <x v="46"/>
    <x v="46"/>
    <x v="46"/>
    <x v="46"/>
    <x v="46"/>
    <n v="95"/>
    <x v="22"/>
    <s v="Industriële productie en technologie"/>
    <s v="U/NWO/TNO/SO/O "/>
    <s v="Proj."/>
  </r>
  <r>
    <x v="7"/>
    <s v="18.10"/>
    <s v="Co-financiering EFRO en Interreg"/>
    <x v="137"/>
    <x v="128"/>
    <x v="128"/>
    <x v="126"/>
    <x v="127"/>
    <x v="128"/>
    <x v="127"/>
    <n v="30"/>
    <x v="3"/>
    <s v="Energie"/>
    <s v="O"/>
    <s v="Proj."/>
  </r>
  <r>
    <x v="7"/>
    <s v="18.10"/>
    <s v="Pieken in de Delta"/>
    <x v="46"/>
    <x v="46"/>
    <x v="46"/>
    <x v="46"/>
    <x v="46"/>
    <x v="46"/>
    <x v="46"/>
    <n v="35"/>
    <x v="22"/>
    <s v="Industriële productie en technologie"/>
    <s v="SO/O"/>
    <s v="Proj."/>
  </r>
  <r>
    <x v="7"/>
    <s v="UO2"/>
    <s v="Verduurzaming industrie KD"/>
    <x v="46"/>
    <x v="129"/>
    <x v="129"/>
    <x v="127"/>
    <x v="128"/>
    <x v="44"/>
    <x v="44"/>
    <n v="20"/>
    <x v="21"/>
    <s v="Milieubeheer en milieuzorg"/>
    <s v="O"/>
    <s v="Proj."/>
  </r>
  <r>
    <x v="7"/>
    <s v="UO2"/>
    <s v="Verduurzaming industrie KD"/>
    <x v="46"/>
    <x v="129"/>
    <x v="129"/>
    <x v="127"/>
    <x v="128"/>
    <x v="44"/>
    <x v="44"/>
    <n v="20"/>
    <x v="22"/>
    <s v="Industriële productie en technologie"/>
    <m/>
    <s v="Proj."/>
  </r>
  <r>
    <x v="7"/>
    <s v="UO2"/>
    <s v="Verduurzaming industrie  "/>
    <x v="138"/>
    <x v="130"/>
    <x v="2"/>
    <x v="128"/>
    <x v="129"/>
    <x v="129"/>
    <x v="128"/>
    <n v="20"/>
    <x v="21"/>
    <s v="Milieubeheer en milieuzorg"/>
    <s v="O"/>
    <s v="Proj."/>
  </r>
  <r>
    <x v="7"/>
    <s v="UO2"/>
    <s v="Verduurzaming industrie  "/>
    <x v="138"/>
    <x v="130"/>
    <x v="2"/>
    <x v="128"/>
    <x v="129"/>
    <x v="129"/>
    <x v="128"/>
    <n v="20"/>
    <x v="22"/>
    <s v="Industriële productie en technologie"/>
    <m/>
    <s v="Proj."/>
  </r>
  <r>
    <x v="7"/>
    <s v="12.01.02"/>
    <s v="Innovatiefonds: Innovatiekrediet technische ontwikkeling"/>
    <x v="139"/>
    <x v="131"/>
    <x v="130"/>
    <x v="129"/>
    <x v="130"/>
    <x v="130"/>
    <x v="129"/>
    <n v="100"/>
    <x v="22"/>
    <s v="Industriële productie en technologie"/>
    <s v="O"/>
    <s v="Proj."/>
  </r>
  <r>
    <x v="7"/>
    <s v="12.01.02"/>
    <s v="Innovatiefonds: Innovatiekrediet klinische ontwikkeling"/>
    <x v="140"/>
    <x v="132"/>
    <x v="131"/>
    <x v="130"/>
    <x v="131"/>
    <x v="131"/>
    <x v="130"/>
    <n v="100"/>
    <x v="18"/>
    <s v="Gezondheid"/>
    <s v="O"/>
    <s v="Proj."/>
  </r>
  <r>
    <x v="7"/>
    <s v="12.01.03"/>
    <s v="Innovatiefonds: risicokapitaal Seed"/>
    <x v="141"/>
    <x v="133"/>
    <x v="132"/>
    <x v="131"/>
    <x v="132"/>
    <x v="132"/>
    <x v="131"/>
    <n v="70"/>
    <x v="22"/>
    <s v="Industriële productie en technologie"/>
    <s v="O"/>
    <s v="Proj."/>
  </r>
  <r>
    <x v="7"/>
    <s v="12.01.04"/>
    <s v="Innovatiefonds: Fund to Fund"/>
    <x v="142"/>
    <x v="134"/>
    <x v="133"/>
    <x v="132"/>
    <x v="133"/>
    <x v="133"/>
    <x v="132"/>
    <n v="50"/>
    <x v="22"/>
    <s v="Industriële productie en technologie"/>
    <s v="O"/>
    <s v="Proj."/>
  </r>
  <r>
    <x v="7"/>
    <n v="19"/>
    <s v="Innovatiefonds: Investeringen in fundamenteel en toegepast onderzoek (met vermogensbehoud)"/>
    <x v="46"/>
    <x v="135"/>
    <x v="43"/>
    <x v="43"/>
    <x v="43"/>
    <x v="43"/>
    <x v="43"/>
    <n v="100"/>
    <x v="15"/>
    <s v="Niet in te delen wetenschappen"/>
    <s v="U/HBO/TNO/SO/O"/>
    <s v="Proj."/>
  </r>
  <r>
    <x v="7"/>
    <n v="19"/>
    <s v="Innovatiefonds: Investeringen in fundamenteel en toegepast onderzoek (met vermogensbehoud) R"/>
    <x v="143"/>
    <x v="136"/>
    <x v="2"/>
    <x v="133"/>
    <x v="46"/>
    <x v="46"/>
    <x v="46"/>
    <n v="100"/>
    <x v="15"/>
    <s v="Niet in te delen wetenschappen"/>
    <s v="U/HBO/TNO/SO/O/GTI"/>
    <s v="Proj."/>
  </r>
  <r>
    <x v="7"/>
    <n v="19"/>
    <s v="Innovatiefonds: Investeringen in fundamenteel en toegepast onderzoek; Oncode"/>
    <x v="144"/>
    <x v="137"/>
    <x v="134"/>
    <x v="134"/>
    <x v="134"/>
    <x v="46"/>
    <x v="46"/>
    <n v="48"/>
    <x v="12"/>
    <s v="Medisch"/>
    <s v="U/UMC/NOW/KNAW/R/SO"/>
    <s v="Proj."/>
  </r>
  <r>
    <x v="7"/>
    <m/>
    <s v="Co-investment venture capital instrument/EIF"/>
    <x v="46"/>
    <x v="138"/>
    <x v="135"/>
    <x v="135"/>
    <x v="46"/>
    <x v="46"/>
    <x v="46"/>
    <n v="6"/>
    <x v="22"/>
    <s v="Industriële productie en technologie"/>
    <s v="O"/>
    <s v="Proj."/>
  </r>
  <r>
    <x v="7"/>
    <s v="12.01.07"/>
    <s v="Innovatiefonds: vroege fase / informal investors: RVO"/>
    <x v="145"/>
    <x v="139"/>
    <x v="136"/>
    <x v="136"/>
    <x v="135"/>
    <x v="134"/>
    <x v="133"/>
    <n v="50"/>
    <x v="22"/>
    <s v="Industriële productie en technologie"/>
    <s v="O"/>
    <s v="Proj."/>
  </r>
  <r>
    <x v="7"/>
    <s v="12.01.07"/>
    <s v="Innovatiefonds: vroege fase / informal investors: STW"/>
    <x v="146"/>
    <x v="140"/>
    <x v="137"/>
    <x v="137"/>
    <x v="136"/>
    <x v="135"/>
    <x v="134"/>
    <n v="50"/>
    <x v="22"/>
    <s v="Industriële productie en technologie"/>
    <s v="O"/>
    <s v="Proj."/>
  </r>
  <r>
    <x v="7"/>
    <s v="12.01.07"/>
    <s v="Innovatiefonds: vroege fase / informal investors: haalbaarheidsstudies STW"/>
    <x v="147"/>
    <x v="141"/>
    <x v="73"/>
    <x v="71"/>
    <x v="46"/>
    <x v="46"/>
    <x v="46"/>
    <n v="50"/>
    <x v="22"/>
    <s v="Industriële productie en technologie"/>
    <s v="O"/>
    <s v="Proj."/>
  </r>
  <r>
    <x v="7"/>
    <m/>
    <s v="Smart industry (subsidies)"/>
    <x v="148"/>
    <x v="142"/>
    <x v="138"/>
    <x v="138"/>
    <x v="137"/>
    <x v="136"/>
    <x v="46"/>
    <n v="100"/>
    <x v="22"/>
    <s v="Industriële productie en technologie"/>
    <s v="O"/>
    <s v="Proj."/>
  </r>
  <r>
    <x v="7"/>
    <m/>
    <s v="Smart industry (leningen)"/>
    <x v="149"/>
    <x v="143"/>
    <x v="139"/>
    <x v="139"/>
    <x v="138"/>
    <x v="46"/>
    <x v="46"/>
    <n v="100"/>
    <x v="22"/>
    <s v="Industriële productie en technologie"/>
    <s v="O"/>
    <s v="Proj."/>
  </r>
  <r>
    <x v="7"/>
    <m/>
    <s v="Thematische technology transfer (subsidiedeel)"/>
    <x v="46"/>
    <x v="144"/>
    <x v="46"/>
    <x v="46"/>
    <x v="46"/>
    <x v="46"/>
    <x v="46"/>
    <n v="20"/>
    <x v="22"/>
    <s v="Industriële productie en technologie"/>
    <s v="U/UMC/TNO"/>
    <s v="Proj."/>
  </r>
  <r>
    <x v="7"/>
    <s v="14.01"/>
    <s v="Topsectoren energie: energie-innovatie tenderregeling "/>
    <x v="150"/>
    <x v="145"/>
    <x v="140"/>
    <x v="140"/>
    <x v="139"/>
    <x v="137"/>
    <x v="135"/>
    <n v="25"/>
    <x v="3"/>
    <s v="Energie"/>
    <s v="O"/>
    <s v="Proj."/>
  </r>
  <r>
    <x v="7"/>
    <s v="14.01"/>
    <s v="Topsectoren energie: SDE+projecten topsectoren energie"/>
    <x v="151"/>
    <x v="146"/>
    <x v="141"/>
    <x v="141"/>
    <x v="140"/>
    <x v="138"/>
    <x v="136"/>
    <n v="25"/>
    <x v="3"/>
    <s v="Energie"/>
    <s v="O"/>
    <s v="Proj."/>
  </r>
  <r>
    <x v="7"/>
    <s v="14.01."/>
    <s v="Energie-Akkoord SER: RVO demonstratieregeling Energie innovatie DEI (E&amp;I)"/>
    <x v="152"/>
    <x v="147"/>
    <x v="142"/>
    <x v="142"/>
    <x v="141"/>
    <x v="139"/>
    <x v="137"/>
    <n v="30"/>
    <x v="3"/>
    <s v="Energie"/>
    <s v="O"/>
    <s v="Proj."/>
  </r>
  <r>
    <x v="7"/>
    <s v="14.01"/>
    <s v="Energie-Akkoord SER: RVO subsidieregeling duurzame scheepsbouw (SDS)"/>
    <x v="153"/>
    <x v="148"/>
    <x v="143"/>
    <x v="143"/>
    <x v="142"/>
    <x v="140"/>
    <x v="138"/>
    <n v="30"/>
    <x v="3"/>
    <s v="Energie"/>
    <s v="O"/>
    <s v="Proj."/>
  </r>
  <r>
    <x v="7"/>
    <s v="14.01"/>
    <s v="Energie-innovatie (IA) - O: meerjarenafspraken energie (MJA-E)"/>
    <x v="154"/>
    <x v="149"/>
    <x v="144"/>
    <x v="144"/>
    <x v="143"/>
    <x v="141"/>
    <x v="139"/>
    <n v="25"/>
    <x v="3"/>
    <s v="Energie"/>
    <s v="O"/>
    <s v="Proj."/>
  </r>
  <r>
    <x v="7"/>
    <s v="14.01"/>
    <s v="Energie-innovatie (IA) - O: RVO smart grids"/>
    <x v="133"/>
    <x v="46"/>
    <x v="46"/>
    <x v="46"/>
    <x v="46"/>
    <x v="46"/>
    <x v="46"/>
    <n v="25"/>
    <x v="3"/>
    <s v="Energie"/>
    <s v="O"/>
    <s v="Proj."/>
  </r>
  <r>
    <x v="7"/>
    <s v="14.01"/>
    <s v="Energie-innovatie (IA) - O: duurzame elektriciteitsvoorziening"/>
    <x v="46"/>
    <x v="46"/>
    <x v="46"/>
    <x v="46"/>
    <x v="46"/>
    <x v="46"/>
    <x v="46"/>
    <n v="25"/>
    <x v="3"/>
    <s v="Energie"/>
    <s v="O"/>
    <s v="Proj."/>
  </r>
  <r>
    <x v="7"/>
    <s v="14.01"/>
    <s v="Energie-innovatie (IA) - O: innovatieagenda wind op zee"/>
    <x v="46"/>
    <x v="46"/>
    <x v="46"/>
    <x v="46"/>
    <x v="46"/>
    <x v="46"/>
    <x v="46"/>
    <n v="25"/>
    <x v="3"/>
    <s v="Energie"/>
    <s v="O"/>
    <s v="Proj."/>
  </r>
  <r>
    <x v="7"/>
    <s v="14.01"/>
    <s v="Energie-innovatie (IA) - O: innovatieagenda nieuw gas"/>
    <x v="155"/>
    <x v="46"/>
    <x v="46"/>
    <x v="46"/>
    <x v="46"/>
    <x v="46"/>
    <x v="46"/>
    <n v="25"/>
    <x v="3"/>
    <s v="Energie"/>
    <s v="O"/>
    <s v="Proj."/>
  </r>
  <r>
    <x v="7"/>
    <s v="14.01"/>
    <s v="Energie-innovatie (IA) - O: duurzaamheid energiebesparing UKR"/>
    <x v="156"/>
    <x v="148"/>
    <x v="46"/>
    <x v="46"/>
    <x v="46"/>
    <x v="46"/>
    <x v="46"/>
    <n v="25"/>
    <x v="3"/>
    <s v="Energie"/>
    <s v="O"/>
    <s v="Proj."/>
  </r>
  <r>
    <x v="7"/>
    <s v="14.01"/>
    <s v="Overige subsidies: transitiemanagement"/>
    <x v="46"/>
    <x v="46"/>
    <x v="46"/>
    <x v="46"/>
    <x v="46"/>
    <x v="46"/>
    <x v="46"/>
    <n v="25"/>
    <x v="3"/>
    <s v="Energie"/>
    <s v="O"/>
    <s v="Proj."/>
  </r>
  <r>
    <x v="7"/>
    <s v="14.01"/>
    <s v="Carbon Capture and Storage"/>
    <x v="157"/>
    <x v="150"/>
    <x v="145"/>
    <x v="145"/>
    <x v="144"/>
    <x v="142"/>
    <x v="140"/>
    <n v="100"/>
    <x v="3"/>
    <s v="Energie"/>
    <s v="O"/>
    <s v="Proj."/>
  </r>
  <r>
    <x v="7"/>
    <s v="14.01"/>
    <s v="Hoge Flux Reactor"/>
    <x v="158"/>
    <x v="151"/>
    <x v="146"/>
    <x v="146"/>
    <x v="145"/>
    <x v="143"/>
    <x v="141"/>
    <n v="100"/>
    <x v="3"/>
    <s v="Energie"/>
    <s v="HFR/NRG"/>
    <s v="Inst."/>
  </r>
  <r>
    <x v="7"/>
    <s v="14.06"/>
    <s v="O&amp;O bodembeheer: projecten bodembeheer"/>
    <x v="159"/>
    <x v="60"/>
    <x v="46"/>
    <x v="46"/>
    <x v="46"/>
    <x v="46"/>
    <x v="46"/>
    <n v="100"/>
    <x v="3"/>
    <s v="Energie"/>
    <s v="Proj."/>
    <s v="Proj."/>
  </r>
  <r>
    <x v="7"/>
    <s v="14.06"/>
    <s v="O&amp;O bodembeheer: onderzoeksprojecten bodembeweging "/>
    <x v="160"/>
    <x v="152"/>
    <x v="147"/>
    <x v="147"/>
    <x v="146"/>
    <x v="144"/>
    <x v="142"/>
    <n v="100"/>
    <x v="3"/>
    <s v="Energie"/>
    <s v="Proj."/>
    <s v="Proj."/>
  </r>
  <r>
    <x v="7"/>
    <s v="14.06"/>
    <s v="O&amp;O bodembeheer: SodM onderzoeksbudget mijnbouw"/>
    <x v="161"/>
    <x v="153"/>
    <x v="148"/>
    <x v="148"/>
    <x v="147"/>
    <x v="43"/>
    <x v="43"/>
    <n v="100"/>
    <x v="3"/>
    <s v="Energie"/>
    <s v="Proj."/>
    <s v="Proj."/>
  </r>
  <r>
    <x v="7"/>
    <s v="14.06"/>
    <s v="O&amp;O bodembeheer: beleidsbudget secretariaten mijraad/TCBB"/>
    <x v="78"/>
    <x v="154"/>
    <x v="149"/>
    <x v="149"/>
    <x v="148"/>
    <x v="145"/>
    <x v="143"/>
    <n v="100"/>
    <x v="3"/>
    <s v="Energie"/>
    <s v="Proj."/>
    <s v="Proj."/>
  </r>
  <r>
    <x v="7"/>
    <s v="14.06"/>
    <s v="Pallas"/>
    <x v="162"/>
    <x v="46"/>
    <x v="46"/>
    <x v="46"/>
    <x v="46"/>
    <x v="46"/>
    <x v="46"/>
    <n v="60"/>
    <x v="3"/>
    <s v="Energie"/>
    <s v="Proj."/>
    <s v="Proj."/>
  </r>
  <r>
    <x v="7"/>
    <s v="14.10"/>
    <s v="Bijdrage aan ECN"/>
    <x v="163"/>
    <x v="155"/>
    <x v="150"/>
    <x v="150"/>
    <x v="149"/>
    <x v="146"/>
    <x v="144"/>
    <n v="100"/>
    <x v="3"/>
    <s v="Energie"/>
    <s v="ECN"/>
    <s v="Inst."/>
  </r>
  <r>
    <x v="7"/>
    <s v="14.06"/>
    <s v="Onderzoek &amp; opdrachten: onderzoeksprojecten ETM algemeen"/>
    <x v="101"/>
    <x v="156"/>
    <x v="46"/>
    <x v="46"/>
    <x v="46"/>
    <x v="46"/>
    <x v="46"/>
    <n v="100"/>
    <x v="3"/>
    <s v="Energie"/>
    <s v="Proj."/>
    <s v="Proj."/>
  </r>
  <r>
    <x v="7"/>
    <s v="14.06"/>
    <s v="Onderzoek &amp; opdrachten: onderzoeksprojecten ETM (E&amp;I)"/>
    <x v="164"/>
    <x v="157"/>
    <x v="151"/>
    <x v="151"/>
    <x v="150"/>
    <x v="147"/>
    <x v="145"/>
    <n v="100"/>
    <x v="3"/>
    <s v="Energie"/>
    <s v="Proj."/>
    <s v="Proj."/>
  </r>
  <r>
    <x v="7"/>
    <s v="14.08"/>
    <s v="Bijdrage TNO-AGE bodembeheer"/>
    <x v="165"/>
    <x v="158"/>
    <x v="152"/>
    <x v="152"/>
    <x v="151"/>
    <x v="148"/>
    <x v="146"/>
    <n v="100"/>
    <x v="3"/>
    <s v="Energie"/>
    <s v="TNO"/>
    <s v="Inst."/>
  </r>
  <r>
    <x v="7"/>
    <s v="14.08"/>
    <s v="Bijdrage ECN-TNO (E&amp;I)"/>
    <x v="166"/>
    <x v="159"/>
    <x v="153"/>
    <x v="153"/>
    <x v="152"/>
    <x v="149"/>
    <x v="147"/>
    <n v="100"/>
    <x v="3"/>
    <s v="Energie"/>
    <s v="TNO"/>
    <s v="Inst."/>
  </r>
  <r>
    <x v="7"/>
    <s v="15.08"/>
    <s v="SodM onderzoek TNO-AGE"/>
    <x v="167"/>
    <x v="160"/>
    <x v="154"/>
    <x v="154"/>
    <x v="153"/>
    <x v="150"/>
    <x v="148"/>
    <n v="100"/>
    <x v="3"/>
    <s v="Energie"/>
    <s v="TNO"/>
    <s v="Inst."/>
  </r>
  <r>
    <x v="7"/>
    <s v="15.06"/>
    <s v="Onderzoek NCG"/>
    <x v="168"/>
    <x v="161"/>
    <x v="155"/>
    <x v="155"/>
    <x v="154"/>
    <x v="151"/>
    <x v="149"/>
    <n v="100"/>
    <x v="3"/>
    <s v="Energie"/>
    <s v="Proj."/>
    <s v="Proj."/>
  </r>
  <r>
    <x v="8"/>
    <s v="16.06"/>
    <s v="Plantaardige productie: project energietransitie"/>
    <x v="46"/>
    <x v="46"/>
    <x v="46"/>
    <x v="46"/>
    <x v="46"/>
    <x v="46"/>
    <x v="46"/>
    <n v="100"/>
    <x v="23"/>
    <s v="Landbouw "/>
    <s v="SO"/>
    <s v="Proj."/>
  </r>
  <r>
    <x v="8"/>
    <s v="16.06"/>
    <s v="Plantaardige productie: FES innovatieprogramma energie"/>
    <x v="169"/>
    <x v="162"/>
    <x v="156"/>
    <x v="156"/>
    <x v="155"/>
    <x v="152"/>
    <x v="150"/>
    <n v="100"/>
    <x v="22"/>
    <s v="Industriële productie en technologie"/>
    <s v="SO"/>
    <s v="Proj."/>
  </r>
  <r>
    <x v="8"/>
    <s v="16.06"/>
    <s v="Dierenwelzijn: dierproeven (opdrachten)"/>
    <x v="170"/>
    <x v="163"/>
    <x v="157"/>
    <x v="157"/>
    <x v="156"/>
    <x v="153"/>
    <x v="151"/>
    <n v="100"/>
    <x v="22"/>
    <s v="Industriële productie en technologie"/>
    <s v="SO"/>
    <s v="Proj."/>
  </r>
  <r>
    <x v="8"/>
    <s v="16.06"/>
    <s v="Dierenwelzijn: project dierenwelzijn landbouwhuisd."/>
    <x v="171"/>
    <x v="164"/>
    <x v="158"/>
    <x v="158"/>
    <x v="157"/>
    <x v="154"/>
    <x v="152"/>
    <n v="100"/>
    <x v="22"/>
    <s v="Industriële productie en technologie"/>
    <s v="SO"/>
    <s v="Proj."/>
  </r>
  <r>
    <x v="8"/>
    <s v="16.02"/>
    <s v="Div. proj. duurz. Landbouw"/>
    <x v="46"/>
    <x v="165"/>
    <x v="159"/>
    <x v="46"/>
    <x v="46"/>
    <x v="46"/>
    <x v="46"/>
    <n v="50"/>
    <x v="23"/>
    <s v="Landbouw "/>
    <s v="SO"/>
    <s v="Proj."/>
  </r>
  <r>
    <x v="8"/>
    <s v="16.02"/>
    <s v="Innovatieprogramma visserij"/>
    <x v="46"/>
    <x v="113"/>
    <x v="160"/>
    <x v="159"/>
    <x v="46"/>
    <x v="46"/>
    <x v="46"/>
    <n v="100"/>
    <x v="23"/>
    <s v="Landbouw"/>
    <s v="SO"/>
    <s v="Proj."/>
  </r>
  <r>
    <x v="8"/>
    <s v="16.02"/>
    <s v="Europees fonds voor maritieme zaken en visserij"/>
    <x v="46"/>
    <x v="166"/>
    <x v="161"/>
    <x v="160"/>
    <x v="158"/>
    <x v="155"/>
    <x v="46"/>
    <n v="100"/>
    <x v="23"/>
    <s v="Landbouw"/>
    <s v="SO"/>
    <s v="Proj."/>
  </r>
  <r>
    <x v="8"/>
    <s v="16.40"/>
    <s v="Kennisbasis: kennisbasis"/>
    <x v="172"/>
    <x v="167"/>
    <x v="162"/>
    <x v="161"/>
    <x v="159"/>
    <x v="156"/>
    <x v="153"/>
    <n v="100"/>
    <x v="24"/>
    <s v="Landbouw"/>
    <s v="DLO"/>
    <s v="Inst."/>
  </r>
  <r>
    <x v="8"/>
    <s v="16.40"/>
    <s v="Kennisbasis: autonome bijdragen"/>
    <x v="173"/>
    <x v="168"/>
    <x v="163"/>
    <x v="162"/>
    <x v="160"/>
    <x v="157"/>
    <x v="154"/>
    <n v="100"/>
    <x v="24"/>
    <s v="Landbouw"/>
    <s v="DLO"/>
    <s v="Inst."/>
  </r>
  <r>
    <x v="8"/>
    <s v="16.40"/>
    <s v="Wettelijke onderzoekstaken"/>
    <x v="174"/>
    <x v="169"/>
    <x v="164"/>
    <x v="163"/>
    <x v="161"/>
    <x v="158"/>
    <x v="155"/>
    <n v="100"/>
    <x v="24"/>
    <s v="Landbouw"/>
    <s v="DLO"/>
    <s v="Proj."/>
  </r>
  <r>
    <x v="8"/>
    <s v="16.40"/>
    <s v="Onderzoeksprogrammering"/>
    <x v="175"/>
    <x v="170"/>
    <x v="165"/>
    <x v="164"/>
    <x v="162"/>
    <x v="159"/>
    <x v="156"/>
    <n v="100"/>
    <x v="23"/>
    <s v="Landbouw "/>
    <s v="DLO"/>
    <s v="Proj."/>
  </r>
  <r>
    <x v="8"/>
    <s v="16.40"/>
    <s v="Topsectoren"/>
    <x v="176"/>
    <x v="171"/>
    <x v="166"/>
    <x v="165"/>
    <x v="163"/>
    <x v="160"/>
    <x v="157"/>
    <n v="100"/>
    <x v="23"/>
    <s v="Landbouw "/>
    <s v="DLO"/>
    <s v="Proj."/>
  </r>
  <r>
    <x v="8"/>
    <s v="16.40"/>
    <s v="Bijdrage aan ZonMw voor dierproeven"/>
    <x v="46"/>
    <x v="172"/>
    <x v="167"/>
    <x v="71"/>
    <x v="164"/>
    <x v="161"/>
    <x v="158"/>
    <n v="100"/>
    <x v="23"/>
    <s v="Landbouw "/>
    <s v="ZonMW"/>
    <s v="Proj."/>
  </r>
  <r>
    <x v="8"/>
    <s v="16.40"/>
    <s v="Agrokennis: onderzoeksprojecten"/>
    <x v="177"/>
    <x v="173"/>
    <x v="168"/>
    <x v="166"/>
    <x v="165"/>
    <x v="162"/>
    <x v="159"/>
    <n v="100"/>
    <x v="23"/>
    <s v="Landbouw "/>
    <s v="O"/>
    <s v="Proj."/>
  </r>
  <r>
    <x v="8"/>
    <s v="16.40"/>
    <s v="Agrokennis: Onderzoeksprojecten RVO"/>
    <x v="178"/>
    <x v="174"/>
    <x v="169"/>
    <x v="46"/>
    <x v="46"/>
    <x v="46"/>
    <x v="46"/>
    <n v="100"/>
    <x v="23"/>
    <s v="Landbouw"/>
    <s v="O"/>
    <s v="Proj."/>
  </r>
  <r>
    <x v="8"/>
    <s v="16.40"/>
    <s v="Agrokennis: innovatieprojecten"/>
    <x v="179"/>
    <x v="175"/>
    <x v="170"/>
    <x v="167"/>
    <x v="166"/>
    <x v="163"/>
    <x v="160"/>
    <n v="100"/>
    <x v="23"/>
    <s v="Landbouw "/>
    <s v="O"/>
    <s v="Proj."/>
  </r>
  <r>
    <x v="8"/>
    <s v="16.40"/>
    <s v="Agrokennis: basisfinanciering overige kennisinstellingen"/>
    <x v="46"/>
    <x v="176"/>
    <x v="171"/>
    <x v="168"/>
    <x v="167"/>
    <x v="164"/>
    <x v="161"/>
    <n v="100"/>
    <x v="23"/>
    <s v="Landbouw "/>
    <s v="O"/>
    <s v="Proj."/>
  </r>
  <r>
    <x v="8"/>
    <s v="16.40"/>
    <s v="Agrokennis: vernieuwen onderzoeksinfrastructuur"/>
    <x v="180"/>
    <x v="177"/>
    <x v="172"/>
    <x v="169"/>
    <x v="168"/>
    <x v="165"/>
    <x v="162"/>
    <n v="100"/>
    <x v="23"/>
    <s v="Landbouw "/>
    <s v="O"/>
    <s v="Proj."/>
  </r>
  <r>
    <x v="8"/>
    <s v="16.40"/>
    <s v="Agrokennis: RVO vernieuwen onderzoeksinfrastructuur"/>
    <x v="181"/>
    <x v="46"/>
    <x v="46"/>
    <x v="46"/>
    <x v="46"/>
    <x v="46"/>
    <x v="46"/>
    <n v="100"/>
    <x v="23"/>
    <s v="Landbouw "/>
    <s v="O"/>
    <s v="Proj."/>
  </r>
  <r>
    <x v="8"/>
    <s v="16.40"/>
    <s v="Agrokennis: ontwikkelen kennisbeleid"/>
    <x v="182"/>
    <x v="178"/>
    <x v="173"/>
    <x v="170"/>
    <x v="169"/>
    <x v="166"/>
    <x v="163"/>
    <n v="100"/>
    <x v="23"/>
    <s v="Landbouw "/>
    <s v="O"/>
    <s v="Proj."/>
  </r>
  <r>
    <x v="8"/>
    <s v="16.40"/>
    <s v="Agrokennis: innovatienetwerk kpl. 290100"/>
    <x v="46"/>
    <x v="46"/>
    <x v="46"/>
    <x v="46"/>
    <x v="46"/>
    <x v="46"/>
    <x v="46"/>
    <n v="100"/>
    <x v="23"/>
    <s v="Landbouw "/>
    <s v="O"/>
    <s v="Proj."/>
  </r>
  <r>
    <x v="8"/>
    <s v="16.40"/>
    <s v="Opdrachtverlening via RIVM"/>
    <x v="183"/>
    <x v="179"/>
    <x v="174"/>
    <x v="171"/>
    <x v="170"/>
    <x v="167"/>
    <x v="164"/>
    <n v="100"/>
    <x v="23"/>
    <s v="Landbouw "/>
    <s v="O"/>
    <s v="Proj."/>
  </r>
  <r>
    <x v="8"/>
    <n v="40"/>
    <s v="Centraal Plan Bureau"/>
    <x v="46"/>
    <x v="46"/>
    <x v="46"/>
    <x v="46"/>
    <x v="46"/>
    <x v="46"/>
    <x v="46"/>
    <n v="0"/>
    <x v="0"/>
    <s v="Politieke en soc. systemen, structuren/processen"/>
    <s v="R"/>
    <s v="Inst."/>
  </r>
  <r>
    <x v="9"/>
    <n v="1"/>
    <s v="Arbeidsmarkt"/>
    <x v="184"/>
    <x v="180"/>
    <x v="175"/>
    <x v="172"/>
    <x v="171"/>
    <x v="168"/>
    <x v="165"/>
    <n v="100"/>
    <x v="18"/>
    <s v="Gezondheid"/>
    <s v="TNO/RIVM"/>
    <s v="Inst."/>
  </r>
  <r>
    <x v="9"/>
    <n v="1"/>
    <s v="Arbeidsmarkt"/>
    <x v="185"/>
    <x v="181"/>
    <x v="176"/>
    <x v="173"/>
    <x v="172"/>
    <x v="169"/>
    <x v="166"/>
    <n v="100"/>
    <x v="0"/>
    <s v="Politieke en soc. systemen, structuren/processen"/>
    <s v="Proj."/>
    <s v="Proj."/>
  </r>
  <r>
    <x v="9"/>
    <n v="1"/>
    <s v="Arbeidsmarkt"/>
    <x v="186"/>
    <x v="182"/>
    <x v="177"/>
    <x v="174"/>
    <x v="173"/>
    <x v="46"/>
    <x v="46"/>
    <n v="100"/>
    <x v="0"/>
    <s v="Politieke en soc. systemen, structuren/processen"/>
    <s v="Netspar"/>
    <s v="Proj."/>
  </r>
  <r>
    <x v="9"/>
    <n v="3"/>
    <s v="Arbeidsongeschiktheid"/>
    <x v="46"/>
    <x v="46"/>
    <x v="2"/>
    <x v="116"/>
    <x v="117"/>
    <x v="170"/>
    <x v="46"/>
    <n v="100"/>
    <x v="0"/>
    <s v="Politieke en soc. systemen, structuren/processen"/>
    <s v="Proj."/>
    <s v="Proj."/>
  </r>
  <r>
    <x v="9"/>
    <n v="13"/>
    <s v="Integratie en maatschappelijke samenhang"/>
    <x v="187"/>
    <x v="183"/>
    <x v="178"/>
    <x v="175"/>
    <x v="174"/>
    <x v="171"/>
    <x v="167"/>
    <n v="100"/>
    <x v="0"/>
    <s v="Politieke en soc. systemen, structuren/processen"/>
    <s v="Proj."/>
    <s v="Proj."/>
  </r>
  <r>
    <x v="9"/>
    <n v="98"/>
    <s v="Algemeen"/>
    <x v="188"/>
    <x v="184"/>
    <x v="179"/>
    <x v="176"/>
    <x v="175"/>
    <x v="172"/>
    <x v="168"/>
    <n v="100"/>
    <x v="0"/>
    <s v="Politieke en soc. systemen, structuren/processen"/>
    <s v="Proj."/>
    <s v="Proj."/>
  </r>
  <r>
    <x v="10"/>
    <s v="BKZ"/>
    <s v="Beschikbaarheidsbijdrage academische zorg"/>
    <x v="189"/>
    <x v="185"/>
    <x v="180"/>
    <x v="177"/>
    <x v="176"/>
    <x v="173"/>
    <x v="169"/>
    <n v="3.1"/>
    <x v="12"/>
    <s v="Medische wetenschappen"/>
    <s v="UMC"/>
    <s v="Inst."/>
  </r>
  <r>
    <x v="10"/>
    <s v="1.1"/>
    <s v="Nationaal programma preventie"/>
    <x v="190"/>
    <x v="186"/>
    <x v="181"/>
    <x v="178"/>
    <x v="177"/>
    <x v="174"/>
    <x v="170"/>
    <n v="27.9"/>
    <x v="18"/>
    <s v="Gezondheid"/>
    <s v="SO"/>
    <s v="Proj."/>
  </r>
  <r>
    <x v="10"/>
    <s v="1.2"/>
    <s v="Ziektepreventie (FES RSV)"/>
    <x v="46"/>
    <x v="46"/>
    <x v="46"/>
    <x v="46"/>
    <x v="46"/>
    <x v="46"/>
    <x v="46"/>
    <n v="0"/>
    <x v="18"/>
    <s v="Gezondheid"/>
    <s v="SO"/>
    <s v="Proj."/>
  </r>
  <r>
    <x v="10"/>
    <s v="1.2"/>
    <s v="Ziektepreventie (vaccinonderzoek RIVM en InTraVacc)"/>
    <x v="191"/>
    <x v="187"/>
    <x v="182"/>
    <x v="179"/>
    <x v="178"/>
    <x v="175"/>
    <x v="171"/>
    <n v="7.5"/>
    <x v="12"/>
    <s v="Medische wetenschappen"/>
    <s v="RIVM"/>
    <s v="Inst."/>
  </r>
  <r>
    <x v="10"/>
    <s v="1.4.1"/>
    <s v="Ethiek"/>
    <x v="192"/>
    <x v="188"/>
    <x v="183"/>
    <x v="180"/>
    <x v="179"/>
    <x v="176"/>
    <x v="172"/>
    <n v="11.4"/>
    <x v="18"/>
    <s v="Gezondheid"/>
    <s v="Proj."/>
    <s v="Proj."/>
  </r>
  <r>
    <x v="10"/>
    <s v="2.1"/>
    <s v="Kwaliteit en veiligheid (NKI)"/>
    <x v="193"/>
    <x v="189"/>
    <x v="184"/>
    <x v="181"/>
    <x v="180"/>
    <x v="177"/>
    <x v="173"/>
    <n v="12.3"/>
    <x v="18"/>
    <s v="Gezondheid"/>
    <s v="SO"/>
    <s v="Inst."/>
  </r>
  <r>
    <x v="10"/>
    <s v="2.1"/>
    <s v="Kwaliteit en veiligheid (FES Lifelines)"/>
    <x v="46"/>
    <x v="46"/>
    <x v="46"/>
    <x v="46"/>
    <x v="46"/>
    <x v="46"/>
    <x v="46"/>
    <n v="0"/>
    <x v="18"/>
    <s v="Gezondheid"/>
    <s v="SO"/>
    <s v="Proj."/>
  </r>
  <r>
    <x v="10"/>
    <s v="2.1"/>
    <s v="Kwaliteit en veiligheid (FES LSH)"/>
    <x v="194"/>
    <x v="190"/>
    <x v="46"/>
    <x v="46"/>
    <x v="46"/>
    <x v="46"/>
    <x v="46"/>
    <n v="0"/>
    <x v="18"/>
    <s v="Gezondheid"/>
    <s v="SO"/>
    <s v="Proj."/>
  </r>
  <r>
    <x v="10"/>
    <s v="2.1"/>
    <s v="Kwaliteit en Veiligheid / Instellingssubsidie Nictiz"/>
    <x v="126"/>
    <x v="191"/>
    <x v="185"/>
    <x v="182"/>
    <x v="181"/>
    <x v="178"/>
    <x v="174"/>
    <n v="27.6"/>
    <x v="18"/>
    <s v="Gezondheid"/>
    <s v="SO"/>
    <s v="Inst."/>
  </r>
  <r>
    <x v="10"/>
    <s v="4.3"/>
    <s v="Kwaliteit, transparantie en kennisontwikkeling (ZonMw: programmering)"/>
    <x v="195"/>
    <x v="192"/>
    <x v="186"/>
    <x v="183"/>
    <x v="182"/>
    <x v="179"/>
    <x v="175"/>
    <n v="58.6"/>
    <x v="18"/>
    <s v="Gezondheid"/>
    <s v="ZonMw"/>
    <s v="Proj."/>
  </r>
  <r>
    <x v="10"/>
    <s v="4.3"/>
    <s v="Kwaliteit, transparantie en kennisontwikkeling (NIVEL)"/>
    <x v="196"/>
    <x v="193"/>
    <x v="187"/>
    <x v="184"/>
    <x v="183"/>
    <x v="180"/>
    <x v="176"/>
    <n v="13.8"/>
    <x v="18"/>
    <s v="Gezondheid"/>
    <s v="NIVEL"/>
    <s v="Inst."/>
  </r>
  <r>
    <x v="10"/>
    <s v="4.3"/>
    <s v="ZonMW: Kwaliteit, transparantie en kennisontwikkeling"/>
    <x v="197"/>
    <x v="194"/>
    <x v="188"/>
    <x v="185"/>
    <x v="184"/>
    <x v="181"/>
    <x v="177"/>
    <n v="5.9"/>
    <x v="18"/>
    <s v="Gezondheid"/>
    <s v="ZonMw"/>
    <s v="Proj."/>
  </r>
  <r>
    <x v="10"/>
    <s v="4.3"/>
    <s v="Fast track: kwaliteit, transparantie en kennisontwikkeling"/>
    <x v="198"/>
    <x v="46"/>
    <x v="46"/>
    <x v="46"/>
    <x v="46"/>
    <x v="46"/>
    <x v="46"/>
    <n v="0"/>
    <x v="18"/>
    <s v="Gezondheid"/>
    <s v="SO"/>
    <s v="Proj."/>
  </r>
  <r>
    <x v="10"/>
    <s v="6.4"/>
    <s v="Sport verenigt Nederland"/>
    <x v="46"/>
    <x v="46"/>
    <x v="46"/>
    <x v="186"/>
    <x v="185"/>
    <x v="182"/>
    <x v="178"/>
    <n v="0"/>
    <x v="18"/>
    <s v="Gezondheid"/>
    <s v="Proj."/>
    <s v="Proj."/>
  </r>
  <r>
    <x v="10"/>
    <s v="9.3"/>
    <s v="Strategisch onderzoek RIVM"/>
    <x v="199"/>
    <x v="195"/>
    <x v="189"/>
    <x v="187"/>
    <x v="186"/>
    <x v="183"/>
    <x v="179"/>
    <n v="69.400000000000006"/>
    <x v="12"/>
    <s v="Medische wetenschappen"/>
    <s v="RIVM"/>
    <s v="Inst."/>
  </r>
  <r>
    <x v="10"/>
    <s v="10.2"/>
    <s v="Personele en materiële uitgaven SCP en raden (was: SCP (eigen onderzoek))"/>
    <x v="200"/>
    <x v="196"/>
    <x v="190"/>
    <x v="188"/>
    <x v="187"/>
    <x v="184"/>
    <x v="180"/>
    <n v="28.4"/>
    <x v="0"/>
    <s v="Politieke en soc. systemen, structuren/processen"/>
    <s v="SCP"/>
    <s v="Inst."/>
  </r>
  <r>
    <x v="10"/>
    <s v="10.2"/>
    <s v="Personele en materiële uitgaven SCP en raden (was:SCP (uitbesteding))"/>
    <x v="201"/>
    <x v="197"/>
    <x v="191"/>
    <x v="189"/>
    <x v="188"/>
    <x v="185"/>
    <x v="181"/>
    <n v="14.3"/>
    <x v="0"/>
    <s v="Politieke en soc. systemen, structuren/processen"/>
    <s v="SO"/>
    <s v="Proj."/>
  </r>
  <r>
    <x v="10"/>
    <s v="10.2"/>
    <s v="Personele en materiële uitgaven SCP en raden (was:SCP (uitbesteding))"/>
    <x v="159"/>
    <x v="198"/>
    <x v="192"/>
    <x v="190"/>
    <x v="189"/>
    <x v="186"/>
    <x v="182"/>
    <n v="0.4"/>
    <x v="0"/>
    <s v="Politieke en soc. systemen, structuren/processen"/>
    <s v="O"/>
    <s v="Proj."/>
  </r>
  <r>
    <x v="10"/>
    <s v="10.2"/>
    <s v="Personele en materiële uitgaven SCP en raden (was:SCP (uitbesteding))"/>
    <x v="202"/>
    <x v="199"/>
    <x v="193"/>
    <x v="191"/>
    <x v="190"/>
    <x v="187"/>
    <x v="183"/>
    <n v="0.3"/>
    <x v="0"/>
    <s v="Politieke en soc. systemen, structuren/processen"/>
    <s v="U"/>
    <s v="Proj."/>
  </r>
</pivotCacheRecords>
</file>

<file path=xl/pivotCache/pivotCacheRecords2.xml><?xml version="1.0" encoding="utf-8"?>
<pivotCacheRecords xmlns="http://schemas.openxmlformats.org/spreadsheetml/2006/main" xmlns:r="http://schemas.openxmlformats.org/officeDocument/2006/relationships" count="281">
  <r>
    <s v="AZ"/>
    <s v="1-2"/>
    <s v="Eenheid van het algemeen regeringsbeleid"/>
    <n v="0.625"/>
    <n v="0.59399999999999997"/>
    <n v="0.59399999999999997"/>
    <n v="0.59399999999999997"/>
    <n v="0.59399999999999997"/>
    <n v="0.59399999999999997"/>
    <n v="0.59399999999999997"/>
    <n v="80"/>
    <x v="0"/>
    <s v="Politieke en soc. systemen, structuren/processen"/>
    <s v="R"/>
    <s v="Proj."/>
  </r>
  <r>
    <s v="BuZa"/>
    <n v="5"/>
    <s v="Stichting Instituut Clingendael"/>
    <n v="0.31"/>
    <n v="0.34"/>
    <n v="0.24199999999999999"/>
    <n v="0.24199999999999999"/>
    <n v="0.24199999999999999"/>
    <n v="0.24199999999999999"/>
    <n v="0.24199999999999999"/>
    <n v="10"/>
    <x v="0"/>
    <s v="Politieke en soc. systemen, structuren/processen"/>
    <s v="SO"/>
    <s v="Inst."/>
  </r>
  <r>
    <s v="BuZa"/>
    <n v="17"/>
    <s v="Onderzoeksprogramma"/>
    <n v="1.454"/>
    <n v="1.425"/>
    <n v="3"/>
    <n v="3"/>
    <n v="3"/>
    <n v="3"/>
    <n v="3"/>
    <n v="100"/>
    <x v="0"/>
    <s v="Politieke en soc. systemen, structuren/processen"/>
    <s v="IO"/>
    <s v="Proj."/>
  </r>
  <r>
    <s v="BuZa"/>
    <n v="17"/>
    <s v="Landenspecifieke sectorale samenwerking"/>
    <n v="23.565000000000001"/>
    <n v="25.038"/>
    <n v="25.088249999999999"/>
    <n v="24.434999999999999"/>
    <n v="24.21"/>
    <n v="24.192499999999999"/>
    <n v="24.192499999999999"/>
    <n v="5"/>
    <x v="0"/>
    <s v="Politieke en soc. systemen, structuren/processen"/>
    <s v="IO"/>
    <s v="Proj."/>
  </r>
  <r>
    <s v="BuZa"/>
    <n v="17"/>
    <s v="Thematische samenwerking"/>
    <n v="4.9779999999999998"/>
    <n v="5.9790000000000001"/>
    <n v="4.9172500000000001"/>
    <n v="4.8903500000000006"/>
    <n v="4.8778500000000005"/>
    <n v="4.8778500000000005"/>
    <n v="4.8778500000000005"/>
    <n v="5"/>
    <x v="0"/>
    <s v="Politieke en soc. systemen, structuren/processen"/>
    <s v="IO"/>
    <s v="Proj."/>
  </r>
  <r>
    <s v="BuZa"/>
    <s v="5 en 17"/>
    <s v="COVID-aanvulling"/>
    <n v="12.688844048"/>
    <n v="6.5243712225000001"/>
    <n v="3.7508499999999998"/>
    <n v="0.16"/>
    <n v="0.05"/>
    <n v="0"/>
    <n v="0"/>
    <n v="5"/>
    <x v="0"/>
    <s v="Politieke en soc. systemen, structuren/processen"/>
    <m/>
    <s v="Proj."/>
  </r>
  <r>
    <s v="BuZa"/>
    <n v="17"/>
    <s v="Speciale activiteiten"/>
    <n v="7.0259999999999998"/>
    <n v="8.8390000000000004"/>
    <n v="7.9914499999999995"/>
    <n v="8.0878499999999995"/>
    <n v="7.8378500000000004"/>
    <n v="7.8378500000000004"/>
    <n v="7.8378500000000004"/>
    <n v="5"/>
    <x v="0"/>
    <s v="Politieke en soc. systemen, structuren/processen"/>
    <s v="IO"/>
    <s v="Proj."/>
  </r>
  <r>
    <s v="J&amp;V"/>
    <m/>
    <s v="uitgevoerd door universiteiten"/>
    <n v="2.4729999999999999"/>
    <n v="2.492"/>
    <n v="2.694"/>
    <n v="2.7069999999999999"/>
    <n v="2.7069999999999999"/>
    <n v="2.6789999999999998"/>
    <n v="2.6789999999999998"/>
    <n v="10"/>
    <x v="0"/>
    <s v="Politieke en soc. systemen, structuren/processen"/>
    <s v="U"/>
    <s v="Proj."/>
  </r>
  <r>
    <s v="J&amp;V"/>
    <m/>
    <s v="uitgevoerd door onderzoeksinstituten"/>
    <n v="2.4729999999999999"/>
    <n v="2.4929999999999999"/>
    <n v="2.6949999999999998"/>
    <n v="2.7069999999999999"/>
    <n v="2.7080000000000002"/>
    <n v="2.68"/>
    <n v="2.68"/>
    <n v="10"/>
    <x v="0"/>
    <s v="Politieke en soc. systemen, structuren/processen"/>
    <s v="SO"/>
    <s v="Proj."/>
  </r>
  <r>
    <s v="J&amp;V"/>
    <m/>
    <s v="Uitgevoerd door eigen diensten/kenniscentra (WODC)"/>
    <n v="7.0970000000000004"/>
    <n v="7"/>
    <n v="7"/>
    <n v="7"/>
    <n v="7"/>
    <n v="7"/>
    <n v="7"/>
    <n v="15"/>
    <x v="0"/>
    <s v="Politieke en soc. systemen, structuren/processen"/>
    <s v="R"/>
    <s v="Proj."/>
  </r>
  <r>
    <s v="J&amp;V"/>
    <s v="33.3"/>
    <s v="Nederlands Forensisch Instituut (opsporing en vervolging)"/>
    <n v="11.365"/>
    <n v="11.51"/>
    <n v="11.303000000000001"/>
    <n v="11.308"/>
    <n v="11.315"/>
    <n v="11.315"/>
    <n v="11.315"/>
    <n v="15"/>
    <x v="0"/>
    <s v="Politieke en soc. systemen, structuren/processen"/>
    <s v="R"/>
    <s v="Proj."/>
  </r>
  <r>
    <s v="BZK"/>
    <s v="H7: artikel 3.1, 4.1 en 4.2"/>
    <s v="Woningmarkt/Energietransitie en duurzaamheid/Bouwregelgeving en bouwkwaliteit"/>
    <n v="0.88400000000000001"/>
    <n v="1.012"/>
    <n v="1.0193333333333332"/>
    <n v="0.91133333333333333"/>
    <n v="0.91066666666666674"/>
    <n v="0.91066666666666674"/>
    <n v="0.92099999999999993"/>
    <n v="80"/>
    <x v="1"/>
    <m/>
    <s v="R/SO"/>
    <s v="Proj."/>
  </r>
  <r>
    <s v="BZK"/>
    <s v="H7: artikel 3.1, 4.1 en 4.2"/>
    <s v="Woningmarkt/Energietransitie en duurzaamheid/Bouwregelgeving en bouwkwaliteit"/>
    <n v="0.88400000000000001"/>
    <n v="1.012"/>
    <n v="1.0193333333333332"/>
    <n v="0.91133333333333333"/>
    <n v="0.91066666666666674"/>
    <n v="0.91066666666666674"/>
    <n v="0.92099999999999993"/>
    <n v="80"/>
    <x v="2"/>
    <m/>
    <s v="R/SO"/>
    <s v="Proj."/>
  </r>
  <r>
    <s v="BZK"/>
    <s v="H7: artikel 3.1, 4.1 en 4.2"/>
    <s v="Woningmarkt/Energietransitie en duurzaamheid/Bouwregelgeving en bouwkwaliteit"/>
    <n v="0.88400000000000001"/>
    <n v="1.012"/>
    <n v="1.0193333333333332"/>
    <n v="0.91133333333333333"/>
    <n v="0.91066666666666674"/>
    <n v="0.91066666666666674"/>
    <n v="0.92099999999999993"/>
    <n v="80"/>
    <x v="3"/>
    <m/>
    <s v="R/SO"/>
    <s v="Proj."/>
  </r>
  <r>
    <s v="BZK"/>
    <s v="H7: artikel 3.1, 4.1 en 4.2"/>
    <s v="Woningmarkt/Energietransitie en duurzaamheid/Bouwregelgeving en bouwkwaliteit"/>
    <n v="6.3E-2"/>
    <n v="7.2333333333333333E-2"/>
    <n v="7.2666666666666671E-2"/>
    <n v="6.5000000000000002E-2"/>
    <n v="6.5000000000000002E-2"/>
    <n v="6.5000000000000002E-2"/>
    <n v="6.5666666666666665E-2"/>
    <n v="80"/>
    <x v="1"/>
    <m/>
    <s v="U"/>
    <s v="Proj."/>
  </r>
  <r>
    <s v="BZK"/>
    <s v="H7: artikel 3.1, 4.1 en 4.2"/>
    <s v="Woningmarkt/Energietransitie en duurzaamheid/Bouwregelgeving en bouwkwaliteit"/>
    <n v="6.3E-2"/>
    <n v="7.2333333333333333E-2"/>
    <n v="7.2666666666666671E-2"/>
    <n v="6.5000000000000002E-2"/>
    <n v="6.5000000000000002E-2"/>
    <n v="6.5000000000000002E-2"/>
    <n v="6.5666666666666665E-2"/>
    <n v="80"/>
    <x v="2"/>
    <m/>
    <s v="U"/>
    <s v="Proj."/>
  </r>
  <r>
    <s v="BZK"/>
    <s v="H7: artikel 3.1, 4.1 en 4.2"/>
    <s v="Woningmarkt/Energietransitie en duurzaamheid/Bouwregelgeving en bouwkwaliteit"/>
    <n v="6.3E-2"/>
    <n v="7.2333333333333333E-2"/>
    <n v="7.2666666666666671E-2"/>
    <n v="6.5000000000000002E-2"/>
    <n v="6.5000000000000002E-2"/>
    <n v="6.5000000000000002E-2"/>
    <n v="6.5666666666666665E-2"/>
    <n v="80"/>
    <x v="3"/>
    <m/>
    <s v="U"/>
    <s v="Proj."/>
  </r>
  <r>
    <s v="BZK"/>
    <s v="H7: artikel 3.1, 4.1 en 4.2"/>
    <s v="Woningmarkt/Energietransitie en duurzaamheid/Bouwregelgeving en bouwkwaliteit"/>
    <n v="2.21"/>
    <n v="2.5303333333333335"/>
    <n v="2.5486666666666666"/>
    <n v="2.2786666666666666"/>
    <n v="2.2763333333333331"/>
    <n v="2.2766666666666668"/>
    <n v="2.3023333333333333"/>
    <n v="80"/>
    <x v="1"/>
    <m/>
    <s v="O"/>
    <s v="Proj."/>
  </r>
  <r>
    <s v="BZK"/>
    <s v="H7: artikel 3.1, 4.1 en 4.2"/>
    <s v="Woningmarkt/Energietransitie en duurzaamheid/Bouwregelgeving en bouwkwaliteit"/>
    <n v="2.21"/>
    <n v="2.5303333333333335"/>
    <n v="2.5486666666666666"/>
    <n v="2.2786666666666666"/>
    <n v="2.2763333333333331"/>
    <n v="2.2766666666666668"/>
    <n v="2.3023333333333333"/>
    <n v="80"/>
    <x v="2"/>
    <m/>
    <s v="O"/>
    <s v="Proj."/>
  </r>
  <r>
    <s v="BZK"/>
    <s v="H7: artikel 3.1, 4.1 en 4.2"/>
    <s v="Woningmarkt/Energietransitie en duurzaamheid/Bouwregelgeving en bouwkwaliteit"/>
    <n v="2.21"/>
    <n v="2.5303333333333335"/>
    <n v="2.5486666666666666"/>
    <n v="2.2786666666666666"/>
    <n v="2.2763333333333331"/>
    <n v="2.2766666666666668"/>
    <n v="2.3023333333333333"/>
    <n v="80"/>
    <x v="3"/>
    <m/>
    <s v="O"/>
    <s v="Proj."/>
  </r>
  <r>
    <s v="OCW"/>
    <n v="7"/>
    <s v="Wetenschappelijk HO - natuurwetenschappen"/>
    <n v="526.74569904467785"/>
    <n v="591.98315548522726"/>
    <n v="615.43580152595302"/>
    <n v="594.81999396870174"/>
    <n v="606.55540815048073"/>
    <n v="616.2546694191401"/>
    <n v="622.10457313381016"/>
    <n v="100"/>
    <x v="4"/>
    <s v="Natuurwetenschappen"/>
    <s v="U"/>
    <s v="Inst."/>
  </r>
  <r>
    <s v="OCW"/>
    <n v="7"/>
    <s v="Wetenschappelijk HO - technische wetenschappen"/>
    <n v="543.10703724989378"/>
    <n v="610.37084547728773"/>
    <n v="634.55195816591493"/>
    <n v="613.29579948585501"/>
    <n v="625.39572937370349"/>
    <n v="635.39626105471768"/>
    <n v="641.42786962871037"/>
    <n v="100"/>
    <x v="5"/>
    <s v="Technische wetenschappen"/>
    <s v="U"/>
    <s v="Inst."/>
  </r>
  <r>
    <s v="OCW"/>
    <n v="7"/>
    <s v="Wetenschappelijk HO - medische wetenschappen (incl. umc)"/>
    <n v="1131.8434107264875"/>
    <n v="1259.9233129225713"/>
    <n v="1300.9471661428206"/>
    <n v="1254.9113988061181"/>
    <n v="1275.5756627757282"/>
    <n v="1292.728696146808"/>
    <n v="1303.2509365785409"/>
    <n v="100"/>
    <x v="6"/>
    <s v="Medische wetenschappen"/>
    <s v="U"/>
    <s v="Inst."/>
  </r>
  <r>
    <s v="OCW"/>
    <n v="7"/>
    <s v="Wetenschappelijk HO - landbouwwetenschappen"/>
    <n v="138.10771583403323"/>
    <n v="155.21235686321859"/>
    <n v="161.36141774937877"/>
    <n v="155.95614895084893"/>
    <n v="159.03306301004534"/>
    <n v="161.57611712804098"/>
    <n v="163.10990628160667"/>
    <n v="100"/>
    <x v="7"/>
    <s v="landbouwwetenschappen"/>
    <s v="U"/>
    <s v="Inst."/>
  </r>
  <r>
    <s v="OCW"/>
    <n v="7"/>
    <s v="Wetenschappelijk HO - sociale wetenschappen"/>
    <n v="603.13280738511025"/>
    <n v="677.83080742766015"/>
    <n v="704.68448705486207"/>
    <n v="681.07903586453062"/>
    <n v="694.5162852129738"/>
    <n v="705.62210475575853"/>
    <n v="712.32034426062887"/>
    <n v="100"/>
    <x v="8"/>
    <s v="Sociale wetenschappen"/>
    <s v="U"/>
    <s v="Inst."/>
  </r>
  <r>
    <s v="OCW"/>
    <n v="7"/>
    <s v="Wetenschappelijk HO - geesteswetenschappen"/>
    <n v="267.69299193023056"/>
    <n v="300.8467698009589"/>
    <n v="312.76544137000775"/>
    <n v="302.28845557578603"/>
    <n v="308.25241150282704"/>
    <n v="313.18159132001284"/>
    <n v="316.15452157976421"/>
    <n v="100"/>
    <x v="9"/>
    <s v="Geesteswetenschappen"/>
    <s v="U"/>
    <s v="Inst."/>
  </r>
  <r>
    <s v="OCW"/>
    <n v="6"/>
    <s v="Onderzoekscomponent hogescholen (HBO Bekostiging Deel ontwerp en ontwikkeling)(incl. groen)"/>
    <n v="13.645332628080499"/>
    <n v="13.960693359842002"/>
    <n v="13.966596664180395"/>
    <n v="13.966596664180395"/>
    <n v="13.966596664180395"/>
    <n v="13.966596664180395"/>
    <n v="13.966596664180395"/>
    <n v="100"/>
    <x v="4"/>
    <s v="Onderzoek uit algemene universitaire fondsen"/>
    <m/>
    <s v="Inst."/>
  </r>
  <r>
    <s v="OCW"/>
    <n v="6"/>
    <s v="Onderzoekscomponent hogescholen (HBO Bekostiging Deel ontwerp en ontwikkeling)(incl. groen)"/>
    <n v="13.645332628080499"/>
    <n v="13.960693359842002"/>
    <n v="13.966596664180395"/>
    <n v="13.966596664180395"/>
    <n v="13.966596664180395"/>
    <n v="13.966596664180395"/>
    <n v="13.966596664180395"/>
    <n v="100"/>
    <x v="5"/>
    <s v="Onderzoek uit algemene universitaire fondsen"/>
    <m/>
    <s v="Inst."/>
  </r>
  <r>
    <s v="OCW"/>
    <n v="6"/>
    <s v="Onderzoekscomponent hogescholen (HBO Bekostiging Deel ontwerp en ontwikkeling)(incl. groen)"/>
    <n v="16.12473374342343"/>
    <n v="16.497396541127671"/>
    <n v="16.504372494976323"/>
    <n v="16.504372494976323"/>
    <n v="16.504372494976323"/>
    <n v="16.504372494976323"/>
    <n v="16.504372494976323"/>
    <n v="100"/>
    <x v="6"/>
    <s v="Onderzoek uit algemene universitaire fondsen"/>
    <m/>
    <s v="Inst."/>
  </r>
  <r>
    <s v="OCW"/>
    <n v="6"/>
    <s v="Onderzoekscomponent hogescholen (HBO Bekostiging Deel ontwerp en ontwikkeling)(incl. groen)"/>
    <n v="11.671413322170821"/>
    <n v="11.941154305867787"/>
    <n v="11.946203644478864"/>
    <n v="11.946203644478864"/>
    <n v="11.946203644478864"/>
    <n v="11.946203644478864"/>
    <n v="11.946203644478864"/>
    <n v="100"/>
    <x v="7"/>
    <s v="Onderzoek uit algemene universitaire fondsen"/>
    <m/>
    <s v="Inst."/>
  </r>
  <r>
    <s v="OCW"/>
    <n v="6"/>
    <s v="Onderzoekscomponent hogescholen (HBO Bekostiging Deel ontwerp en ontwikkeling)(incl. groen)"/>
    <n v="29.470149824305196"/>
    <n v="30.15124190663294"/>
    <n v="30.163991413592768"/>
    <n v="30.163991413592768"/>
    <n v="30.163991413592768"/>
    <n v="30.163991413592768"/>
    <n v="30.163991413592768"/>
    <n v="100"/>
    <x v="8"/>
    <s v="Onderzoek uit algemene universitaire fondsen"/>
    <m/>
    <s v="Inst."/>
  </r>
  <r>
    <s v="OCW"/>
    <n v="6"/>
    <s v="Onderzoekscomponent hogescholen (HBO Bekostiging Deel ontwerp en ontwikkeling)(incl. groen)"/>
    <n v="3.2790378539395602"/>
    <n v="3.3548205266876052"/>
    <n v="3.356239118591263"/>
    <n v="3.356239118591263"/>
    <n v="3.356239118591263"/>
    <n v="3.356239118591263"/>
    <n v="3.356239118591263"/>
    <n v="100"/>
    <x v="9"/>
    <s v="Onderzoek uit algemene universitaire fondsen"/>
    <m/>
    <s v="Inst."/>
  </r>
  <r>
    <s v="OCW"/>
    <n v="6"/>
    <s v="NWO: Praktijkgericht onderzoek hbo"/>
    <n v="9.4010121588903335"/>
    <n v="9.1462379716544397"/>
    <n v="8.8981438393277799"/>
    <n v="8.5798314553970787"/>
    <n v="8.5798314553970787"/>
    <n v="8.2691312270606225"/>
    <n v="8.2691312270606225"/>
    <n v="100"/>
    <x v="4"/>
    <s v="Onderzoek uit algemene universitaire fondsen"/>
    <m/>
    <s v="Proj."/>
  </r>
  <r>
    <s v="OCW"/>
    <n v="6"/>
    <s v="NWO: Praktijkgericht onderzoek hbo"/>
    <n v="9.4010121588903335"/>
    <n v="9.1462379716544397"/>
    <n v="8.8981438393277799"/>
    <n v="8.5798314553970787"/>
    <n v="8.5798314553970787"/>
    <n v="8.2691312270606225"/>
    <n v="8.2691312270606225"/>
    <n v="100"/>
    <x v="5"/>
    <s v="Onderzoek uit algemene universitaire fondsen"/>
    <m/>
    <s v="Proj."/>
  </r>
  <r>
    <s v="OCW"/>
    <n v="6"/>
    <s v="NWO: Praktijkgericht onderzoek hbo"/>
    <n v="11.109206503976377"/>
    <n v="10.808139022087238"/>
    <n v="10.514965382711045"/>
    <n v="10.13881460808248"/>
    <n v="10.13881460808248"/>
    <n v="9.7716591423640171"/>
    <n v="9.7716591423640171"/>
    <n v="100"/>
    <x v="6"/>
    <s v="Onderzoek uit algemene universitaire fondsen"/>
    <m/>
    <s v="Proj."/>
  </r>
  <r>
    <s v="OCW"/>
    <n v="6"/>
    <s v="NWO: Praktijkgericht onderzoek hbo"/>
    <n v="8.0410717381388856"/>
    <n v="7.823152913871386"/>
    <n v="7.6109478148743142"/>
    <n v="7.3386821618718097"/>
    <n v="7.3386821618718097"/>
    <n v="7.0729274981309551"/>
    <n v="7.0729274981309551"/>
    <n v="100"/>
    <x v="7"/>
    <s v="Onderzoek uit algemene universitaire fondsen"/>
    <m/>
    <s v="Proj."/>
  </r>
  <r>
    <s v="OCW"/>
    <n v="6"/>
    <s v="NWO: Praktijkgericht onderzoek hbo"/>
    <n v="20.303589833528722"/>
    <n v="19.753347954209758"/>
    <n v="19.217533148555866"/>
    <n v="18.530066312748207"/>
    <n v="18.530066312748207"/>
    <n v="17.85903963065191"/>
    <n v="17.85903963065191"/>
    <n v="100"/>
    <x v="8"/>
    <s v="Onderzoek uit algemene universitaire fondsen"/>
    <m/>
    <s v="Proj."/>
  </r>
  <r>
    <s v="OCW"/>
    <n v="6"/>
    <s v="NWO: Praktijkgericht onderzoek hbo"/>
    <n v="2.2591076065753506"/>
    <n v="2.1978841665227424"/>
    <n v="2.1382659752032209"/>
    <n v="2.0617740065033465"/>
    <n v="2.0617740065033465"/>
    <n v="1.9871112747318735"/>
    <n v="1.9871112747318735"/>
    <n v="100"/>
    <x v="9"/>
    <s v="Onderzoek uit algemene universitaire fondsen"/>
    <m/>
    <s v="Proj."/>
  </r>
  <r>
    <s v="OCW"/>
    <n v="7"/>
    <s v="NUFFIC"/>
    <n v="2.3397000000000001"/>
    <n v="2.1352499999999996"/>
    <n v="2.17605"/>
    <n v="2.1683999999999997"/>
    <n v="2.1683999999999997"/>
    <n v="2.1683999999999997"/>
    <n v="2.1683999999999997"/>
    <n v="15"/>
    <x v="0"/>
    <s v="Politieke en soc. systemen, structuren/processen"/>
    <s v="SO"/>
    <s v="Inst."/>
  </r>
  <r>
    <s v="OCW"/>
    <n v="7"/>
    <s v="UNU-MERIT"/>
    <n v="0.75750000000000006"/>
    <n v="0.77400000000000002"/>
    <n v="0.77400000000000002"/>
    <n v="0.77400000000000002"/>
    <n v="0.77400000000000002"/>
    <n v="0.77400000000000002"/>
    <n v="0.77400000000000002"/>
    <n v="75"/>
    <x v="10"/>
    <s v="Sociale wetenschappen"/>
    <s v="SO"/>
    <s v="Inst."/>
  </r>
  <r>
    <s v="OCW"/>
    <n v="16"/>
    <s v="KNAW"/>
    <n v="10.882700528853178"/>
    <n v="10.924502299488676"/>
    <n v="10.745459338170603"/>
    <n v="10.431521825825824"/>
    <n v="10.657068243681518"/>
    <n v="10.592541357617076"/>
    <n v="10.60658982095609"/>
    <n v="75"/>
    <x v="10"/>
    <s v="Niet in te delen wetenschappen"/>
    <s v="KNAW"/>
    <s v="Inst."/>
  </r>
  <r>
    <s v="OCW"/>
    <n v="16"/>
    <s v="KNAW"/>
    <n v="31.177736717311905"/>
    <n v="31.297494179693203"/>
    <n v="30.78455584290236"/>
    <n v="29.88515949549549"/>
    <n v="30.531325106208907"/>
    <n v="30.346462694570246"/>
    <n v="30.38670999257365"/>
    <n v="75"/>
    <x v="11"/>
    <s v="Niet in te delen wetenschappen"/>
    <s v="KNAW"/>
    <s v="Inst."/>
  </r>
  <r>
    <s v="OCW"/>
    <n v="16"/>
    <s v="KNAW"/>
    <n v="10.977429918188459"/>
    <n v="11.019595555880205"/>
    <n v="10.838994099926955"/>
    <n v="10.522323891891892"/>
    <n v="10.749833597662528"/>
    <n v="10.684745031848065"/>
    <n v="10.698915781227173"/>
    <n v="75"/>
    <x v="12"/>
    <s v="Niet in te delen wetenschappen"/>
    <s v="KNAW"/>
    <s v="Inst."/>
  </r>
  <r>
    <s v="OCW"/>
    <n v="16"/>
    <s v="KNAW"/>
    <n v="19.456592835646457"/>
    <n v="19.531327964937912"/>
    <n v="19.211226719000081"/>
    <n v="18.649954786786786"/>
    <n v="19.05319705244704"/>
    <n v="18.937832915964613"/>
    <n v="18.96294940524308"/>
    <n v="75"/>
    <x v="13"/>
    <s v="Niet in te delen wetenschappen"/>
    <s v="KNAW"/>
    <s v="Inst."/>
  </r>
  <r>
    <s v="OCW"/>
    <n v="16"/>
    <s v="NWO CWI"/>
    <n v="11.190443605299597"/>
    <n v="11.441665185081828"/>
    <n v="11.677185416127667"/>
    <n v="11.677185416127667"/>
    <n v="11.677185416127667"/>
    <n v="11.677185416127667"/>
    <n v="11.677185416127667"/>
    <n v="89"/>
    <x v="11"/>
    <s v="Niet in te delen wetenschappen"/>
    <s v="NWO"/>
    <s v="Inst."/>
  </r>
  <r>
    <s v="OCW"/>
    <n v="16"/>
    <s v="NWO FOM-instituten"/>
    <n v="61.219558723182011"/>
    <n v="50.561113757421253"/>
    <n v="54.358069325379873"/>
    <n v="54.358069325379873"/>
    <n v="54.358069325379873"/>
    <n v="54.358069325379873"/>
    <n v="54.358069325379873"/>
    <n v="89"/>
    <x v="11"/>
    <s v="Niet in te delen wetenschappen"/>
    <s v="NWO"/>
    <s v="Inst."/>
  </r>
  <r>
    <s v="OCW"/>
    <n v="16"/>
    <s v="NWO Ruimte-onderzoek (SRON)"/>
    <n v="15.611758687716993"/>
    <n v="17.626149369720824"/>
    <n v="18.392744631556305"/>
    <n v="18.392744631556305"/>
    <n v="18.392744631556305"/>
    <n v="18.392744631556305"/>
    <n v="18.392744631556305"/>
    <n v="89"/>
    <x v="11"/>
    <s v="Niet in te delen wetenschappen"/>
    <s v="NWO"/>
    <s v="Inst."/>
  </r>
  <r>
    <s v="OCW"/>
    <n v="16"/>
    <s v="NWO Sterrenkundig onderzoek (ASTRON)"/>
    <n v="10.780361320655077"/>
    <n v="14.596712672346884"/>
    <n v="25.057505365778976"/>
    <n v="25.057505365778976"/>
    <n v="25.057505365778976"/>
    <n v="25.057505365778976"/>
    <n v="25.057505365778976"/>
    <n v="89"/>
    <x v="11"/>
    <s v="Niet in te delen wetenschappen"/>
    <s v="NWO"/>
    <s v="Inst."/>
  </r>
  <r>
    <s v="OCW"/>
    <n v="16"/>
    <s v="NWO Zee-onderzoek (NIOZ/SOZ)"/>
    <n v="20.694377634561139"/>
    <n v="21.320584366518315"/>
    <n v="22.720775230304564"/>
    <n v="22.720775230304564"/>
    <n v="22.720775230304564"/>
    <n v="22.720775230304564"/>
    <n v="22.720775230304564"/>
    <n v="89"/>
    <x v="11"/>
    <s v="Niet in te delen wetenschappen"/>
    <s v="NWO"/>
    <s v="Inst."/>
  </r>
  <r>
    <s v="OCW"/>
    <n v="16"/>
    <s v="NWO Rechtswetenschappen (NSCR)"/>
    <n v="2.0735016419525913"/>
    <n v="1.9395783733186824"/>
    <n v="1.9515852870582742"/>
    <n v="1.9515852870582742"/>
    <n v="1.9515852870582742"/>
    <n v="1.9515852870582742"/>
    <n v="1.9515852870582742"/>
    <n v="89"/>
    <x v="10"/>
    <s v="Niet in te delen wetenschappen"/>
    <s v="NWO"/>
    <s v="Inst."/>
  </r>
  <r>
    <s v="OCW"/>
    <n v="16"/>
    <s v="NWO natuurwetenschappen"/>
    <n v="147.59008061188263"/>
    <n v="164.80984761674787"/>
    <n v="156.93644696202156"/>
    <n v="155.36293907191137"/>
    <n v="155.31740202408866"/>
    <n v="155.76059923210536"/>
    <n v="155.60685533797144"/>
    <n v="89"/>
    <x v="11"/>
    <s v="Niet in te delen wetenschappen"/>
    <s v="NWO"/>
    <s v="Proj."/>
  </r>
  <r>
    <s v="OCW"/>
    <n v="16"/>
    <s v="NWO technische wetenschappen"/>
    <n v="62.730214834703077"/>
    <n v="70.049132739892968"/>
    <n v="66.70270110639126"/>
    <n v="66.033913017235847"/>
    <n v="66.014558404913586"/>
    <n v="66.202930522861934"/>
    <n v="66.137584752546189"/>
    <n v="89"/>
    <x v="14"/>
    <s v="Niet in te delen wetenschappen"/>
    <s v="NWO"/>
    <s v="Proj."/>
  </r>
  <r>
    <s v="OCW"/>
    <n v="16"/>
    <s v="NWO medische wetenschappen"/>
    <n v="30.377853161923209"/>
    <n v="33.922126268812555"/>
    <n v="32.301576920355807"/>
    <n v="31.977708328125718"/>
    <n v="31.968335626745993"/>
    <n v="32.059557066907068"/>
    <n v="32.027912599872565"/>
    <n v="89"/>
    <x v="12"/>
    <s v="Niet in te delen wetenschappen"/>
    <s v="NWO"/>
    <s v="Proj."/>
  </r>
  <r>
    <s v="OCW"/>
    <n v="16"/>
    <s v="NWO sociale wetenschappen"/>
    <n v="36.024422829525264"/>
    <n v="40.227497758662672"/>
    <n v="38.305724201007436"/>
    <n v="37.921655615070499"/>
    <n v="37.910540736222465"/>
    <n v="38.018718220456272"/>
    <n v="37.981191748305996"/>
    <n v="89"/>
    <x v="10"/>
    <s v="Niet in te delen wetenschappen"/>
    <s v="NWO"/>
    <s v="Proj."/>
  </r>
  <r>
    <s v="OCW"/>
    <n v="16"/>
    <s v="NWO geesteswetenschappen"/>
    <n v="25.621676221129611"/>
    <n v="28.611032233219401"/>
    <n v="27.244207840290752"/>
    <n v="26.971046463017604"/>
    <n v="26.963141219721159"/>
    <n v="27.040080369824164"/>
    <n v="27.013390389981723"/>
    <n v="89"/>
    <x v="13"/>
    <s v="Niet in te delen wetenschappen"/>
    <s v="NWO"/>
    <s v="Proj."/>
  </r>
  <r>
    <s v="OCW"/>
    <n v="17"/>
    <s v="NWO NWA natuurwetenschappen"/>
    <n v="66.252473118279568"/>
    <n v="60.265150537634412"/>
    <n v="59.79254838709678"/>
    <n v="59.872784946236557"/>
    <n v="58.726548387096777"/>
    <n v="58.626913978494628"/>
    <n v="58.582827956989249"/>
    <n v="100"/>
    <x v="11"/>
    <s v="Niet in te delen wetenschappen"/>
    <s v="NWO"/>
    <s v="Proj."/>
  </r>
  <r>
    <s v="OCW"/>
    <n v="18"/>
    <s v="NWO NWA technische wetenschappen"/>
    <n v="12.604129032258065"/>
    <n v="11.46507741935484"/>
    <n v="11.375167741935485"/>
    <n v="11.390432258064516"/>
    <n v="11.172367741935485"/>
    <n v="11.153412903225808"/>
    <n v="11.145025806451615"/>
    <n v="100"/>
    <x v="14"/>
    <s v="Niet in te delen wetenschappen"/>
    <s v="NWO"/>
    <s v="Proj."/>
  </r>
  <r>
    <s v="OCW"/>
    <n v="19"/>
    <s v="NWO NWA medische wetenschappen"/>
    <n v="11.634580645161291"/>
    <n v="10.583148387096776"/>
    <n v="10.500154838709678"/>
    <n v="10.514245161290322"/>
    <n v="10.312954838709679"/>
    <n v="10.295458064516129"/>
    <n v="10.28771612903226"/>
    <n v="100"/>
    <x v="12"/>
    <s v="Niet in te delen wetenschappen"/>
    <s v="NWO"/>
    <s v="Proj."/>
  </r>
  <r>
    <s v="OCW"/>
    <n v="20"/>
    <s v="NWO NWA sociale wetenschappen"/>
    <n v="45.891956989247312"/>
    <n v="41.744640860215057"/>
    <n v="41.417277419354839"/>
    <n v="41.472855913978492"/>
    <n v="40.678877419354841"/>
    <n v="40.609862365591397"/>
    <n v="40.579324731182794"/>
    <n v="100"/>
    <x v="10"/>
    <s v="Niet in te delen wetenschappen"/>
    <s v="NWO"/>
    <s v="Proj."/>
  </r>
  <r>
    <s v="OCW"/>
    <n v="21"/>
    <s v="NWO NWA geesteswetenschappen"/>
    <n v="13.896860215053763"/>
    <n v="12.640982795698925"/>
    <n v="12.541851612903226"/>
    <n v="12.558681720430107"/>
    <n v="12.318251612903225"/>
    <n v="12.297352688172042"/>
    <n v="12.288105376344086"/>
    <n v="100"/>
    <x v="13"/>
    <s v="Niet in te delen wetenschappen"/>
    <s v="NWO"/>
    <s v="Proj."/>
  </r>
  <r>
    <s v="OCW"/>
    <n v="16"/>
    <s v="Koninklijke Bibliotheek (hoofdbekostiging, zie ook art. 14)"/>
    <n v="5.1595000000000004"/>
    <n v="5.0899000000000001"/>
    <n v="5.0335000000000001"/>
    <n v="5.0979999999999999"/>
    <n v="5.0979999999999999"/>
    <n v="5.0354000000000001"/>
    <n v="5.0354000000000001"/>
    <n v="10"/>
    <x v="15"/>
    <s v="Cultuur, recreatie, religie en massamedia"/>
    <s v="R"/>
    <s v="Inst."/>
  </r>
  <r>
    <s v="OCW"/>
    <n v="16"/>
    <s v="NWO VI Exacte en Natuurwetenschappen"/>
    <n v="60.573758949880663"/>
    <n v="61.916069212410498"/>
    <n v="61.916069212410498"/>
    <n v="61.916069212410498"/>
    <n v="61.916069212410498"/>
    <n v="61.916069212410498"/>
    <n v="61.916069212410498"/>
    <n v="100"/>
    <x v="11"/>
    <s v="Niet in te delen wetenschappen"/>
    <s v="NWO"/>
    <s v="Proj."/>
  </r>
  <r>
    <s v="OCW"/>
    <n v="16"/>
    <s v="NWO VI Technische wetenschappen"/>
    <n v="16.232183770883054"/>
    <n v="16.591887828162292"/>
    <n v="16.591887828162292"/>
    <n v="16.591887828162292"/>
    <n v="16.591887828162292"/>
    <n v="16.591887828162292"/>
    <n v="16.591887828162292"/>
    <n v="100"/>
    <x v="14"/>
    <s v="Niet in te delen wetenschappen"/>
    <s v="NWO"/>
    <s v="Proj."/>
  </r>
  <r>
    <s v="OCW"/>
    <n v="16"/>
    <s v="NWO VI Medische wetenschappen"/>
    <n v="27.555121718377087"/>
    <n v="28.165741288782815"/>
    <n v="28.165741288782815"/>
    <n v="28.165741288782815"/>
    <n v="28.165741288782815"/>
    <n v="28.165741288782815"/>
    <n v="28.165741288782815"/>
    <n v="100"/>
    <x v="12"/>
    <s v="Niet in te delen wetenschappen"/>
    <s v="NWO"/>
    <s v="Proj."/>
  </r>
  <r>
    <s v="OCW"/>
    <n v="16"/>
    <s v="NWO VI Sociale wetenschappen"/>
    <n v="38.416017900414282"/>
    <n v="39.267314170733627"/>
    <n v="39.267314170733627"/>
    <n v="39.267314170733627"/>
    <n v="39.267314170733627"/>
    <n v="39.267314170733627"/>
    <n v="39.267314170733627"/>
    <n v="100"/>
    <x v="10"/>
    <s v="Niet in te delen wetenschappen"/>
    <s v="NWO"/>
    <s v="Proj."/>
  </r>
  <r>
    <s v="OCW"/>
    <n v="16"/>
    <s v="NWO VI Geesteswetenschappen"/>
    <n v="23.107917660444897"/>
    <n v="23.619987499910771"/>
    <n v="23.619987499910771"/>
    <n v="23.619987499910771"/>
    <n v="23.619987499910771"/>
    <n v="23.619987499910771"/>
    <n v="23.619987499910771"/>
    <n v="100"/>
    <x v="13"/>
    <s v="Niet in te delen wetenschappen"/>
    <s v="NWO"/>
    <s v="Proj."/>
  </r>
  <r>
    <s v="OCW"/>
    <n v="16"/>
    <s v="NWO STW"/>
    <n v="8"/>
    <n v="8.1769999999999996"/>
    <n v="8.1769999999999996"/>
    <n v="8.1769999999999996"/>
    <n v="8.1769999999999996"/>
    <n v="8.1769999999999996"/>
    <n v="8.1769999999999996"/>
    <n v="100"/>
    <x v="14"/>
    <s v="Technische wetenschappen"/>
    <s v="STW"/>
    <s v="Proj."/>
  </r>
  <r>
    <s v="OCW"/>
    <n v="16"/>
    <s v="NWO Grootschalige researchinfrastructuur"/>
    <n v="55.38"/>
    <n v="56.607999999999997"/>
    <n v="56.607999999999997"/>
    <n v="56.607999999999997"/>
    <n v="56.607999999999997"/>
    <n v="56.607999999999997"/>
    <n v="56.607999999999997"/>
    <n v="100"/>
    <x v="16"/>
    <s v="Niet in te delen wetenschappen"/>
    <s v="NWO"/>
    <s v="Proj."/>
  </r>
  <r>
    <s v="OCW"/>
    <n v="16"/>
    <s v="NWO Regieorgaan onderwijsonderzoek"/>
    <n v="33.869"/>
    <n v="33.392000000000003"/>
    <n v="30.834"/>
    <n v="21.375"/>
    <n v="20.353999999999999"/>
    <n v="18.922000000000001"/>
    <n v="16.439"/>
    <n v="100"/>
    <x v="17"/>
    <s v="Onderwijs"/>
    <s v="NWO"/>
    <s v="Proj."/>
  </r>
  <r>
    <s v="OCW"/>
    <n v="16"/>
    <s v="Naturalis - Biodiversity center"/>
    <n v="6.1587299999999994"/>
    <n v="6.2901000000000007"/>
    <n v="6.2901000000000007"/>
    <n v="6.2901000000000007"/>
    <n v="6.2901000000000007"/>
    <n v="6.2901000000000007"/>
    <n v="6.2901000000000007"/>
    <n v="87"/>
    <x v="11"/>
    <s v="Natuurwetenschappen"/>
    <s v="Naturalis"/>
    <s v="Inst."/>
  </r>
  <r>
    <s v="OCW"/>
    <n v="16"/>
    <s v="Primatencentrum (BPRC)"/>
    <n v="11.17788"/>
    <n v="10.699639999999999"/>
    <n v="10.699639999999999"/>
    <n v="10.699639999999999"/>
    <n v="10.699639999999999"/>
    <n v="10.699639999999999"/>
    <n v="10.699639999999999"/>
    <n v="98"/>
    <x v="18"/>
    <s v="Gezondheid"/>
    <s v="SO"/>
    <s v="Inst."/>
  </r>
  <r>
    <s v="OCW"/>
    <n v="16"/>
    <s v="STT"/>
    <n v="0.221"/>
    <n v="0.23100000000000001"/>
    <n v="0.23100000000000001"/>
    <n v="0.23100000000000001"/>
    <n v="0.23100000000000001"/>
    <n v="0.23100000000000001"/>
    <n v="0.23100000000000001"/>
    <n v="100"/>
    <x v="14"/>
    <s v="Technische wetenschappen"/>
    <s v="SO"/>
    <s v="Inst."/>
  </r>
  <r>
    <s v="OCW"/>
    <n v="16"/>
    <s v="Caribisch Nederland "/>
    <n v="2.5"/>
    <n v="2.5550000000000002"/>
    <n v="2.5550000000000002"/>
    <n v="2.5550000000000002"/>
    <n v="2.5550000000000002"/>
    <n v="2.5550000000000002"/>
    <n v="2.5550000000000002"/>
    <n v="100"/>
    <x v="1"/>
    <s v="Exploratie en exploitatie van het aards milieu"/>
    <s v="NWO"/>
    <s v="Proj."/>
  </r>
  <r>
    <s v="OCW"/>
    <n v="16"/>
    <s v="Poolonderzoek"/>
    <n v="3.1469999999999998"/>
    <n v="3.2170000000000001"/>
    <n v="3.181"/>
    <n v="1.534"/>
    <n v="1.534"/>
    <n v="1.534"/>
    <n v="1.534"/>
    <n v="100"/>
    <x v="11"/>
    <s v="Natuurwetenschappen"/>
    <s v="NWO"/>
    <s v="Proj."/>
  </r>
  <r>
    <s v="OCW"/>
    <n v="16"/>
    <s v="Nationale coördinatie"/>
    <n v="0.1885"/>
    <n v="1.9095"/>
    <n v="2.3929999999999998"/>
    <n v="2.5145"/>
    <n v="2.5145"/>
    <n v="2.4860000000000002"/>
    <n v="2.7509999999999999"/>
    <n v="50"/>
    <x v="16"/>
    <s v="Niet in te delen wetenschappen"/>
    <s v="Proj."/>
    <s v="Proj."/>
  </r>
  <r>
    <s v="OCW"/>
    <n v="16"/>
    <s v="EMBC"/>
    <n v="1.228"/>
    <n v="1.357"/>
    <n v="1.264"/>
    <n v="1.2649999999999999"/>
    <n v="1.3420000000000001"/>
    <n v="0.95899999999999996"/>
    <n v="0.95899999999999996"/>
    <n v="100"/>
    <x v="11"/>
    <s v="Natuurwetenschappen"/>
    <s v="IO"/>
    <s v="Inst."/>
  </r>
  <r>
    <s v="OCW"/>
    <n v="16"/>
    <s v="EMBL"/>
    <n v="5.2409999999999997"/>
    <n v="5.3289999999999997"/>
    <n v="5.3289999999999997"/>
    <n v="5.3289999999999997"/>
    <n v="5.3289999999999997"/>
    <n v="5.3289999999999997"/>
    <n v="5.3289999999999997"/>
    <n v="100"/>
    <x v="11"/>
    <s v="Natuurwetenschappen"/>
    <s v="IO"/>
    <s v="Inst."/>
  </r>
  <r>
    <s v="OCW"/>
    <n v="16"/>
    <s v="ESA"/>
    <n v="31.146000000000001"/>
    <n v="33.387"/>
    <n v="33.387"/>
    <n v="33.387"/>
    <n v="33.387"/>
    <n v="33.387"/>
    <n v="33.387"/>
    <n v="100"/>
    <x v="2"/>
    <s v="Exploratie en exploitatie van de ruimte"/>
    <s v="IO"/>
    <s v="Proj."/>
  </r>
  <r>
    <s v="OCW"/>
    <n v="16"/>
    <s v="CERN"/>
    <n v="50.530999999999999"/>
    <n v="51.636000000000003"/>
    <n v="51.417000000000002"/>
    <n v="47.116"/>
    <n v="47.072000000000003"/>
    <n v="47.072000000000003"/>
    <n v="47.072000000000003"/>
    <n v="100"/>
    <x v="11"/>
    <s v="Natuurwetenschappen"/>
    <s v="IO"/>
    <s v="Inst."/>
  </r>
  <r>
    <s v="OCW"/>
    <n v="16"/>
    <s v="ESO"/>
    <n v="9.0809999999999995"/>
    <n v="9.4420000000000002"/>
    <n v="15.869"/>
    <n v="9.6310000000000002"/>
    <n v="9.6310000000000002"/>
    <n v="10.096"/>
    <n v="10.096"/>
    <n v="100"/>
    <x v="11"/>
    <s v="Natuurwetenschappen"/>
    <s v="IO"/>
    <s v="Inst."/>
  </r>
  <r>
    <s v="OCW"/>
    <s v="14.4"/>
    <s v="Rijksdienst voor het Cultureel Erfgoed (RCE)"/>
    <n v="11.27115"/>
    <n v="10.103670000000001"/>
    <n v="9.7216200000000015"/>
    <n v="9.7119"/>
    <n v="9.7075800000000001"/>
    <n v="10.313460000000001"/>
    <n v="10.308870000000001"/>
    <n v="27"/>
    <x v="15"/>
    <s v="Cultuur, recreatie, religie en massamedia"/>
    <s v="R"/>
    <s v="Inst."/>
  </r>
  <r>
    <s v="OCW"/>
    <s v="14.4"/>
    <s v="Rijksbureau voor Kunsthistorisch onderzoek (RKD)"/>
    <n v="0.35705999999999999"/>
    <n v="0.36443999999999999"/>
    <n v="0.36443999999999999"/>
    <n v="0.36443999999999999"/>
    <n v="0.36443999999999999"/>
    <n v="0.36443999999999999"/>
    <n v="0.36443999999999999"/>
    <n v="6"/>
    <x v="15"/>
    <s v="Cultuur, recreatie, religie en massamedia"/>
    <s v="R"/>
    <s v="Inst."/>
  </r>
  <r>
    <s v="OCW"/>
    <s v="14.4"/>
    <s v="Culturele zaken: onderzoek"/>
    <n v="1.3420000000000001"/>
    <n v="1.6339999999999999"/>
    <n v="2.0680000000000001"/>
    <n v="1.94"/>
    <n v="1.94"/>
    <n v="1.94"/>
    <n v="1.94"/>
    <n v="100"/>
    <x v="15"/>
    <s v="Cultuur, recreatie, religie en massamedia"/>
    <s v="Proj."/>
    <s v="Proj."/>
  </r>
  <r>
    <s v="OCW"/>
    <s v="14.4"/>
    <s v="Subsidie Boekmanstichting"/>
    <n v="0.80500000000000005"/>
    <n v="1.361"/>
    <n v="1.361"/>
    <n v="1.361"/>
    <n v="1.361"/>
    <n v="1.361"/>
    <n v="1.361"/>
    <n v="100"/>
    <x v="15"/>
    <s v="Cultuur, recreatie, religie en massamedia"/>
    <s v="SO"/>
    <s v="Inst."/>
  </r>
  <r>
    <s v="OCW"/>
    <s v="div."/>
    <s v="Onderwijsonderzoek"/>
    <n v="7.2"/>
    <n v="7.4"/>
    <n v="8.1"/>
    <n v="7"/>
    <n v="6.9"/>
    <n v="5.2"/>
    <n v="4.9000000000000004"/>
    <s v="div."/>
    <x v="17"/>
    <s v="Onderwijs"/>
    <s v="U/HBO/NWO/SO"/>
    <s v="Proj."/>
  </r>
  <r>
    <s v="Def"/>
    <s v="U0945"/>
    <s v="Programmafinanciering TNO (zie verdeling onder EZK)"/>
    <m/>
    <m/>
    <m/>
    <m/>
    <m/>
    <m/>
    <m/>
    <n v="100"/>
    <x v="19"/>
    <s v="Defensie"/>
    <s v="TNO"/>
    <s v="Inst."/>
  </r>
  <r>
    <s v="Def"/>
    <s v="U0945"/>
    <s v="Programmafinanciering NLR"/>
    <n v="0.53400000000000003"/>
    <n v="0.6"/>
    <n v="0.6"/>
    <n v="0.6"/>
    <n v="0.6"/>
    <n v="0.6"/>
    <n v="0.6"/>
    <n v="100"/>
    <x v="19"/>
    <s v="Defensie"/>
    <s v="TO2"/>
    <s v="Inst."/>
  </r>
  <r>
    <s v="Def"/>
    <s v="U0945"/>
    <s v="Programmafinanciering MARIN"/>
    <n v="1.9"/>
    <n v="2"/>
    <n v="2"/>
    <n v="2"/>
    <n v="2"/>
    <n v="2"/>
    <n v="2"/>
    <n v="100"/>
    <x v="19"/>
    <s v="Defensie"/>
    <s v="TO2"/>
    <s v="Inst."/>
  </r>
  <r>
    <s v="Def"/>
    <s v="U0604"/>
    <s v="Technologie en kennistoepassing"/>
    <n v="31.812000000000001"/>
    <n v="25.349"/>
    <n v="24.128"/>
    <n v="24.128"/>
    <n v="24.128"/>
    <n v="24.128"/>
    <n v="24.128"/>
    <n v="100"/>
    <x v="19"/>
    <s v="Defensie"/>
    <s v="TNO/GTI/DGI"/>
    <s v="Proj."/>
  </r>
  <r>
    <s v="Def"/>
    <s v="U0604"/>
    <s v="Technologie en kennistoepassing"/>
    <n v="0.37"/>
    <m/>
    <m/>
    <m/>
    <m/>
    <m/>
    <m/>
    <n v="100"/>
    <x v="19"/>
    <s v="Defensie"/>
    <s v="U"/>
    <s v="Proj."/>
  </r>
  <r>
    <s v="Def"/>
    <s v="U0604"/>
    <s v="Contractonderzoek en kennistoepassing"/>
    <n v="9.8780000000000001"/>
    <n v="6.1070000000000002"/>
    <n v="5.1820000000000004"/>
    <n v="5.0970000000000004"/>
    <n v="5.1230000000000002"/>
    <n v="5.22"/>
    <n v="5.2220000000000004"/>
    <n v="100"/>
    <x v="19"/>
    <s v="Defensie"/>
    <s v="O"/>
    <s v="Proj."/>
  </r>
  <r>
    <s v="I&amp;W"/>
    <s v="IF 12.06.02"/>
    <s v="InfraQuest"/>
    <n v="3.3000000000000002E-2"/>
    <n v="0"/>
    <n v="0"/>
    <n v="0"/>
    <n v="0"/>
    <n v="0"/>
    <n v="0"/>
    <n v="4.7715787418937403E-3"/>
    <x v="20"/>
    <s v="Transport, telecommunicatie en ov. infrastructuren"/>
    <s v="TNO/TUD"/>
    <s v="Inst."/>
  </r>
  <r>
    <s v="I&amp;W"/>
    <s v="IF 12.06.02"/>
    <s v="Afdrachten CROW"/>
    <n v="0.09"/>
    <n v="0.09"/>
    <n v="0.09"/>
    <n v="0.09"/>
    <n v="0.09"/>
    <n v="0.09"/>
    <n v="0.09"/>
    <n v="1.30133965688011E-2"/>
    <x v="20"/>
    <s v="Transport, telecommunicatie en ov. infrastructuren"/>
    <s v="CROW"/>
    <s v="Inst."/>
  </r>
  <r>
    <s v="I&amp;W"/>
    <s v="IF 12.06.02"/>
    <s v="Basisfinanciering CUR"/>
    <n v="0.45"/>
    <n v="0.45"/>
    <n v="0.45"/>
    <n v="0.45"/>
    <n v="0.45"/>
    <n v="0.45"/>
    <n v="0.45"/>
    <n v="6.5066982844005528E-2"/>
    <x v="20"/>
    <s v="Transport, telecommunicatie en ov. infrastructuren"/>
    <s v="CUR"/>
    <s v="Inst."/>
  </r>
  <r>
    <s v="I&amp;W"/>
    <s v="IF 12.06.02"/>
    <s v="Vernieuwing bouw (exclusief bouwcampus)"/>
    <n v="0.36299999999999999"/>
    <n v="0.36299999999999999"/>
    <n v="0.36299999999999999"/>
    <n v="0.36299999999999999"/>
    <n v="0.36299999999999999"/>
    <n v="0.36299999999999999"/>
    <n v="0.36299999999999999"/>
    <n v="5.2487366160831113E-2"/>
    <x v="20"/>
    <s v="Transport, telecommunicatie en ov. infrastructuren"/>
    <s v="Vern.Bouw"/>
    <s v="Inst."/>
  </r>
  <r>
    <s v="I&amp;W"/>
    <s v="IF 12.06.02"/>
    <s v="PianOo"/>
    <n v="0.13"/>
    <n v="0.06"/>
    <n v="2.3E-2"/>
    <n v="0"/>
    <n v="0"/>
    <n v="0"/>
    <n v="0"/>
    <n v="1.8797128377157149E-2"/>
    <x v="20"/>
    <s v="Transport, telecommunicatie en ov. infrastructuren"/>
    <s v="PianOo"/>
    <s v="Inst."/>
  </r>
  <r>
    <s v="I&amp;W"/>
    <s v="IF 12.06.02"/>
    <s v="Centrum Ondergronds Bouwen"/>
    <n v="0.45"/>
    <n v="0.45"/>
    <n v="0.45"/>
    <n v="0.45"/>
    <n v="0.6"/>
    <n v="0.2"/>
    <n v="0.2"/>
    <n v="6.5066982844005528E-2"/>
    <x v="20"/>
    <s v="Transport, telecommunicatie en ov. infrastructuren"/>
    <s v="COB"/>
    <s v="Inst."/>
  </r>
  <r>
    <s v="I&amp;W"/>
    <s v="IF 12.06.02"/>
    <s v="NEN "/>
    <n v="0.7"/>
    <n v="0.69"/>
    <n v="0.67500000000000004"/>
    <n v="0.7"/>
    <n v="0"/>
    <n v="0"/>
    <n v="0"/>
    <n v="0.10121530664623081"/>
    <x v="20"/>
    <s v="Transport, telecommunicatie en ov. infrastructuren"/>
    <s v="NNI"/>
    <s v="Inst."/>
  </r>
  <r>
    <s v="I&amp;W"/>
    <s v="IF 12.06.02"/>
    <s v="Kennisontwikkeling (allianties) universiteiten"/>
    <n v="1.1639999999999999"/>
    <n v="0.96399999999999997"/>
    <n v="1.1659999999999999"/>
    <n v="1.1659999999999999"/>
    <n v="0"/>
    <n v="0"/>
    <n v="0"/>
    <n v="0.16859578221357874"/>
    <x v="20"/>
    <s v="Transport, telecommunicatie en ov. infrastructuren"/>
    <s v="TUD/TUE e.a."/>
    <s v="Inst."/>
  </r>
  <r>
    <s v="I&amp;W"/>
    <s v="DF 65.05.01"/>
    <s v="Kennisontwikkeling (allianties) universiteiten (HWS)"/>
    <n v="0.35"/>
    <n v="0.35"/>
    <n v="0.35"/>
    <n v="0.35"/>
    <n v="0"/>
    <n v="0"/>
    <n v="0"/>
    <n v="0.13542218834517952"/>
    <x v="20"/>
    <s v="Transport, telecommunicatie en ov. infrastructuren"/>
    <s v="TUD/TUE e.a."/>
    <s v="Inst."/>
  </r>
  <r>
    <s v="I&amp;W"/>
    <s v="98.02.18"/>
    <s v="Apparaat Planbureau Leefomgeving (PBL)"/>
    <n v="30.574999999999999"/>
    <n v="31.266999999999999"/>
    <n v="27.088000000000001"/>
    <n v="27.585000000000001"/>
    <n v="25.773"/>
    <n v="25.776"/>
    <n v="25.776"/>
    <n v="30.2"/>
    <x v="21"/>
    <s v="Milieubeheer en milieuzorg"/>
    <s v="PBL"/>
    <s v="Inst."/>
  </r>
  <r>
    <s v="I&amp;W"/>
    <s v="12.23U.01"/>
    <s v="Meteorologie, seismologie en Aardobservatie"/>
    <n v="5.008"/>
    <n v="8.1050210000000007"/>
    <n v="29.852"/>
    <n v="28.635999999999999"/>
    <n v="28.861000000000001"/>
    <n v="28.949000000000002"/>
    <n v="28.023"/>
    <n v="70.900000000000006"/>
    <x v="1"/>
    <s v="Exploratie en exploitatie van het aards milieu"/>
    <s v="KNMI"/>
    <s v="Inst."/>
  </r>
  <r>
    <s v="I&amp;W"/>
    <s v="1297U0101"/>
    <s v="Programma Planbureau Leefomgeving (PBL)"/>
    <n v="6.1180000000000003"/>
    <n v="6.7380000000000004"/>
    <n v="2.488"/>
    <n v="2.4260000000000002"/>
    <n v="2.4009999999999998"/>
    <n v="2.4009999999999998"/>
    <n v="2.4009999999999998"/>
    <n v="5.5"/>
    <x v="21"/>
    <s v="Milieubeheer en milieuzorg"/>
    <s v="PBL"/>
    <s v="Inst."/>
  </r>
  <r>
    <s v="I&amp;W"/>
    <s v="1297U01010005"/>
    <s v="Onderzoek / Kennis (KIS)"/>
    <n v="0.4"/>
    <n v="0.4"/>
    <n v="0.4"/>
    <n v="0.4"/>
    <n v="0.4"/>
    <n v="0.4"/>
    <n v="0.4"/>
    <n v="0.9"/>
    <x v="20"/>
    <s v="Transport, telecommunicatie en ov. infrastructuren"/>
    <s v="KIS"/>
    <s v="Inst."/>
  </r>
  <r>
    <s v="I&amp;W"/>
    <s v="1297U01010009"/>
    <s v="Onderzoek / Kennis (KiM)"/>
    <n v="0.77700000000000002"/>
    <n v="1.7"/>
    <n v="1.4590000000000001"/>
    <n v="1.679"/>
    <n v="1.6839999999999999"/>
    <n v="1.6910000000000001"/>
    <n v="1.6919999999999999"/>
    <n v="3.2"/>
    <x v="20"/>
    <s v="Transport, telecommunicatie en ov. infrastructuren"/>
    <s v="KiM"/>
    <s v="Inst."/>
  </r>
  <r>
    <s v="I&amp;W"/>
    <s v="1214U02020003"/>
    <s v="Veiligheid en mobiliteit (SWOV)"/>
    <n v="4.0339999999999998"/>
    <n v="4.1769999999999996"/>
    <n v="4.1310000000000002"/>
    <n v="4.1310000000000002"/>
    <n v="4.1310000000000002"/>
    <n v="4.1319999999999997"/>
    <n v="4.3650000000000002"/>
    <n v="25.178915925073124"/>
    <x v="20"/>
    <s v="Transport, telecommunicatie en ov. infrastructuren"/>
    <s v="SWOV"/>
    <s v="Inst."/>
  </r>
  <r>
    <s v="I&amp;W"/>
    <s v="1220u01070001"/>
    <s v="Beperken van verzuring en grootschalige luchtverontreiniging"/>
    <n v="0.35199999999999998"/>
    <n v="0.45700000000000002"/>
    <n v="0.46100000000000002"/>
    <n v="0.46300000000000002"/>
    <n v="0.46300000000000002"/>
    <n v="0.46300000000000002"/>
    <n v="0.46300000000000002"/>
    <n v="1.6"/>
    <x v="21"/>
    <s v="Milieubeheer en milieuzorg"/>
    <s v="ECN"/>
    <s v="Inst."/>
  </r>
  <r>
    <s v="I&amp;W"/>
    <s v="1297U01020003"/>
    <s v="Subsidies ASA"/>
    <n v="1"/>
    <n v="0.26200000000000001"/>
    <n v="0.39500000000000002"/>
    <n v="0.39500000000000002"/>
    <n v="0.377"/>
    <n v="0.377"/>
    <n v="0.377"/>
    <n v="0.9"/>
    <x v="20"/>
    <s v="Transport, telecommunicatie en ov. infrastructuren"/>
    <s v="NWO"/>
    <s v="Inst."/>
  </r>
  <r>
    <s v="I&amp;W"/>
    <s v="1219U02010001"/>
    <s v="Aandeel Kennisvragen in opdracht - RIVM"/>
    <n v="0.6"/>
    <n v="0.6"/>
    <n v="0.6"/>
    <n v="0.6"/>
    <n v="0.6"/>
    <n v="0.6"/>
    <n v="0.6"/>
    <n v="1.3"/>
    <x v="21"/>
    <s v="Milieubeheer en milieuzorg"/>
    <s v="RIVM"/>
    <s v="Inst."/>
  </r>
  <r>
    <s v="I&amp;W"/>
    <s v="1217U01020004"/>
    <s v="Mainports en logistiek (proj.)"/>
    <n v="3.6999999999999998E-2"/>
    <n v="3.9E-2"/>
    <n v="0.04"/>
    <n v="0.04"/>
    <n v="0.04"/>
    <n v="0.04"/>
    <n v="0.04"/>
    <n v="0.14031978139655107"/>
    <x v="20"/>
    <s v="Transport, telecommunicatie en ov. infrastructuren"/>
    <s v="KDC"/>
    <s v="Inst."/>
  </r>
  <r>
    <s v="I&amp;W"/>
    <s v="1297U01010009"/>
    <s v="KIRE (CPB)"/>
    <n v="0.1"/>
    <n v="0.1"/>
    <n v="0.1"/>
    <n v="0.1"/>
    <n v="0.1"/>
    <n v="0.1"/>
    <n v="0"/>
    <n v="0.17560804284836246"/>
    <x v="20"/>
    <s v="Transport, telecommunicatie en ov. infrastructuren"/>
    <s v="KIS"/>
    <s v="Inst."/>
  </r>
  <r>
    <s v="I&amp;W"/>
    <s v="1214U02010001"/>
    <s v="Veiligheid en mobiliteit Universiteit Utrecht Rijvaardiheid cat III medicijnen"/>
    <n v="0"/>
    <n v="0"/>
    <n v="0"/>
    <n v="0"/>
    <n v="0"/>
    <n v="0"/>
    <n v="0"/>
    <n v="0"/>
    <x v="20"/>
    <s v="Transport, telecommunicatie en ov. infrastructuren"/>
    <s v="U"/>
    <s v="Inst."/>
  </r>
  <r>
    <s v="I&amp;W"/>
    <s v="IF 12.06.02"/>
    <s v="Doorontwikkeling kennismanagement HWN"/>
    <n v="0.22500000000000001"/>
    <n v="0"/>
    <n v="0"/>
    <n v="0"/>
    <n v="0"/>
    <n v="0"/>
    <n v="0"/>
    <n v="3.2533491422002764E-2"/>
    <x v="20"/>
    <s v="Transport, telecommunicatie en ov. infrastructuren"/>
    <s v="SO"/>
    <s v="Proj."/>
  </r>
  <r>
    <s v="I&amp;W"/>
    <s v="IF 12.06.02"/>
    <s v="Traffic Quest"/>
    <n v="0"/>
    <n v="1.3"/>
    <n v="1.5"/>
    <n v="1.5"/>
    <n v="1.5"/>
    <n v="1.5"/>
    <n v="1.5"/>
    <n v="0.2"/>
    <x v="20"/>
    <s v="Transport, telecommunicatie en ov. infrastructuren"/>
    <s v="TNO/TUD"/>
    <s v="Proj."/>
  </r>
  <r>
    <s v="I&amp;W"/>
    <s v="1211U"/>
    <s v="Totaal integraal waterbeleid"/>
    <n v="7.9180000000000001"/>
    <n v="16.353000000000002"/>
    <n v="15.63"/>
    <n v="12.268000000000001"/>
    <n v="12.189"/>
    <n v="11.855"/>
    <n v="9.84"/>
    <n v="2.4"/>
    <x v="20"/>
    <s v="Transport, telecommunicatie en ov. infrastructuren"/>
    <s v="Deltares/WUR/U/KNMI/IO"/>
    <s v="Proj."/>
  </r>
  <r>
    <s v="I&amp;W"/>
    <s v="1213U0401"/>
    <s v="Ruimtegebruik bodem"/>
    <n v="2.3010000000000002"/>
    <n v="3.3780000000000001"/>
    <n v="3.1890000000000001"/>
    <n v="1.137"/>
    <n v="1.133"/>
    <n v="1.133"/>
    <n v="1.133"/>
    <n v="2.4"/>
    <x v="20"/>
    <s v="Transport, telecommunicatie en ov. infrastructuren"/>
    <s v="Deltares"/>
    <s v="Proj."/>
  </r>
  <r>
    <s v="I&amp;W"/>
    <s v="6501u0301"/>
    <s v="Studiekosten waterveiligheid"/>
    <n v="1.288"/>
    <n v="3.5419999999999998"/>
    <n v="2.0310000000000001"/>
    <n v="2.39"/>
    <n v="2.1139999999999999"/>
    <n v="1.9370000000000001"/>
    <n v="1.651"/>
    <n v="19"/>
    <x v="20"/>
    <s v="Transport, telecommunicatie en ov. infrastructuren"/>
    <s v="Proj."/>
    <s v="Proj."/>
  </r>
  <r>
    <s v="I&amp;W"/>
    <s v="6502u0301"/>
    <s v="Studiekosten zoetwatervoorziening"/>
    <n v="0.53800000000000003"/>
    <n v="1.776"/>
    <n v="1.774"/>
    <n v="1.9570000000000001"/>
    <n v="1.82"/>
    <n v="1.3819999999999999"/>
    <n v="0.83599999999999997"/>
    <n v="38"/>
    <x v="20"/>
    <s v="Transport, telecommunicatie en ov. infrastructuren"/>
    <s v="Proj."/>
    <s v="Proj."/>
  </r>
  <r>
    <s v="I&amp;W"/>
    <s v="DF 07"/>
    <s v="HWS - Waterkwaliteit (studiekosten &amp; overleg aanleg projecten"/>
    <n v="3.0979999999999999"/>
    <n v="7.8410000000000002"/>
    <n v="3.5979999999999999"/>
    <n v="2.7029999999999998"/>
    <n v="4.8079999999999998"/>
    <n v="4.2190000000000003"/>
    <n v="0"/>
    <n v="3.5"/>
    <x v="20"/>
    <s v="Transport, telecommunicatie en ov. infrastructuren"/>
    <s v="Deltares"/>
    <s v="Proj."/>
  </r>
  <r>
    <s v="EZK"/>
    <s v="11.06"/>
    <s v="Onderzoek &amp; opdrachten"/>
    <n v="1.681"/>
    <n v="1.9259999999999999"/>
    <n v="2.1219999999999999"/>
    <n v="2.0539999999999998"/>
    <n v="2.0979999999999999"/>
    <n v="1.5349999999999999"/>
    <n v="1.5349999999999999"/>
    <n v="100"/>
    <x v="22"/>
    <s v="Industriële productie en technologie"/>
    <s v="R/O"/>
    <s v="Proj."/>
  </r>
  <r>
    <s v="EZK"/>
    <s v="11.06"/>
    <s v="Beleidsvoorbereiding en evaluaties Veiligheid en Frequenties"/>
    <n v="1.5056"/>
    <n v="1.1552"/>
    <n v="0.88160000000000005"/>
    <n v="0.85260000000000014"/>
    <n v="0.90680000000000005"/>
    <n v="0.88880000000000003"/>
    <n v="0.90100000000000013"/>
    <n v="20"/>
    <x v="20"/>
    <s v="Transport, telecommunicatie en ov. infrastructuren"/>
    <s v="R/SO/O"/>
    <s v="Inst."/>
  </r>
  <r>
    <s v="EZK"/>
    <s v="11.06"/>
    <s v="Versterking aanpak cybersecurity"/>
    <n v="1.3176499999999998"/>
    <n v="3.7344499999999998"/>
    <n v="5.4539499999999999"/>
    <n v="7.4489499999999991"/>
    <n v="7.4726999999999988"/>
    <n v="7.8051999999999992"/>
    <n v="7.9144499999999987"/>
    <n v="95"/>
    <x v="19"/>
    <s v="Defensie"/>
    <s v="U/NWO/TNO/SO/O"/>
    <s v="Proj."/>
  </r>
  <r>
    <s v="EZK"/>
    <s v="11.08"/>
    <s v="Bijdrage Metrologie"/>
    <n v="2.6764999999999999"/>
    <n v="4.0365000000000002"/>
    <n v="2.7865000000000002"/>
    <n v="2.7865000000000002"/>
    <n v="2.7865000000000002"/>
    <n v="2.7865000000000002"/>
    <n v="2.7865000000000002"/>
    <n v="25"/>
    <x v="22"/>
    <s v="Industriële productie en technologie"/>
    <s v="SO"/>
    <s v="Inst."/>
  </r>
  <r>
    <s v="EZK"/>
    <s v="11.08"/>
    <s v="Bijdrage aan het CBS"/>
    <n v="5.3649050000000003"/>
    <n v="5.5674500000000009"/>
    <n v="5.5496350000000003"/>
    <n v="5.5430200000000003"/>
    <n v="5.5592600000000001"/>
    <n v="5.5441750000000001"/>
    <n v="5.5441750000000001"/>
    <n v="3.5"/>
    <x v="0"/>
    <s v="Politieke en soc. systemen, structuren/processen"/>
    <s v="R"/>
    <s v="Inst."/>
  </r>
  <r>
    <s v="EZK"/>
    <s v="04 EU-cofinanciering Digital Europe"/>
    <s v="Kennis en innovatie ICT"/>
    <n v="1.8888"/>
    <n v="2.0726999999999998"/>
    <n v="2.2134"/>
    <n v="2.4443999999999999"/>
    <n v="2.4443999999999999"/>
    <n v="2.4594"/>
    <n v="2.4594"/>
    <n v="30"/>
    <x v="20"/>
    <s v="Transport, telecommunicatie en ov. infrastructuren"/>
    <s v="SO/O"/>
    <s v="Proj."/>
  </r>
  <r>
    <s v="EZK"/>
    <s v="U12,10"/>
    <s v="Lucht- en Ruimtevaart"/>
    <n v="0"/>
    <n v="0"/>
    <n v="0"/>
    <n v="0"/>
    <n v="0"/>
    <n v="0"/>
    <n v="0"/>
    <n v="100"/>
    <x v="2"/>
    <m/>
    <s v="IO/O"/>
    <s v="Proj."/>
  </r>
  <r>
    <s v="EZK"/>
    <s v="12.01.02"/>
    <s v="MKB-Innovatiestimulering Topsectoren (MIT)"/>
    <n v="14.820300000000001"/>
    <n v="16.999200000000002"/>
    <n v="23.3172"/>
    <n v="27.355499999999999"/>
    <n v="37.009800000000006"/>
    <n v="37.009800000000006"/>
    <n v="37.009800000000006"/>
    <n v="90"/>
    <x v="22"/>
    <s v="Industriële productie en technologie"/>
    <s v="U/TNO/DLO/SO/O"/>
    <s v="Proj."/>
  </r>
  <r>
    <s v="EZK"/>
    <s v="12.01.05"/>
    <s v="Eurostars: Eurostars"/>
    <n v="16.960999999999999"/>
    <n v="18.734000000000002"/>
    <n v="19.582999999999998"/>
    <n v="19.048999999999999"/>
    <n v="18.649000000000001"/>
    <n v="18.382000000000001"/>
    <n v="18.132000000000001"/>
    <n v="100"/>
    <x v="22"/>
    <s v="Industriële productie en technologie"/>
    <s v="U/TNO/DLO/SO/O"/>
    <s v="Proj."/>
  </r>
  <r>
    <s v="EZK"/>
    <s v="12.01.06"/>
    <s v="Overig: bijdrage aan NML"/>
    <n v="0.25"/>
    <n v="0.26200000000000001"/>
    <n v="0.26200000000000001"/>
    <n v="0.26200000000000001"/>
    <n v="0.26200000000000001"/>
    <n v="0.26200000000000001"/>
    <n v="0.26200000000000001"/>
    <n v="100"/>
    <x v="20"/>
    <s v="Transport, telecommunicatie en ov. infrastructuren"/>
    <s v="SO"/>
    <s v="Inst."/>
  </r>
  <r>
    <s v="EZK"/>
    <s v="12.01.06"/>
    <s v="Overig: innovatieve onderzoeksprogramma's"/>
    <n v="0"/>
    <n v="0"/>
    <n v="0"/>
    <n v="0"/>
    <n v="0"/>
    <n v="0"/>
    <n v="0"/>
    <n v="100"/>
    <x v="22"/>
    <s v="Industriële productie en technologie"/>
    <s v="SO/O"/>
    <s v="Proj."/>
  </r>
  <r>
    <s v="EZK"/>
    <s v="12.01.06"/>
    <s v="Overig: bijdrage aan overige instituten"/>
    <n v="0.16300000000000001"/>
    <n v="0.16300000000000001"/>
    <n v="0.16300000000000001"/>
    <n v="0.16300000000000001"/>
    <n v="0.16300000000000001"/>
    <n v="0.16300000000000001"/>
    <n v="0.16300000000000001"/>
    <n v="100"/>
    <x v="0"/>
    <s v="Politieke en soc. systemen, structuren/processen"/>
    <s v="SO"/>
    <s v="Inst."/>
  </r>
  <r>
    <s v="EZK"/>
    <s v="12.01.06"/>
    <s v="Bijdrage aan TNO NABS 1"/>
    <n v="29.935345188126739"/>
    <n v="29.003645082793135"/>
    <n v="26.642019715268479"/>
    <n v="26.476102477517436"/>
    <n v="26.483894091535895"/>
    <n v="26.598222444104398"/>
    <n v="26.547463499121886"/>
    <n v="100"/>
    <x v="1"/>
    <m/>
    <s v="TNO"/>
    <s v="Inst."/>
  </r>
  <r>
    <s v="EZK"/>
    <s v="12.01.06"/>
    <s v="Bijdrage aan TNO NABS 2"/>
    <n v="6.304855049096731"/>
    <n v="6.1086243366582975"/>
    <n v="5.6112288488515141"/>
    <n v="5.5762840661007953"/>
    <n v="5.5779251026973729"/>
    <n v="5.6020044539263791"/>
    <n v="5.5913138208787689"/>
    <n v="100"/>
    <x v="21"/>
    <m/>
    <s v="TNO"/>
    <s v="Inst."/>
  </r>
  <r>
    <s v="EZK"/>
    <s v="12.01.06"/>
    <s v="Bijdrage aan TNO NABS 3"/>
    <n v="6.5349322693101719"/>
    <n v="6.331540691715162"/>
    <n v="5.8159942122852346"/>
    <n v="5.7797742220295634"/>
    <n v="5.7814751434506881"/>
    <n v="5.8064332000824619"/>
    <n v="5.795352443691054"/>
    <n v="100"/>
    <x v="2"/>
    <m/>
    <s v="TNO"/>
    <s v="Inst."/>
  </r>
  <r>
    <s v="EZK"/>
    <s v="12.01.06"/>
    <s v="Bijdrage aan TNO NABS 4"/>
    <n v="25.644708515328208"/>
    <n v="24.846549099599887"/>
    <n v="22.8234157837163"/>
    <n v="22.681279483865595"/>
    <n v="22.687954324897547"/>
    <n v="22.785895980763929"/>
    <n v="22.742412321549658"/>
    <n v="100"/>
    <x v="20"/>
    <m/>
    <s v="TNO"/>
    <s v="Inst."/>
  </r>
  <r>
    <s v="EZK"/>
    <s v="12.01.06"/>
    <s v="Bijdrage aan TNO NABS 5"/>
    <n v="40.679422712291057"/>
    <n v="39.413326658019251"/>
    <n v="36.204091688124556"/>
    <n v="35.978625189999541"/>
    <n v="35.98921328772402"/>
    <n v="36.144575163556958"/>
    <n v="36.07559835482477"/>
    <n v="100"/>
    <x v="3"/>
    <m/>
    <s v="TNO"/>
    <s v="Inst."/>
  </r>
  <r>
    <s v="EZK"/>
    <s v="12.01.06"/>
    <s v="Bijdrage aan TNO NABS 6"/>
    <n v="46.797825473339913"/>
    <n v="45.341301800441421"/>
    <n v="41.649380725595549"/>
    <n v="41.39000286018274"/>
    <n v="41.402183464438345"/>
    <n v="41.580912597392434"/>
    <n v="41.501561307685421"/>
    <n v="100"/>
    <x v="22"/>
    <m/>
    <s v="TNO"/>
    <s v="Inst."/>
  </r>
  <r>
    <s v="EZK"/>
    <s v="12.01.06"/>
    <s v="Bijdrage aan TNO NABS 7"/>
    <n v="28.889598833289831"/>
    <n v="27.990446272767578"/>
    <n v="25.711320742945105"/>
    <n v="25.551199574873309"/>
    <n v="25.558719000550298"/>
    <n v="25.669053463714764"/>
    <n v="25.620067706292218"/>
    <n v="100"/>
    <x v="18"/>
    <m/>
    <s v="TNO"/>
    <s v="Inst."/>
  </r>
  <r>
    <s v="EZK"/>
    <s v="12.01.06"/>
    <s v="Bijdrage aan TNO NABS 13"/>
    <n v="25.873524039352301"/>
    <n v="25.068243027180191"/>
    <n v="23.027058255981064"/>
    <n v="22.883653741601279"/>
    <n v="22.890388139061709"/>
    <n v="22.989203681691027"/>
    <n v="22.945332038489195"/>
    <n v="100"/>
    <x v="16"/>
    <m/>
    <s v="TNO"/>
    <s v="Inst."/>
  </r>
  <r>
    <s v="EZK"/>
    <s v="12.01.06"/>
    <s v="Bijdrage aan TNO NABS 14"/>
    <n v="71.337787919865136"/>
    <n v="69.117488668211038"/>
    <n v="63.489588653833756"/>
    <n v="63.094197565321167"/>
    <n v="63.112765465738185"/>
    <n v="63.385217034861704"/>
    <n v="63.264255314546055"/>
    <n v="100"/>
    <x v="19"/>
    <m/>
    <s v="TNO"/>
    <s v="Inst."/>
  </r>
  <r>
    <s v="EZK"/>
    <s v="12.10.01"/>
    <s v="Internationaal Innoveren"/>
    <n v="36.289000000000001"/>
    <n v="42.904000000000003"/>
    <n v="52.765999999999998"/>
    <n v="43.332000000000001"/>
    <n v="39.378999999999998"/>
    <n v="39.856999999999999"/>
    <n v="39.856999999999999"/>
    <n v="100"/>
    <x v="22"/>
    <s v="Industriële productie en technologie"/>
    <s v="U/TNO/DLO/SO/O"/>
    <s v="Proj."/>
  </r>
  <r>
    <s v="EZK"/>
    <s v="12.10.01"/>
    <s v="TKI-toeslag: NABS 1"/>
    <n v="11.248500927599409"/>
    <n v="16.03771145523708"/>
    <n v="18.433103793735157"/>
    <n v="19.298515552813704"/>
    <n v="18.062900903429565"/>
    <n v="16.857472882919765"/>
    <n v="16.857472882919765"/>
    <n v="100"/>
    <x v="1"/>
    <s v="Exploratie en exploitatie van het aards milieu"/>
    <s v="U/TNO/DLO/SO/O"/>
    <s v="Proj."/>
  </r>
  <r>
    <s v="EZK"/>
    <s v="12.10.01"/>
    <s v="TKI-toeslag: NABS 4"/>
    <n v="1.5632855027655042"/>
    <n v="2.2288767167181098"/>
    <n v="2.5617817091532902"/>
    <n v="2.6820542384083517"/>
    <n v="2.5103319368483747"/>
    <n v="2.3428048893582831"/>
    <n v="2.3428048893582831"/>
    <n v="100"/>
    <x v="20"/>
    <s v="Transport, telecommunicatie en overige infrastructuren"/>
    <s v="U/TNO/DLO/SO/O"/>
    <s v="Proj."/>
  </r>
  <r>
    <s v="EZK"/>
    <s v="12.10.01"/>
    <s v="TKI-toeslag: NABS 5"/>
    <n v="14.412785039449002"/>
    <n v="20.549234890659442"/>
    <n v="23.618468300704933"/>
    <n v="24.727326604090653"/>
    <n v="23.144124678092467"/>
    <n v="21.599601096509403"/>
    <n v="21.599601096509403"/>
    <n v="100"/>
    <x v="3"/>
    <s v="Energie"/>
    <s v="U/TNO/DLO/SO/O"/>
    <s v="Proj."/>
  </r>
  <r>
    <s v="EZK"/>
    <s v="12.10.01"/>
    <s v="TKI-toeslag: NABS 6"/>
    <n v="46.295813880303456"/>
    <n v="66.006920333349896"/>
    <n v="75.86571294822312"/>
    <n v="79.427515715187653"/>
    <n v="74.342057110182864"/>
    <n v="69.380838576013801"/>
    <n v="69.380838576013801"/>
    <n v="100"/>
    <x v="22"/>
    <s v="Industriële productie en technologie"/>
    <s v="U/TNO/DLO/SO/O"/>
    <s v="Proj."/>
  </r>
  <r>
    <s v="EZK"/>
    <s v="12.10.01"/>
    <s v="TKI-toeslag: NABS 7"/>
    <n v="30.474004723389086"/>
    <n v="43.448749107544302"/>
    <n v="49.938253611975981"/>
    <n v="52.282793760355069"/>
    <n v="48.935314224728003"/>
    <n v="45.669615139386799"/>
    <n v="45.669615139386799"/>
    <n v="100"/>
    <x v="18"/>
    <s v="Gezondheid"/>
    <s v="U/TNO/DLO/SO/O"/>
    <s v="Proj."/>
  </r>
  <r>
    <s v="EZK"/>
    <s v="12.10.01"/>
    <s v="TKI-toeslag: NABS 8"/>
    <n v="17.483610112247689"/>
    <n v="24.927507761332812"/>
    <n v="28.650679940605894"/>
    <n v="29.99579444783409"/>
    <n v="28.075271445003672"/>
    <n v="26.201667694190846"/>
    <n v="26.201667694190846"/>
    <n v="100"/>
    <x v="23"/>
    <s v="Landbouw"/>
    <s v="U/TNO/DLO/SO/O"/>
    <s v="Proj."/>
  </r>
  <r>
    <s v="EZK"/>
    <s v="12.10.02"/>
    <s v="Grote Technologische Instituten (MARIN)"/>
    <n v="7.2430000000000003"/>
    <n v="14.318"/>
    <n v="8.2810000000000006"/>
    <n v="7.2809999999999997"/>
    <n v="7.2809999999999997"/>
    <n v="6.7809999999999997"/>
    <n v="6.7809999999999997"/>
    <n v="100"/>
    <x v="20"/>
    <s v="Transport, telecommunicatie en ov. infrastructuren"/>
    <s v="SO"/>
    <s v="Inst."/>
  </r>
  <r>
    <s v="EZK"/>
    <s v="12.10.02"/>
    <s v="Grote Technologische Instituten (Deltares)"/>
    <n v="20.065000000000001"/>
    <n v="20.643999999999998"/>
    <n v="20.643999999999998"/>
    <n v="20.193000000000001"/>
    <n v="20.193000000000001"/>
    <n v="20.193000000000001"/>
    <n v="20.193000000000001"/>
    <n v="100"/>
    <x v="20"/>
    <s v="Transport, telecommunicatie en ov. infrastructuren"/>
    <s v="SO"/>
    <s v="Inst."/>
  </r>
  <r>
    <s v="EZK"/>
    <s v="12.10.02"/>
    <s v="Grote Technologische Instituten (NLR)"/>
    <n v="35.79"/>
    <n v="26.954999999999998"/>
    <n v="26.954999999999998"/>
    <n v="26.954999999999998"/>
    <n v="26.445"/>
    <n v="26.445"/>
    <n v="26.445"/>
    <n v="100"/>
    <x v="2"/>
    <s v="Exploratie en exploitatie van de ruimte"/>
    <s v="SO"/>
    <s v="Inst."/>
  </r>
  <r>
    <s v="EZK"/>
    <m/>
    <s v="Economische ontwikkeling en technologie"/>
    <n v="0"/>
    <n v="8.0500000000000007"/>
    <n v="10"/>
    <n v="8.3000000000000007"/>
    <n v="10"/>
    <n v="10"/>
    <n v="10"/>
    <n v="100"/>
    <x v="22"/>
    <m/>
    <s v="U/TNO/DLO/SO/O"/>
    <s v="Proj."/>
  </r>
  <r>
    <s v="EZK"/>
    <s v="12.10.03"/>
    <s v="Topsectoren overig bijdrage NWO-TTW"/>
    <n v="28.536000000000001"/>
    <n v="26.004999999999999"/>
    <n v="25.465"/>
    <n v="25.48"/>
    <n v="25.48"/>
    <n v="25.48"/>
    <n v="25.48"/>
    <n v="100"/>
    <x v="22"/>
    <s v="Industriële productie en technologie"/>
    <s v="NWO"/>
    <s v="Inst."/>
  </r>
  <r>
    <s v="EZK"/>
    <s v="12.10.03"/>
    <s v="Topsectoren overig (Innovatieprogramma's algemeen)"/>
    <n v="0"/>
    <n v="5.7869999999999999"/>
    <n v="4.3339999999999996"/>
    <n v="4.3170000000000002"/>
    <n v="5.0789999999999997"/>
    <n v="5.1760000000000002"/>
    <n v="8.0549999999999997"/>
    <n v="100"/>
    <x v="16"/>
    <s v="Transport, telecommunicatie en ov. infrastructuren"/>
    <s v="TNO/DLO/SO/NWO"/>
    <s v="Inst."/>
  </r>
  <r>
    <s v="EZK"/>
    <s v="12.10.03"/>
    <s v="Topsectoren overig: Wetsus"/>
    <n v="0"/>
    <n v="1.71"/>
    <n v="1.71"/>
    <n v="0.38"/>
    <n v="0"/>
    <n v="0"/>
    <n v="0"/>
    <n v="100"/>
    <x v="22"/>
    <s v="Industriële productie en technologie"/>
    <s v="SO"/>
    <s v="Proj."/>
  </r>
  <r>
    <s v="EZK"/>
    <s v="12.10.03"/>
    <s v="Topsectoren overig (Holst centrum)"/>
    <n v="3.6579999999999999"/>
    <n v="3.6579999999999999"/>
    <n v="0.40699999999999997"/>
    <n v="0"/>
    <n v="0"/>
    <n v="0"/>
    <n v="0"/>
    <n v="100"/>
    <x v="22"/>
    <s v="Industriële productie en technologie"/>
    <s v="SO"/>
    <s v="Proj."/>
  </r>
  <r>
    <s v="EZK"/>
    <s v="12.10.03"/>
    <s v="Topsectoren overig (phase 2)"/>
    <n v="0"/>
    <n v="0"/>
    <n v="0"/>
    <n v="0"/>
    <n v="0"/>
    <n v="0"/>
    <n v="0"/>
    <n v="100"/>
    <x v="22"/>
    <s v="Industriële productie en technologie"/>
    <s v="U/O/TNO"/>
    <s v="Proj."/>
  </r>
  <r>
    <s v="EZK"/>
    <s v="12.10.03"/>
    <s v="Topsectoren overig (innovatieprogramma life sciences and health)"/>
    <n v="0.106"/>
    <n v="0"/>
    <n v="0"/>
    <n v="0"/>
    <n v="0"/>
    <n v="0"/>
    <n v="0"/>
    <n v="100"/>
    <x v="22"/>
    <s v="Industriële productie en technologie"/>
    <s v="U/O/TNO"/>
    <s v="Proj."/>
  </r>
  <r>
    <s v="EZK"/>
    <s v="12.10.03"/>
    <s v="Topsectoren overig (BE basic)"/>
    <n v="0"/>
    <n v="0"/>
    <n v="0"/>
    <n v="0.01"/>
    <n v="0.01"/>
    <n v="0.01"/>
    <n v="0.01"/>
    <n v="100"/>
    <x v="22"/>
    <s v="Industriële productie en technologie"/>
    <s v="U/O"/>
    <s v="Proj."/>
  </r>
  <r>
    <s v="EZK"/>
    <s v="12.10.03"/>
    <s v="Topsectoren overig (NWO)"/>
    <n v="0.79"/>
    <n v="1.044"/>
    <n v="0.32600000000000001"/>
    <n v="0.495"/>
    <n v="0.495"/>
    <n v="0.495"/>
    <n v="0.495"/>
    <n v="100"/>
    <x v="22"/>
    <m/>
    <s v="NWO"/>
    <s v="Proj."/>
  </r>
  <r>
    <s v="EZK"/>
    <s v="12.10.03"/>
    <s v="Hyperloop"/>
    <n v="0"/>
    <n v="0.95550000000000002"/>
    <n v="1.1910000000000001"/>
    <n v="1.266"/>
    <n v="0"/>
    <n v="0"/>
    <n v="0"/>
    <n v="75"/>
    <x v="20"/>
    <m/>
    <s v="O"/>
    <s v="Proj."/>
  </r>
  <r>
    <s v="EZK"/>
    <s v="12.10.05"/>
    <s v="Ruimtevaart (ESA)"/>
    <n v="99.159000000000006"/>
    <n v="73.748999999999995"/>
    <n v="72.725999999999999"/>
    <n v="72.528999999999996"/>
    <n v="73.426000000000002"/>
    <n v="73.426000000000002"/>
    <n v="73.426000000000002"/>
    <n v="100"/>
    <x v="2"/>
    <s v="Exploratie en exploitatie van de ruimte"/>
    <s v="IO"/>
    <s v="Proj."/>
  </r>
  <r>
    <s v="EZK"/>
    <s v="12.10"/>
    <s v="Onderzoek"/>
    <n v="3.5009999999999999"/>
    <n v="3.524"/>
    <n v="3.552"/>
    <n v="3.552"/>
    <n v="3.552"/>
    <n v="3.552"/>
    <n v="3.552"/>
    <n v="100"/>
    <x v="22"/>
    <s v="Industriële productie en technologie"/>
    <s v="U/R/SO/O"/>
    <s v="Proj."/>
  </r>
  <r>
    <s v="EZK"/>
    <s v="12.10"/>
    <s v="Small Business Innovation Research"/>
    <n v="2.706"/>
    <n v="2.992"/>
    <n v="3.4"/>
    <n v="1.345"/>
    <n v="0.15"/>
    <n v="0"/>
    <n v="0"/>
    <n v="100"/>
    <x v="22"/>
    <m/>
    <s v="O"/>
    <s v="Proj."/>
  </r>
  <r>
    <s v="EZK"/>
    <s v="U02"/>
    <s v="Cyber KI"/>
    <n v="0"/>
    <n v="0"/>
    <n v="0"/>
    <n v="0"/>
    <n v="0"/>
    <n v="0"/>
    <n v="0"/>
    <n v="95"/>
    <x v="22"/>
    <m/>
    <s v="U/NWO/TNO/SO/O "/>
    <s v="Proj."/>
  </r>
  <r>
    <s v="EZK"/>
    <s v="18.10"/>
    <s v="Co-financiering EFRO en Interreg"/>
    <n v="4.0073999999999996"/>
    <n v="7.6688999999999998"/>
    <n v="11.500500000000001"/>
    <n v="7.9430999999999994"/>
    <n v="9.5930999999999997"/>
    <n v="9.6231000000000009"/>
    <n v="7.2230999999999996"/>
    <n v="30"/>
    <x v="3"/>
    <m/>
    <s v="O"/>
    <s v="Proj."/>
  </r>
  <r>
    <s v="EZK"/>
    <n v="20"/>
    <s v="Infrastructuur duurzame industrie (PIDI)"/>
    <n v="0"/>
    <n v="2.4406666666666665"/>
    <n v="3.15"/>
    <n v="3.15"/>
    <n v="3.15"/>
    <n v="3.15"/>
    <n v="0"/>
    <n v="70"/>
    <x v="21"/>
    <m/>
    <s v="O"/>
    <s v="Proj."/>
  </r>
  <r>
    <s v="EZK"/>
    <n v="20"/>
    <s v="Infrastructuur duurzame industrie (PIDI)"/>
    <n v="0"/>
    <n v="2.4406666666666665"/>
    <n v="3.15"/>
    <n v="3.15"/>
    <n v="3.15"/>
    <n v="3.15"/>
    <n v="0"/>
    <n v="70"/>
    <x v="3"/>
    <m/>
    <s v="O"/>
    <s v="Proj."/>
  </r>
  <r>
    <s v="EZK"/>
    <n v="20"/>
    <s v="Infrastructuur duurzame industrie (PIDI)"/>
    <n v="0"/>
    <n v="2.4406666666666665"/>
    <n v="3.15"/>
    <n v="3.15"/>
    <n v="3.15"/>
    <n v="3.15"/>
    <n v="0"/>
    <n v="70"/>
    <x v="22"/>
    <m/>
    <s v="O"/>
    <s v="Proj."/>
  </r>
  <r>
    <s v="EZK"/>
    <s v="UO2"/>
    <s v="Verduurzaming industrie KD"/>
    <n v="5.1299999999999998E-2"/>
    <n v="0.83199999999999996"/>
    <n v="0.53539999999999999"/>
    <n v="0.67120000000000002"/>
    <n v="0.7571"/>
    <n v="1"/>
    <n v="1.05"/>
    <n v="20"/>
    <x v="21"/>
    <m/>
    <s v="O"/>
    <s v="Proj."/>
  </r>
  <r>
    <s v="EZK"/>
    <s v="UO2"/>
    <s v="Verduurzaming industrie KD"/>
    <n v="5.1299999999999998E-2"/>
    <n v="0.83199999999999996"/>
    <n v="0.53539999999999999"/>
    <n v="0.67120000000000002"/>
    <n v="0.7571"/>
    <n v="1"/>
    <n v="1.05"/>
    <n v="20"/>
    <x v="22"/>
    <m/>
    <s v="O"/>
    <s v="Proj."/>
  </r>
  <r>
    <s v="EZK"/>
    <s v="UO2"/>
    <s v="Verduurzaming industrie  "/>
    <n v="8.8999999999999999E-3"/>
    <n v="1.1999999999999999E-3"/>
    <n v="1.0582"/>
    <n v="2.4632000000000001"/>
    <n v="3.8058000000000001"/>
    <n v="4.7725"/>
    <n v="5.32"/>
    <n v="20"/>
    <x v="21"/>
    <m/>
    <s v="O"/>
    <s v="Proj."/>
  </r>
  <r>
    <s v="EZK"/>
    <s v="UO2"/>
    <s v="Verduurzaming industrie  "/>
    <n v="8.8999999999999999E-3"/>
    <n v="1.1999999999999999E-3"/>
    <n v="1.0582"/>
    <n v="2.4632000000000001"/>
    <n v="3.8058000000000001"/>
    <n v="4.7725"/>
    <n v="5.32"/>
    <n v="20"/>
    <x v="22"/>
    <m/>
    <s v="O"/>
    <s v="Proj."/>
  </r>
  <r>
    <s v="EZK"/>
    <n v="22"/>
    <s v="R&amp;D mobiliteitssectoren"/>
    <n v="0"/>
    <n v="3.3333333333333335"/>
    <n v="12.5"/>
    <n v="12.5"/>
    <n v="12.5"/>
    <n v="4.166666666666667"/>
    <n v="5"/>
    <n v="100"/>
    <x v="20"/>
    <m/>
    <s v="U/HBO/O/TO2"/>
    <s v="Proj."/>
  </r>
  <r>
    <s v="EZK"/>
    <n v="22"/>
    <s v="R&amp;D mobiliteitssectoren"/>
    <n v="0"/>
    <n v="3.3333333333333335"/>
    <n v="12.5"/>
    <n v="12.5"/>
    <n v="12.5"/>
    <n v="4.166666666666667"/>
    <n v="5"/>
    <n v="100"/>
    <x v="3"/>
    <m/>
    <s v="U/HBO/O/TO2"/>
    <s v="Proj."/>
  </r>
  <r>
    <s v="EZK"/>
    <n v="22"/>
    <s v="R&amp;D mobiliteitssectoren"/>
    <n v="0"/>
    <n v="3.3333333333333335"/>
    <n v="12.5"/>
    <n v="12.5"/>
    <n v="12.5"/>
    <n v="4.166666666666667"/>
    <n v="5"/>
    <n v="100"/>
    <x v="22"/>
    <m/>
    <s v="U/HBO/O/TO2"/>
    <s v="Proj."/>
  </r>
  <r>
    <s v="EZK"/>
    <n v="17"/>
    <s v="Europees Defensie Fonds cofinanciering"/>
    <n v="0"/>
    <n v="0"/>
    <n v="4.5"/>
    <n v="9"/>
    <n v="4.5"/>
    <n v="0"/>
    <n v="0"/>
    <n v="90"/>
    <x v="19"/>
    <m/>
    <s v="O, TNO, GTI"/>
    <s v="Proj."/>
  </r>
  <r>
    <s v="EZK"/>
    <n v="24"/>
    <s v="NGF - project AINed"/>
    <n v="0"/>
    <n v="1.98"/>
    <n v="3.96"/>
    <n v="5.94"/>
    <n v="5.94"/>
    <n v="1.98"/>
    <n v="0"/>
    <n v="90"/>
    <x v="17"/>
    <m/>
    <s v="U/HBO/O/TO2"/>
    <s v="Proj."/>
  </r>
  <r>
    <s v="EZK"/>
    <n v="24"/>
    <s v="NGF - project AINed"/>
    <n v="0"/>
    <n v="1.98"/>
    <n v="3.96"/>
    <n v="5.94"/>
    <n v="5.94"/>
    <n v="1.98"/>
    <n v="0"/>
    <n v="90"/>
    <x v="10"/>
    <m/>
    <s v="U/HBO/O/TO2"/>
    <s v="Proj."/>
  </r>
  <r>
    <s v="EZK"/>
    <n v="25"/>
    <s v="NGF-project Groenvermogen"/>
    <n v="0"/>
    <n v="0.13333333333333333"/>
    <n v="3.5883333333333334"/>
    <n v="5.5566666666666675"/>
    <n v="1.7649999999999999"/>
    <n v="1.1233333333333333"/>
    <n v="0"/>
    <n v="50"/>
    <x v="3"/>
    <m/>
    <s v="U/HBO/O/TO2"/>
    <s v="Proj."/>
  </r>
  <r>
    <s v="EZK"/>
    <n v="25"/>
    <s v="NGF-project Groenvermogen"/>
    <n v="0"/>
    <n v="0.13333333333333333"/>
    <n v="3.5883333333333334"/>
    <n v="5.5566666666666675"/>
    <n v="1.7649999999999999"/>
    <n v="1.1233333333333333"/>
    <n v="0"/>
    <n v="50"/>
    <x v="22"/>
    <m/>
    <s v="U/HBO/O/TO2"/>
    <s v="Proj."/>
  </r>
  <r>
    <s v="EZK"/>
    <n v="25"/>
    <s v="NGF-project Groenvermogen"/>
    <n v="0"/>
    <n v="0.13333333333333333"/>
    <n v="3.5883333333333334"/>
    <n v="5.5566666666666675"/>
    <n v="1.7649999999999999"/>
    <n v="1.1233333333333333"/>
    <n v="0"/>
    <n v="50"/>
    <x v="14"/>
    <m/>
    <s v="U/HBO/O/TO2"/>
    <s v="Proj."/>
  </r>
  <r>
    <s v="EZK"/>
    <n v="26"/>
    <s v="NGF-project Health RI"/>
    <n v="0"/>
    <n v="0"/>
    <n v="0"/>
    <n v="0"/>
    <n v="0"/>
    <n v="0"/>
    <n v="0"/>
    <n v="0"/>
    <x v="18"/>
    <m/>
    <s v="U/HBO/O/TO2"/>
    <s v="Proj."/>
  </r>
  <r>
    <s v="EZK"/>
    <n v="26"/>
    <s v="NGF-project Health RI"/>
    <n v="0"/>
    <n v="0"/>
    <n v="0"/>
    <n v="0"/>
    <n v="0"/>
    <n v="0"/>
    <n v="0"/>
    <n v="0"/>
    <x v="12"/>
    <m/>
    <s v="U/HBO/O/TO2"/>
    <s v="Proj."/>
  </r>
  <r>
    <s v="EZK"/>
    <n v="27"/>
    <s v="NGF-project Regmed"/>
    <n v="0"/>
    <n v="2.5499999999999998"/>
    <n v="3.2"/>
    <n v="0"/>
    <n v="0"/>
    <n v="0"/>
    <n v="0"/>
    <n v="50"/>
    <x v="18"/>
    <m/>
    <s v="U/UMC/O"/>
    <s v="Proj."/>
  </r>
  <r>
    <s v="EZK"/>
    <n v="27"/>
    <s v="NGF-project Regmed"/>
    <n v="0"/>
    <n v="2.5499999999999998"/>
    <n v="3.2"/>
    <n v="0"/>
    <n v="0"/>
    <n v="0"/>
    <n v="0"/>
    <n v="50"/>
    <x v="12"/>
    <m/>
    <s v="U/UMC/O"/>
    <s v="Proj."/>
  </r>
  <r>
    <s v="EZK"/>
    <n v="28"/>
    <s v="NGF-project Quantum"/>
    <n v="0"/>
    <n v="3.55"/>
    <n v="8.2750000000000004"/>
    <n v="0.77500000000000002"/>
    <n v="0.9"/>
    <n v="0"/>
    <n v="0"/>
    <n v="50"/>
    <x v="20"/>
    <m/>
    <s v="U/HBO/O/TO2"/>
    <s v="Proj."/>
  </r>
  <r>
    <s v="EZK"/>
    <n v="28"/>
    <s v="NGF-project Quantum"/>
    <n v="0"/>
    <n v="3.55"/>
    <n v="8.2750000000000004"/>
    <n v="0.77500000000000002"/>
    <n v="0.9"/>
    <n v="0"/>
    <n v="0"/>
    <n v="50"/>
    <x v="14"/>
    <m/>
    <s v="U/HBO/O/TO2"/>
    <s v="Proj."/>
  </r>
  <r>
    <s v="EZK"/>
    <m/>
    <s v="Overig: Topsector High Tech Vliegtuigindustie"/>
    <n v="0"/>
    <n v="2.444"/>
    <n v="4.444"/>
    <n v="2.222"/>
    <n v="0.89"/>
    <n v="0"/>
    <n v="0"/>
    <n v="100"/>
    <x v="22"/>
    <m/>
    <s v="U/HBO/O/TO2"/>
    <s v="Proj."/>
  </r>
  <r>
    <s v="EZK"/>
    <n v="11"/>
    <s v="Just Transition Fund"/>
    <n v="0"/>
    <n v="0"/>
    <n v="4"/>
    <n v="4"/>
    <n v="4"/>
    <n v="1"/>
    <n v="1"/>
    <n v="25"/>
    <x v="22"/>
    <m/>
    <s v="O"/>
    <s v="Proj."/>
  </r>
  <r>
    <s v="EZK"/>
    <s v="12.01.02"/>
    <s v="Innovatiefonds: Innovatiekredieten"/>
    <n v="50.838000000000001"/>
    <n v="44.761000000000003"/>
    <n v="56.999000000000002"/>
    <n v="56.933"/>
    <n v="58.689"/>
    <n v="57.689"/>
    <n v="57.689"/>
    <n v="100"/>
    <x v="22"/>
    <s v="Industriële productie en technologie"/>
    <s v="O"/>
    <s v="Proj."/>
  </r>
  <r>
    <s v="EZK"/>
    <s v="12.01.03"/>
    <s v="Innovatiefonds: risicokapitaal Seed"/>
    <n v="18.841199999999997"/>
    <n v="26.643399999999996"/>
    <n v="37.491299999999995"/>
    <n v="42.879899999999992"/>
    <n v="42.877099999999999"/>
    <n v="39.260199999999998"/>
    <n v="39.260199999999998"/>
    <n v="70"/>
    <x v="22"/>
    <s v="Industriële productie en technologie"/>
    <s v="O"/>
    <s v="Proj."/>
  </r>
  <r>
    <s v="EZK"/>
    <s v="12.01.04"/>
    <s v="Innovatiefonds: Fund to Fund"/>
    <n v="8.25"/>
    <n v="26.384"/>
    <n v="13.646000000000001"/>
    <n v="5.633"/>
    <n v="6.5505000000000004"/>
    <n v="7.9"/>
    <n v="5.4"/>
    <n v="50"/>
    <x v="22"/>
    <s v="Industriële productie en technologie"/>
    <s v="O"/>
    <s v="Proj."/>
  </r>
  <r>
    <s v="EZK"/>
    <n v="19"/>
    <s v="Innovatiefonds: Investeringen in fundamenteel en toegepast onderzoek (met vermogensbehoud)"/>
    <n v="0.497"/>
    <n v="16.978999999999999"/>
    <n v="2.5"/>
    <n v="0"/>
    <n v="0"/>
    <n v="2.5"/>
    <n v="2.5"/>
    <n v="100"/>
    <x v="16"/>
    <m/>
    <s v="U/HBO/TNO/SO/O/GTI"/>
    <s v="Proj."/>
  </r>
  <r>
    <s v="EZK"/>
    <n v="19"/>
    <s v="Oncode institute"/>
    <n v="1.11504"/>
    <n v="2.35392"/>
    <n v="1.1668799999999999"/>
    <n v="0.56159999999999999"/>
    <n v="0.3024"/>
    <n v="0.17279999999999998"/>
    <n v="0"/>
    <n v="48"/>
    <x v="12"/>
    <m/>
    <s v="U/UMC/NWO/KNAW/R/SO"/>
    <s v="Proj."/>
  </r>
  <r>
    <s v="EZK"/>
    <m/>
    <s v="Regmed XB"/>
    <n v="0"/>
    <n v="0.75"/>
    <n v="2.25"/>
    <n v="3.5"/>
    <n v="4"/>
    <n v="0.75"/>
    <n v="0.75"/>
    <n v="50"/>
    <x v="18"/>
    <m/>
    <s v="UMC/O"/>
    <s v="Proj."/>
  </r>
  <r>
    <s v="EZK"/>
    <s v="12.01.07"/>
    <s v="Innovatiefonds: vroege fase / informal investors: RVO"/>
    <n v="3.8105000000000002"/>
    <n v="5.7060000000000004"/>
    <n v="7.532"/>
    <n v="7.5235000000000003"/>
    <n v="8.5734999999999992"/>
    <n v="4.5735000000000001"/>
    <n v="4.5735000000000001"/>
    <n v="50"/>
    <x v="22"/>
    <s v="Industriële productie en technologie"/>
    <s v="O"/>
    <s v="Proj."/>
  </r>
  <r>
    <s v="EZK"/>
    <s v="12.01.07"/>
    <s v="Innovatiefonds: vroege fase / informal investors: STW"/>
    <n v="2.5179999999999998"/>
    <n v="2.9904999999999999"/>
    <n v="2.7250000000000001"/>
    <n v="2.7250000000000001"/>
    <n v="2.7250000000000001"/>
    <n v="2.7250000000000001"/>
    <n v="2.7250000000000001"/>
    <n v="50"/>
    <x v="22"/>
    <s v="Industriële productie en technologie"/>
    <s v="O"/>
    <s v="Proj."/>
  </r>
  <r>
    <s v="EZK"/>
    <s v="12.01.07"/>
    <s v="Innovatiefonds: vroege fase / informal investors: haalbaarheidsstudies STW"/>
    <n v="0.39800000000000002"/>
    <n v="0.40749999999999997"/>
    <n v="0"/>
    <n v="0"/>
    <n v="0"/>
    <n v="0"/>
    <n v="0"/>
    <n v="50"/>
    <x v="22"/>
    <s v="Industriële productie en technologie"/>
    <s v="O"/>
    <s v="Proj."/>
  </r>
  <r>
    <s v="EZK"/>
    <m/>
    <s v="Smart industry"/>
    <n v="0.505"/>
    <n v="1.0169999999999999"/>
    <n v="0.499"/>
    <n v="0.158"/>
    <n v="0"/>
    <n v="0"/>
    <n v="0"/>
    <n v="100"/>
    <x v="22"/>
    <s v="Industriële productie en technologie"/>
    <s v="O"/>
    <s v="Proj."/>
  </r>
  <r>
    <s v="EZK"/>
    <s v="09 Dutch Future Fund"/>
    <s v="Dutch Future Fund"/>
    <n v="0"/>
    <n v="0.2"/>
    <n v="0.3"/>
    <n v="0.35"/>
    <n v="0.3"/>
    <n v="0.1"/>
    <n v="0"/>
    <n v="20"/>
    <x v="20"/>
    <m/>
    <s v="O"/>
    <s v="Proj."/>
  </r>
  <r>
    <s v="EZK"/>
    <s v="09 Dutch Future Fund"/>
    <s v="Dutch Future Fund"/>
    <n v="0"/>
    <n v="0.2"/>
    <n v="0.3"/>
    <n v="0.35"/>
    <n v="0.3"/>
    <n v="0.1"/>
    <n v="0"/>
    <n v="20"/>
    <x v="3"/>
    <m/>
    <s v="O"/>
    <s v="Proj."/>
  </r>
  <r>
    <s v="EZK"/>
    <s v="09 Dutch Future Fund"/>
    <s v="Dutch Future Fund"/>
    <n v="0"/>
    <n v="0.2"/>
    <n v="0.3"/>
    <n v="0.35"/>
    <n v="0.3"/>
    <n v="0.1"/>
    <n v="0"/>
    <n v="20"/>
    <x v="22"/>
    <m/>
    <s v="O"/>
    <s v="Proj."/>
  </r>
  <r>
    <s v="EZK"/>
    <s v="09 Dutch Future Fund"/>
    <s v="Dutch Future Fund"/>
    <n v="0"/>
    <n v="0.2"/>
    <n v="0.3"/>
    <n v="0.35"/>
    <n v="0.3"/>
    <n v="0.1"/>
    <n v="0"/>
    <n v="20"/>
    <x v="18"/>
    <m/>
    <s v="O"/>
    <s v="Proj."/>
  </r>
  <r>
    <s v="EZK"/>
    <s v="10 Deep Tech Fund"/>
    <s v="Deep Tech Fund"/>
    <n v="0"/>
    <n v="3"/>
    <n v="7.5"/>
    <n v="7.5"/>
    <n v="7.5"/>
    <n v="7.5"/>
    <n v="19.5"/>
    <n v="30"/>
    <x v="22"/>
    <m/>
    <s v="O"/>
    <s v="Proj."/>
  </r>
  <r>
    <s v="EZK"/>
    <s v="11 Fonds Alternatieve Financiering"/>
    <s v="Fonds Alternatieve Financiering"/>
    <n v="0"/>
    <n v="0.25"/>
    <n v="0.25"/>
    <n v="0.25"/>
    <n v="0.25"/>
    <n v="0.25"/>
    <n v="0"/>
    <n v="10"/>
    <x v="20"/>
    <m/>
    <s v="O"/>
    <s v="Proj."/>
  </r>
  <r>
    <s v="EZK"/>
    <s v="11 Fonds Alternatieve Financiering"/>
    <s v="Fonds Alternatieve Financiering"/>
    <n v="0"/>
    <n v="0.25"/>
    <n v="0.25"/>
    <n v="0.25"/>
    <n v="0.25"/>
    <n v="0.25"/>
    <n v="0"/>
    <n v="10"/>
    <x v="3"/>
    <m/>
    <s v="O"/>
    <s v="Proj."/>
  </r>
  <r>
    <s v="EZK"/>
    <s v="11 Fonds Alternatieve Financiering"/>
    <s v="Fonds Alternatieve Financiering"/>
    <n v="0"/>
    <n v="0.25"/>
    <n v="0.25"/>
    <n v="0.25"/>
    <n v="0.25"/>
    <n v="0.25"/>
    <n v="0"/>
    <n v="10"/>
    <x v="22"/>
    <m/>
    <s v="O"/>
    <s v="Proj."/>
  </r>
  <r>
    <s v="EZK"/>
    <s v="11 Fonds Alternatieve Financiering"/>
    <s v="Fonds Alternatieve Financiering"/>
    <n v="0"/>
    <n v="0.25"/>
    <n v="0.25"/>
    <n v="0.25"/>
    <n v="0.25"/>
    <n v="0.25"/>
    <n v="0"/>
    <n v="10"/>
    <x v="18"/>
    <m/>
    <s v="O"/>
    <s v="Proj."/>
  </r>
  <r>
    <s v="EZK"/>
    <m/>
    <s v="Thematische technology transfer (subsidiedeel)"/>
    <n v="0.36460000000000004"/>
    <n v="0.67"/>
    <n v="0.59560000000000002"/>
    <n v="0.59560000000000002"/>
    <n v="0.59560000000000002"/>
    <n v="0.47960000000000003"/>
    <n v="0"/>
    <n v="20"/>
    <x v="22"/>
    <m/>
    <s v="U/UMC/TNO"/>
    <s v="Proj."/>
  </r>
  <r>
    <s v="EZK"/>
    <s v="14.01"/>
    <s v="Topsectoren energie: RVO"/>
    <n v="19.775500000000001"/>
    <n v="21.96575"/>
    <n v="25.568750000000001"/>
    <n v="26.015999999999998"/>
    <n v="24.00375"/>
    <n v="18.568750000000001"/>
    <n v="10.925000000000001"/>
    <n v="25"/>
    <x v="3"/>
    <s v="Energie"/>
    <s v="O"/>
    <s v="Proj."/>
  </r>
  <r>
    <s v="EZK"/>
    <s v="14.01"/>
    <s v="Energie-Akkoord SER: RVO"/>
    <n v="10.931700000000001"/>
    <n v="16.8261"/>
    <n v="24.911399999999997"/>
    <n v="18.131699999999999"/>
    <n v="15.319499999999998"/>
    <n v="12.165599999999998"/>
    <n v="14.181599999999998"/>
    <n v="30"/>
    <x v="3"/>
    <s v="Energie"/>
    <s v="O"/>
    <s v="Proj."/>
  </r>
  <r>
    <s v="EZK"/>
    <s v="14.01"/>
    <s v="Energie-innovatie (IA) - O: meerjarenafspraken energie (MJA-E)"/>
    <n v="0.56225000000000003"/>
    <n v="0.46500000000000002"/>
    <n v="0.59199999999999997"/>
    <n v="0.59199999999999997"/>
    <n v="0.59199999999999997"/>
    <n v="0.59199999999999997"/>
    <n v="0.59199999999999997"/>
    <n v="25"/>
    <x v="3"/>
    <s v="Energie"/>
    <s v="O"/>
    <s v="Proj."/>
  </r>
  <r>
    <s v="EZK"/>
    <s v="14.01"/>
    <s v="Energie-innovatie (IA) - O: duurzaamheid energiebesparing UKR"/>
    <n v="0.14974999999999999"/>
    <n v="4.7500000000000001E-2"/>
    <n v="0"/>
    <n v="0"/>
    <n v="0"/>
    <n v="0"/>
    <n v="0"/>
    <n v="25"/>
    <x v="3"/>
    <s v="Energie"/>
    <s v="O"/>
    <s v="Proj."/>
  </r>
  <r>
    <s v="EZK"/>
    <s v="14.01"/>
    <s v="Overige subsidies: transitiemanagement"/>
    <n v="0"/>
    <n v="0"/>
    <n v="0"/>
    <n v="0"/>
    <n v="0"/>
    <n v="0"/>
    <n v="0"/>
    <n v="25"/>
    <x v="3"/>
    <s v="Energie"/>
    <s v="O"/>
    <s v="Proj."/>
  </r>
  <r>
    <s v="EZK"/>
    <s v="14.01"/>
    <s v="Carbon Capture and Storage"/>
    <n v="6.2850000000000001"/>
    <n v="5.2060000000000004"/>
    <n v="4.08"/>
    <n v="4.68"/>
    <n v="6.48"/>
    <n v="5.48"/>
    <n v="5.48"/>
    <n v="100"/>
    <x v="3"/>
    <s v="Energie"/>
    <s v="O/IO"/>
    <s v="Proj."/>
  </r>
  <r>
    <s v="EZK"/>
    <s v="14.01"/>
    <s v="Hoge Flux Reactor"/>
    <n v="7.4509999999999996"/>
    <n v="6.4009999999999998"/>
    <n v="6.4009999999999998"/>
    <n v="6.4009999999999998"/>
    <n v="5.4009999999999998"/>
    <n v="5.4009999999999998"/>
    <n v="5.4009999999999998"/>
    <n v="100"/>
    <x v="3"/>
    <s v="Energie"/>
    <s v="HFR/NRG"/>
    <s v="Inst."/>
  </r>
  <r>
    <s v="EZK"/>
    <s v="14.06"/>
    <s v="O&amp;O bodembeheer"/>
    <n v="2.81"/>
    <n v="4.3419999999999996"/>
    <n v="4.2110000000000003"/>
    <n v="3.87"/>
    <n v="3.87"/>
    <n v="3.87"/>
    <n v="3.87"/>
    <n v="100"/>
    <x v="3"/>
    <s v="Energie"/>
    <s v="Proj."/>
    <s v="Proj."/>
  </r>
  <r>
    <s v="EZK"/>
    <s v="14.10"/>
    <s v="Bijdrage aan ECN, zie hierboven bij verdeling TNO"/>
    <m/>
    <m/>
    <m/>
    <m/>
    <m/>
    <m/>
    <m/>
    <n v="100"/>
    <x v="3"/>
    <s v="Energie"/>
    <s v="ECN"/>
    <s v="Inst."/>
  </r>
  <r>
    <s v="EZK"/>
    <s v="14.06"/>
    <s v="Onderzoek &amp; opdrachten: Onderzoeksprojecten K&amp;E"/>
    <n v="1.53"/>
    <n v="1.6080000000000001"/>
    <n v="1.9470000000000001"/>
    <n v="1.9470000000000001"/>
    <n v="1.9470000000000001"/>
    <n v="2.0219999999999998"/>
    <n v="2.0219999999999998"/>
    <n v="100"/>
    <x v="3"/>
    <s v="Energie"/>
    <s v="Proj."/>
    <s v="Proj."/>
  </r>
  <r>
    <s v="EZK"/>
    <s v="14.08"/>
    <s v="Bijdrage TNO bodembeheer institutionele financiering, zie hierboven bij verdeling TNO"/>
    <m/>
    <m/>
    <m/>
    <m/>
    <m/>
    <m/>
    <m/>
    <n v="100"/>
    <x v="3"/>
    <s v="Energie"/>
    <s v="TNO"/>
    <s v="Inst."/>
  </r>
  <r>
    <s v="EZK"/>
    <s v="14.08"/>
    <s v="Bijdrage TNO bodembeheer projectfinanciering "/>
    <n v="11.882999999999996"/>
    <n v="12.022834362614063"/>
    <n v="10.839901373398465"/>
    <n v="10.766880818508614"/>
    <n v="10.735481979905977"/>
    <n v="10.735481979905977"/>
    <n v="10.526643192921004"/>
    <n v="100"/>
    <x v="3"/>
    <s v="Energie"/>
    <s v="TNO"/>
    <s v="Proj."/>
  </r>
  <r>
    <s v="EZK"/>
    <s v="15.08"/>
    <s v="SodM onderzoek TNO-AGE, zie hierboven bij verdeling TNO"/>
    <m/>
    <m/>
    <m/>
    <m/>
    <m/>
    <m/>
    <m/>
    <n v="100"/>
    <x v="3"/>
    <s v="Energie"/>
    <s v="TNO"/>
    <s v="Inst."/>
  </r>
  <r>
    <s v="EZK"/>
    <m/>
    <s v="Nationale cofinanciering EU Innovation Fund"/>
    <n v="0"/>
    <n v="0"/>
    <n v="0"/>
    <n v="0"/>
    <n v="0"/>
    <n v="0"/>
    <n v="0"/>
    <n v="100"/>
    <x v="3"/>
    <s v="Energie"/>
    <s v="IO"/>
    <s v="Proj."/>
  </r>
  <r>
    <s v="LNV"/>
    <s v="16.06"/>
    <s v="Plantaardige productie: FES innovatieprogramma energie"/>
    <n v="5.7610000000000001"/>
    <n v="17.225000000000001"/>
    <n v="8.5030000000000001"/>
    <n v="11.788"/>
    <n v="11.909000000000001"/>
    <n v="11.909000000000001"/>
    <n v="14.909000000000001"/>
    <n v="100"/>
    <x v="22"/>
    <s v="Industriële productie en technologie"/>
    <s v="SO"/>
    <s v="Proj."/>
  </r>
  <r>
    <s v="LNV"/>
    <s v="16.06"/>
    <s v="Dierenwelzijn: dierproeven (opdrachten)"/>
    <n v="0.40400000000000003"/>
    <n v="0.63200000000000001"/>
    <n v="1.002"/>
    <n v="1.202"/>
    <n v="1.3919999999999999"/>
    <n v="1.3919999999999999"/>
    <n v="1.3919999999999999"/>
    <n v="100"/>
    <x v="22"/>
    <s v="Industriële productie en technologie"/>
    <s v="SO"/>
    <s v="Proj."/>
  </r>
  <r>
    <s v="LNV"/>
    <s v="U22"/>
    <s v="Dierenwelzijn: project dierenwelzijn landbouwhuisd."/>
    <n v="0.41299999999999998"/>
    <n v="0.503"/>
    <n v="0.503"/>
    <n v="0.503"/>
    <n v="0.503"/>
    <n v="0.503"/>
    <n v="0.503"/>
    <n v="100"/>
    <x v="22"/>
    <s v="Industriële productie en technologie"/>
    <s v="SO"/>
    <s v="Proj."/>
  </r>
  <r>
    <s v="LNV"/>
    <s v="U22"/>
    <s v="Innovatieprogramma visserij"/>
    <n v="1.452"/>
    <n v="0.63"/>
    <n v="2"/>
    <n v="1.6"/>
    <n v="1.6"/>
    <n v="0.71199999999999997"/>
    <n v="0"/>
    <n v="100"/>
    <x v="23"/>
    <s v="Landbouw"/>
    <s v="NWO"/>
    <s v="Proj."/>
  </r>
  <r>
    <s v="LNV"/>
    <s v="U22"/>
    <s v="Duurzame Visserij: Noordzeeakkoord (KD)"/>
    <n v="0"/>
    <n v="0.15390000000000001"/>
    <n v="3.6723000000000003"/>
    <n v="3.8803000000000001"/>
    <n v="0.44430000000000003"/>
    <n v="0.41690000000000005"/>
    <n v="0.37690000000000001"/>
    <n v="10"/>
    <x v="23"/>
    <s v="Landbouw"/>
    <s v="O"/>
    <s v="Proj."/>
  </r>
  <r>
    <s v="LNV"/>
    <s v="U22"/>
    <s v="Duurzame Visserij: projecten visserij"/>
    <n v="4.7500000000000001E-2"/>
    <n v="9.1249999999999998E-2"/>
    <n v="0.23230000000000001"/>
    <n v="9.0800000000000006E-2"/>
    <n v="0.10280000000000002"/>
    <n v="0.12155000000000001"/>
    <n v="0.14530000000000001"/>
    <n v="5"/>
    <x v="23"/>
    <s v="Landbouw"/>
    <s v="O"/>
    <s v="Proj."/>
  </r>
  <r>
    <s v="LNV"/>
    <s v="16.02"/>
    <s v="Europees fonds voor maritieme zaken en visserij"/>
    <n v="8.6379999999999999"/>
    <n v="5.9489999999999998"/>
    <n v="5.8449999999999998"/>
    <n v="5.86"/>
    <n v="5.86"/>
    <n v="5.86"/>
    <n v="5.86"/>
    <n v="100"/>
    <x v="23"/>
    <s v="Landbouw"/>
    <s v="O"/>
    <s v="Proj."/>
  </r>
  <r>
    <s v="LNV"/>
    <s v="16.40"/>
    <s v="Kennisbasis: kennisbasis"/>
    <n v="26.85"/>
    <n v="27.564"/>
    <n v="27.422999999999998"/>
    <n v="28.367000000000001"/>
    <n v="28.367000000000001"/>
    <n v="28.367000000000001"/>
    <n v="28.367000000000001"/>
    <n v="100"/>
    <x v="24"/>
    <s v="Landbouw"/>
    <s v="DLO"/>
    <s v="Inst."/>
  </r>
  <r>
    <s v="LNV"/>
    <s v="16.40"/>
    <s v="Kennisbasis: autonome bijdragen"/>
    <n v="3.8889999999999998"/>
    <n v="4.335"/>
    <n v="4.17"/>
    <n v="4.4139999999999997"/>
    <n v="4.4139999999999997"/>
    <n v="4.4139999999999997"/>
    <n v="4.4139999999999997"/>
    <n v="100"/>
    <x v="24"/>
    <s v="Landbouw"/>
    <s v="DLO"/>
    <s v="Inst."/>
  </r>
  <r>
    <s v="LNV"/>
    <s v="16.40"/>
    <s v="Wettelijke onderzoekstaken"/>
    <n v="64.873999999999995"/>
    <n v="62.948999999999998"/>
    <n v="70.231999999999999"/>
    <n v="70.233000000000004"/>
    <n v="70.132999999999996"/>
    <n v="70.05"/>
    <n v="69.914000000000001"/>
    <n v="100"/>
    <x v="23"/>
    <s v="Landbouw"/>
    <s v="DLO"/>
    <s v="Proj."/>
  </r>
  <r>
    <s v="LNV"/>
    <s v="16.40"/>
    <s v="Onderzoeksprogrammering"/>
    <n v="50.094999999999999"/>
    <n v="47.238"/>
    <n v="28.844000000000001"/>
    <n v="21.132000000000001"/>
    <n v="19.289000000000001"/>
    <n v="17.577999999999999"/>
    <n v="17.577999999999999"/>
    <n v="100"/>
    <x v="23"/>
    <s v="Landbouw "/>
    <s v="DLO"/>
    <s v="Proj."/>
  </r>
  <r>
    <s v="LNV"/>
    <s v="16.40"/>
    <s v="Topsectoren"/>
    <n v="62.569000000000003"/>
    <n v="66.807000000000002"/>
    <n v="66.784000000000006"/>
    <n v="64.995000000000005"/>
    <n v="64.995000000000005"/>
    <n v="64.995000000000005"/>
    <n v="64.995000000000005"/>
    <n v="100"/>
    <x v="23"/>
    <s v="Landbouw "/>
    <s v="DLO"/>
    <s v="Proj."/>
  </r>
  <r>
    <s v="LNV"/>
    <s v="16.40"/>
    <s v="Bijdrage aan ZonMw voor dierproeven"/>
    <n v="0"/>
    <n v="8.0000000000000002E-3"/>
    <n v="1.4999999999999999E-2"/>
    <n v="0.28899999999999998"/>
    <n v="0.56100000000000005"/>
    <n v="0.58799999999999997"/>
    <n v="0.97399999999999998"/>
    <n v="100"/>
    <x v="23"/>
    <s v="Landbouw "/>
    <s v="ZonMw"/>
    <s v="Proj."/>
  </r>
  <r>
    <s v="LNV"/>
    <s v="16.40"/>
    <s v="Agrokennis: onderzoeksprojecten"/>
    <n v="2.1019999999999999"/>
    <n v="1.7210000000000001"/>
    <n v="1.59"/>
    <n v="2.0249999999999999"/>
    <n v="2.4860000000000002"/>
    <n v="2.6269999999999998"/>
    <n v="2.206"/>
    <n v="100"/>
    <x v="23"/>
    <s v="Landbouw "/>
    <s v="O"/>
    <s v="Proj."/>
  </r>
  <r>
    <s v="LNV"/>
    <s v="16.40"/>
    <s v="Agrokennis: Onderzoeksprojecten RVO"/>
    <n v="0.24099999999999999"/>
    <n v="0"/>
    <n v="0"/>
    <n v="0"/>
    <n v="0"/>
    <n v="0"/>
    <n v="0"/>
    <n v="100"/>
    <x v="23"/>
    <s v="Landbouw"/>
    <s v="O"/>
    <s v="Proj."/>
  </r>
  <r>
    <s v="LNV"/>
    <s v="16.40"/>
    <s v="Agrokennis: innovatieprojecten"/>
    <n v="1.1160000000000001"/>
    <n v="2.516"/>
    <n v="2.879"/>
    <n v="2.879"/>
    <n v="2.9289999999999998"/>
    <n v="3.073"/>
    <n v="3.073"/>
    <n v="100"/>
    <x v="23"/>
    <s v="Landbouw "/>
    <s v="O"/>
    <s v="Proj."/>
  </r>
  <r>
    <s v="LNV"/>
    <s v="16.40"/>
    <s v="Agrokennis: basisfinanciering overige kennisinstellingen"/>
    <n v="0.01"/>
    <n v="-5.7000000000000002E-2"/>
    <n v="2.1819999999999999"/>
    <n v="2.101"/>
    <n v="2.101"/>
    <n v="1.98"/>
    <n v="1.98"/>
    <n v="100"/>
    <x v="23"/>
    <s v="Landbouw "/>
    <s v="O"/>
    <s v="Proj."/>
  </r>
  <r>
    <s v="LNV"/>
    <s v="16.40"/>
    <s v="Agrokennis: vernieuwen onderzoeksinfrastructuur"/>
    <n v="0"/>
    <n v="0.20100000000000001"/>
    <n v="0.20100000000000001"/>
    <n v="0.20100000000000001"/>
    <n v="0.20100000000000001"/>
    <n v="0.20100000000000001"/>
    <n v="0.20100000000000001"/>
    <n v="100"/>
    <x v="23"/>
    <s v="Landbouw "/>
    <s v="O"/>
    <s v="Proj."/>
  </r>
  <r>
    <s v="LNV"/>
    <s v="16.40"/>
    <s v="Agrokennis: RVO vernieuwen onderzoeksinfrastructuur"/>
    <n v="0"/>
    <n v="0"/>
    <n v="0"/>
    <n v="0"/>
    <n v="0"/>
    <n v="0"/>
    <n v="0"/>
    <n v="100"/>
    <x v="23"/>
    <s v="Landbouw "/>
    <s v="O"/>
    <s v="Proj."/>
  </r>
  <r>
    <s v="LNV"/>
    <s v="16.40"/>
    <s v="Agrokennis: ontwikkelen kennisbeleid"/>
    <n v="0.89800000000000002"/>
    <n v="1.9810000000000001"/>
    <n v="1.9810000000000001"/>
    <n v="2.3809999999999998"/>
    <n v="2.3809999999999998"/>
    <n v="2.3809999999999998"/>
    <n v="2.3809999999999998"/>
    <n v="100"/>
    <x v="23"/>
    <s v="Landbouw "/>
    <s v="O"/>
    <s v="Proj."/>
  </r>
  <r>
    <s v="LNV"/>
    <s v="16.40"/>
    <s v="Agrokennis: innovatienetwerk kpl. 290100"/>
    <n v="0"/>
    <n v="0"/>
    <n v="0"/>
    <n v="0"/>
    <n v="0"/>
    <n v="0"/>
    <n v="0"/>
    <n v="100"/>
    <x v="23"/>
    <s v="Landbouw "/>
    <s v="O"/>
    <s v="Proj."/>
  </r>
  <r>
    <s v="LNV"/>
    <s v="16.40"/>
    <s v="Opdrachtverlening via RIVM"/>
    <n v="9.4909999999999997"/>
    <n v="10.012"/>
    <n v="4.7130000000000001"/>
    <n v="4.1630000000000003"/>
    <n v="4.1539999999999999"/>
    <n v="3.27"/>
    <n v="2.97"/>
    <n v="100"/>
    <x v="23"/>
    <s v="Landbouw "/>
    <s v="O"/>
    <s v="Proj."/>
  </r>
  <r>
    <s v="SZW"/>
    <n v="1"/>
    <s v="Arbeidsmarkt"/>
    <n v="5.0780000000000003"/>
    <n v="4.72"/>
    <n v="8.4700000000000006"/>
    <n v="8.4700000000000006"/>
    <n v="8.4700000000000006"/>
    <n v="8.4700000000000006"/>
    <n v="8.4700000000000006"/>
    <n v="100"/>
    <x v="18"/>
    <s v="Gezondheid"/>
    <s v="TNO/RIVM"/>
    <s v="Inst."/>
  </r>
  <r>
    <s v="SZW"/>
    <n v="1"/>
    <s v="Arbeidsmarkt"/>
    <n v="2.2290000000000001"/>
    <n v="2.891"/>
    <n v="2.879"/>
    <n v="3.4489999999999998"/>
    <n v="3.323"/>
    <n v="3.2040000000000002"/>
    <n v="3.1709999999999998"/>
    <n v="100"/>
    <x v="0"/>
    <s v="Politieke en soc. systemen, structuren/processen"/>
    <s v="O"/>
    <s v="Proj."/>
  </r>
  <r>
    <s v="SZW"/>
    <n v="1"/>
    <s v="Arbeidsmarkt"/>
    <n v="0.45"/>
    <n v="0.45"/>
    <n v="0.45"/>
    <n v="0.45"/>
    <n v="0"/>
    <n v="0"/>
    <n v="0"/>
    <n v="100"/>
    <x v="0"/>
    <s v="Politieke en soc. systemen, structuren/processen"/>
    <s v="Netspar"/>
    <s v="Proj."/>
  </r>
  <r>
    <s v="SZW"/>
    <n v="7"/>
    <s v="Kinderopvang"/>
    <n v="1.556"/>
    <n v="2.0270000000000001"/>
    <n v="2"/>
    <n v="2"/>
    <n v="2"/>
    <n v="2"/>
    <n v="2"/>
    <n v="100"/>
    <x v="0"/>
    <s v="Politieke en soc. systemen, structuren/processen"/>
    <s v="O"/>
    <s v="Proj."/>
  </r>
  <r>
    <s v="SZW"/>
    <n v="13"/>
    <s v="Samenleving en integratie"/>
    <n v="0.27800000000000002"/>
    <n v="0.14199999999999999"/>
    <n v="0.5"/>
    <n v="0.5"/>
    <n v="0.5"/>
    <n v="0.5"/>
    <n v="0.5"/>
    <n v="100"/>
    <x v="0"/>
    <s v="Politieke en soc. systemen, structuren/processen"/>
    <s v="O"/>
    <s v="Proj."/>
  </r>
  <r>
    <s v="SZW"/>
    <n v="2"/>
    <s v="Bijstand, Participatie en Toeslagenwet"/>
    <n v="3.7509999999999999"/>
    <n v="3.7480000000000002"/>
    <n v="3.121"/>
    <n v="3.4"/>
    <n v="2.2000000000000002"/>
    <n v="2.2000000000000002"/>
    <n v="3.734"/>
    <n v="100"/>
    <x v="0"/>
    <s v="Politieke en soc. systemen, structuren/processen"/>
    <s v="O"/>
    <s v="Proj."/>
  </r>
  <r>
    <s v="VWS"/>
    <s v="BKZ"/>
    <s v="Beschikbaarheidsbijdrage academische zorg"/>
    <n v="22"/>
    <n v="22"/>
    <n v="22"/>
    <n v="22"/>
    <n v="22"/>
    <n v="22"/>
    <n v="22"/>
    <n v="2.6"/>
    <x v="12"/>
    <s v="Medische wetenschappen"/>
    <s v="UMC"/>
    <s v="Inst."/>
  </r>
  <r>
    <s v="VWS"/>
    <s v="1.1"/>
    <s v="Nationaal programma preventie"/>
    <n v="7"/>
    <n v="7"/>
    <n v="7"/>
    <n v="7"/>
    <n v="7"/>
    <n v="7"/>
    <n v="7"/>
    <n v="29.1"/>
    <x v="18"/>
    <s v="Gezondheid"/>
    <s v="SO"/>
    <s v="Proj."/>
  </r>
  <r>
    <s v="VWS"/>
    <s v="1.2"/>
    <s v="Ziektepreventie (vaccinonderzoek RIVM en InTraVacc)"/>
    <n v="20"/>
    <n v="37.161000000000001"/>
    <n v="21.73"/>
    <n v="19"/>
    <n v="19"/>
    <n v="19"/>
    <n v="19"/>
    <n v="12.4"/>
    <x v="12"/>
    <s v="Medische wetenschappen"/>
    <s v="RIVM"/>
    <s v="Inst."/>
  </r>
  <r>
    <s v="VWS"/>
    <s v="1.4.1"/>
    <s v="Ethiek"/>
    <n v="8.7829999999999995"/>
    <n v="10.356999999999999"/>
    <n v="10.43"/>
    <n v="9.8949999999999996"/>
    <n v="9.7940000000000005"/>
    <n v="9.7940000000000005"/>
    <n v="9.7940000000000005"/>
    <n v="36.515772152785097"/>
    <x v="18"/>
    <s v="Gezondheid"/>
    <s v="Proj."/>
    <s v="Proj."/>
  </r>
  <r>
    <s v="VWS"/>
    <s v="2.1"/>
    <s v="Kwaliteit, toegankelijkheid en betaalbaarheid van de zorg (NKI)"/>
    <n v="18.100000000000001"/>
    <n v="18.239000000000001"/>
    <n v="18.239000000000001"/>
    <n v="18.239000000000001"/>
    <n v="18.239000000000001"/>
    <n v="18.239000000000001"/>
    <n v="18.239000000000001"/>
    <n v="7.6327220683132602"/>
    <x v="18"/>
    <s v="Gezondheid"/>
    <s v="SO"/>
    <s v="Inst."/>
  </r>
  <r>
    <s v="VWS"/>
    <s v="4.3"/>
    <s v="Kwaliteit en Veiligheid / Instellingssubsidie Nictiz"/>
    <n v="9.3000000000000007"/>
    <n v="9.5"/>
    <n v="9.5"/>
    <n v="9.5"/>
    <n v="9.5"/>
    <n v="9.5"/>
    <n v="9.5"/>
    <n v="66.447506469888793"/>
    <x v="18"/>
    <s v="Gezondheid"/>
    <s v="SO"/>
    <s v="Inst."/>
  </r>
  <r>
    <s v="VWS"/>
    <s v="1.1"/>
    <s v="Kwaliteit, transparantie en kennisontwikkeling (ZonMw: programmering)"/>
    <n v="236.428"/>
    <n v="359.38499999999999"/>
    <n v="299.75900000000001"/>
    <n v="254.02500000000001"/>
    <n v="216.434"/>
    <n v="172.92699999999999"/>
    <n v="162.00899999999999"/>
    <n v="93.104712090669906"/>
    <x v="18"/>
    <s v="Gezondheid"/>
    <s v="ZonMw"/>
    <s v="Proj."/>
  </r>
  <r>
    <s v="VWS"/>
    <s v="4.1"/>
    <s v="Kwaliteit, transparantie en kennisontwikkeling (NIVEL)"/>
    <n v="6.601"/>
    <n v="7.1559999999999997"/>
    <n v="6.4850000000000003"/>
    <n v="5.9930000000000003"/>
    <n v="5.9640000000000004"/>
    <n v="5.9329999999999998"/>
    <n v="5.9329999999999998"/>
    <n v="17.7880791068931"/>
    <x v="18"/>
    <s v="Gezondheid"/>
    <s v="NIVEL"/>
    <s v="Inst."/>
  </r>
  <r>
    <s v="VWS"/>
    <s v="4.3"/>
    <s v="ZonMW: (topsectoren)"/>
    <n v="15.3"/>
    <n v="23"/>
    <n v="22.2"/>
    <n v="21.9"/>
    <n v="22.4"/>
    <n v="22.4"/>
    <n v="22.4"/>
    <n v="6.9"/>
    <x v="18"/>
    <s v="Gezondheid"/>
    <s v="ZonMw"/>
    <s v="Proj."/>
  </r>
  <r>
    <s v="VWS"/>
    <s v="6.4"/>
    <s v="Sport verenigt Nederland"/>
    <n v="0"/>
    <n v="0"/>
    <n v="0"/>
    <n v="5.3"/>
    <n v="5.5"/>
    <n v="5.5"/>
    <n v="5.5"/>
    <n v="0"/>
    <x v="18"/>
    <s v="Gezondheid"/>
    <s v="Proj."/>
    <s v="Proj."/>
  </r>
  <r>
    <s v="VWS"/>
    <s v="9.3"/>
    <s v="Strategisch onderzoek RIVM"/>
    <n v="12.506"/>
    <n v="12.833"/>
    <n v="13.97638139798746"/>
    <n v="15.107169185114424"/>
    <n v="15.107169185114424"/>
    <n v="15.107169185114424"/>
    <n v="15.107169185114424"/>
    <n v="97.3"/>
    <x v="12"/>
    <s v="Medische wetenschappen"/>
    <s v="RIVM"/>
    <s v="Inst."/>
  </r>
  <r>
    <s v="NGF"/>
    <n v="2"/>
    <s v="Artikel 2 R&amp;D en innovatie subsidies onverdeeld"/>
    <n v="0"/>
    <n v="0.12453075027312456"/>
    <n v="5.3598340816407859"/>
    <n v="8.3922819133004793"/>
    <n v="11.371911314774632"/>
    <n v="11.854528250876358"/>
    <n v="9.5044448026133299"/>
    <n v="50"/>
    <x v="1"/>
    <s v="Mogelijk alle"/>
    <s v="Alle"/>
    <s v="Proj. "/>
  </r>
  <r>
    <s v="NGF"/>
    <n v="2"/>
    <s v="Artikel 2 R&amp;D en innovatie subsidies onverdeeld"/>
    <n v="0"/>
    <n v="0.17392609599328387"/>
    <n v="3.4807537431345894"/>
    <n v="5.8335668561706981"/>
    <n v="7.9685910669214897"/>
    <n v="8.7650663173065819"/>
    <n v="6.6723863292234746"/>
    <n v="50"/>
    <x v="21"/>
    <s v="Mogelijk alle"/>
    <s v="Alle"/>
    <s v="Proj. "/>
  </r>
  <r>
    <s v="NGF"/>
    <n v="2"/>
    <s v="Artikel 2 R&amp;D en innovatie subsidies onverdeeld"/>
    <n v="0"/>
    <n v="0.56572856268803962"/>
    <n v="13.449438483771862"/>
    <n v="21.256266913548025"/>
    <n v="29.439656576755354"/>
    <n v="31.353347518225842"/>
    <n v="25.585350634554274"/>
    <n v="50"/>
    <x v="2"/>
    <s v="Mogelijk alle"/>
    <s v="Alle"/>
    <s v="Proj. "/>
  </r>
  <r>
    <s v="NGF"/>
    <n v="2"/>
    <s v="Artikel 2 R&amp;D en innovatie subsidies onverdeeld"/>
    <n v="0"/>
    <n v="0.38311274898623793"/>
    <n v="9.9239920540713484"/>
    <n v="14.447917731235149"/>
    <n v="20.799595474616396"/>
    <n v="19.387688547909008"/>
    <n v="12.474646429523595"/>
    <n v="50"/>
    <x v="20"/>
    <s v="Mogelijk alle"/>
    <s v="Alle"/>
    <s v="Proj. "/>
  </r>
  <r>
    <s v="NGF"/>
    <n v="2"/>
    <s v="Artikel 2 R&amp;D en innovatie subsidies onverdeeld"/>
    <n v="0"/>
    <n v="0.56454874970500502"/>
    <n v="16.234137067919498"/>
    <n v="24.666269136239503"/>
    <n v="32.39817377901128"/>
    <n v="30.191650628120556"/>
    <n v="22.316106387431049"/>
    <n v="50"/>
    <x v="3"/>
    <s v="Mogelijk alle"/>
    <s v="Alle"/>
    <s v="Proj. "/>
  </r>
  <r>
    <s v="NGF"/>
    <n v="2"/>
    <s v="Artikel 2 R&amp;D en innovatie subsidies onverdeeld"/>
    <n v="0"/>
    <n v="2.2014503389279492"/>
    <n v="55.780173832456612"/>
    <n v="87.375861928472517"/>
    <n v="120.77935744033859"/>
    <n v="122.87628211050436"/>
    <n v="101.82984141038847"/>
    <n v="50"/>
    <x v="22"/>
    <s v="Mogelijk alle"/>
    <s v="Alle"/>
    <s v="Proj. "/>
  </r>
  <r>
    <s v="NGF"/>
    <n v="2"/>
    <s v="Artikel 2 R&amp;D en innovatie subsidies onverdeeld"/>
    <n v="0"/>
    <n v="2.0428467715104404"/>
    <n v="44.314998340036361"/>
    <n v="64.050097163349378"/>
    <n v="79.69388019294982"/>
    <n v="73.142455565650764"/>
    <n v="57.399996015067288"/>
    <n v="50"/>
    <x v="18"/>
    <s v="Mogelijk alle"/>
    <s v="Alle"/>
    <s v="Proj. "/>
  </r>
  <r>
    <s v="NGF"/>
    <n v="2"/>
    <s v="Artikel 2 R&amp;D en innovatie subsidies onverdeeld"/>
    <n v="0"/>
    <n v="0.91838435156893017"/>
    <n v="21.626081608958025"/>
    <n v="33.076912210629942"/>
    <n v="44.277530629991496"/>
    <n v="45.948152602847195"/>
    <n v="37.260409241465624"/>
    <n v="50"/>
    <x v="23"/>
    <s v="Mogelijk alle"/>
    <s v="Alle"/>
    <s v="Proj. "/>
  </r>
  <r>
    <s v="NGF"/>
    <n v="2"/>
    <s v="Artikel 2 R&amp;D en innovatie subsidies onverdeeld"/>
    <n v="0"/>
    <n v="0.17571783840867955"/>
    <n v="4.4147172029140691"/>
    <n v="5.9766952390876869"/>
    <n v="8.4396126325891423"/>
    <n v="7.3593253832725178"/>
    <n v="4.369373120223595"/>
    <n v="50"/>
    <x v="17"/>
    <s v="Mogelijk alle"/>
    <s v="Alle"/>
    <s v="Proj. "/>
  </r>
  <r>
    <s v="NGF"/>
    <n v="2"/>
    <s v="Artikel 2 R&amp;D en innovatie subsidies onverdeeld"/>
    <n v="0"/>
    <n v="7.6220303309983556E-2"/>
    <n v="1.824812740591073"/>
    <n v="2.8849504015291001"/>
    <n v="3.9834479922524331"/>
    <n v="4.3671562522676064"/>
    <n v="3.5619244348919623"/>
    <n v="50"/>
    <x v="15"/>
    <s v="Mogelijk alle"/>
    <s v="Alle"/>
    <s v="Proj. "/>
  </r>
  <r>
    <s v="NGF"/>
    <n v="2"/>
    <s v="Artikel 2 R&amp;D en innovatie subsidies onverdeeld"/>
    <n v="0"/>
    <n v="0.36710481435487091"/>
    <n v="8.4719681407849912"/>
    <n v="12.930058213676425"/>
    <n v="17.350949880296092"/>
    <n v="18.419621785140695"/>
    <n v="15.308222112448879"/>
    <n v="50"/>
    <x v="0"/>
    <s v="Mogelijk alle"/>
    <s v="Alle"/>
    <s v="Proj. "/>
  </r>
  <r>
    <s v="NGF"/>
    <n v="2"/>
    <s v="Artikel 2 R&amp;D en innovatie subsidies onverdeeld"/>
    <n v="0"/>
    <n v="4.5861781232225738"/>
    <n v="109.17048973213535"/>
    <n v="170.34980916608106"/>
    <n v="235.83652256320681"/>
    <n v="250.34998546277646"/>
    <n v="201.11656059836125"/>
    <n v="50"/>
    <x v="16"/>
    <s v="Mogelijk alle"/>
    <s v="Alle"/>
    <s v="Proj. "/>
  </r>
  <r>
    <s v="NGF"/>
    <n v="2"/>
    <s v="Artikel 2 R&amp;D en innovatie subsidies onverdeeld"/>
    <n v="0"/>
    <n v="0.33675055105088236"/>
    <n v="8.4666029715854343"/>
    <n v="14.439313126679988"/>
    <n v="18.98227045629649"/>
    <n v="19.281239575102092"/>
    <n v="15.750738483807174"/>
    <n v="50"/>
    <x v="19"/>
    <s v="Mogelijk alle"/>
    <s v="Alle"/>
    <s v="Proj. "/>
  </r>
  <r>
    <s v="NGF"/>
    <n v="2"/>
    <s v="NGF-project AiNed voorwaardelijke toekenning"/>
    <n v="0"/>
    <n v="0"/>
    <n v="1.98"/>
    <n v="3.96"/>
    <n v="5.94"/>
    <n v="5.94"/>
    <n v="1.98"/>
    <n v="90"/>
    <x v="17"/>
    <m/>
    <s v="U, HBO, O, TO2"/>
    <s v="Proj. "/>
  </r>
  <r>
    <s v="NGF"/>
    <n v="2"/>
    <s v="NGF-project AiNed voorwaardelijke toekenning"/>
    <n v="0"/>
    <n v="0"/>
    <n v="1.98"/>
    <n v="3.96"/>
    <n v="5.94"/>
    <n v="5.94"/>
    <n v="1.98"/>
    <n v="90"/>
    <x v="10"/>
    <m/>
    <s v="U, HBO, O, TO2"/>
    <s v="Proj. "/>
  </r>
  <r>
    <s v="NGF"/>
    <n v="2"/>
    <s v="NGF-project QuantumDeltaNL, voorwaardelijke toekenning"/>
    <n v="0"/>
    <n v="0"/>
    <n v="5.7"/>
    <n v="11.4"/>
    <n v="17.100000000000001"/>
    <n v="17.100000000000001"/>
    <n v="5.7"/>
    <n v="50"/>
    <x v="20"/>
    <m/>
    <s v="U, HBO, O, TO2"/>
    <s v="Proj. "/>
  </r>
  <r>
    <s v="NGF"/>
    <n v="2"/>
    <s v="NGF-project QuantumDeltaNL, voorwaardelijke toekenning"/>
    <n v="0"/>
    <n v="0"/>
    <n v="5.7"/>
    <n v="11.4"/>
    <n v="17.100000000000001"/>
    <n v="17.100000000000001"/>
    <n v="5.7"/>
    <n v="50"/>
    <x v="14"/>
    <m/>
    <s v="U, HBO, O, TO2"/>
    <s v="Proj. "/>
  </r>
  <r>
    <s v="NGF"/>
    <n v="2"/>
    <s v="NGF-project Regmed voorwaardelijke toekenning"/>
    <n v="0"/>
    <n v="0"/>
    <n v="1.7250000000000001"/>
    <n v="2.7749999999999999"/>
    <n v="2.0499999999999998"/>
    <n v="1.2250000000000001"/>
    <n v="0.375"/>
    <n v="50"/>
    <x v="18"/>
    <m/>
    <s v="U, UMC, O"/>
    <s v="Proj. "/>
  </r>
  <r>
    <s v="NGF"/>
    <n v="2"/>
    <s v="NGF-project Regmed voorwaardelijke toekenning"/>
    <n v="0"/>
    <n v="0"/>
    <n v="1.7250000000000001"/>
    <n v="2.7749999999999999"/>
    <n v="2.0499999999999998"/>
    <n v="1.2250000000000001"/>
    <n v="0.375"/>
    <n v="50"/>
    <x v="12"/>
    <m/>
    <s v="U, UMC, O"/>
    <s v="Proj. "/>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Draaitabel1" cacheId="1" applyNumberFormats="0" applyBorderFormats="0" applyFontFormats="0" applyPatternFormats="0" applyAlignmentFormats="0" applyWidthHeightFormats="1" dataCaption="Waarden" updatedVersion="6" minRefreshableVersion="3" useAutoFormatting="1" itemPrintTitles="1" createdVersion="6" indent="0" outline="1" outlineData="1" multipleFieldFilters="0">
  <location ref="A3:G29" firstHeaderRow="0" firstDataRow="1" firstDataCol="1"/>
  <pivotFields count="15">
    <pivotField showAll="0"/>
    <pivotField showAll="0"/>
    <pivotField showAll="0"/>
    <pivotField dataField="1" showAll="0"/>
    <pivotField dataField="1" showAll="0"/>
    <pivotField dataField="1" showAll="0"/>
    <pivotField dataField="1" showAll="0"/>
    <pivotField dataField="1" showAll="0"/>
    <pivotField dataField="1" showAll="0"/>
    <pivotField showAll="0" defaultSubtotal="0"/>
    <pivotField showAll="0"/>
    <pivotField axis="axisRow" showAll="0">
      <items count="26">
        <item x="1"/>
        <item x="21"/>
        <item x="2"/>
        <item x="20"/>
        <item x="3"/>
        <item x="22"/>
        <item x="18"/>
        <item x="23"/>
        <item x="17"/>
        <item x="15"/>
        <item x="0"/>
        <item x="19"/>
        <item x="4"/>
        <item x="5"/>
        <item x="6"/>
        <item x="7"/>
        <item x="8"/>
        <item x="9"/>
        <item x="16"/>
        <item x="11"/>
        <item x="14"/>
        <item x="12"/>
        <item x="24"/>
        <item x="10"/>
        <item x="13"/>
        <item t="default"/>
      </items>
    </pivotField>
    <pivotField showAll="0"/>
    <pivotField showAll="0"/>
    <pivotField showAll="0"/>
  </pivotFields>
  <rowFields count="1">
    <field x="11"/>
  </rowFields>
  <rowItems count="26">
    <i>
      <x/>
    </i>
    <i>
      <x v="1"/>
    </i>
    <i>
      <x v="2"/>
    </i>
    <i>
      <x v="3"/>
    </i>
    <i>
      <x v="4"/>
    </i>
    <i>
      <x v="5"/>
    </i>
    <i>
      <x v="6"/>
    </i>
    <i>
      <x v="7"/>
    </i>
    <i>
      <x v="8"/>
    </i>
    <i>
      <x v="9"/>
    </i>
    <i>
      <x v="10"/>
    </i>
    <i>
      <x v="11"/>
    </i>
    <i>
      <x v="12"/>
    </i>
    <i>
      <x v="13"/>
    </i>
    <i>
      <x v="14"/>
    </i>
    <i>
      <x v="15"/>
    </i>
    <i>
      <x v="16"/>
    </i>
    <i>
      <x v="17"/>
    </i>
    <i>
      <x v="18"/>
    </i>
    <i>
      <x v="19"/>
    </i>
    <i>
      <x v="20"/>
    </i>
    <i>
      <x v="21"/>
    </i>
    <i>
      <x v="22"/>
    </i>
    <i>
      <x v="23"/>
    </i>
    <i>
      <x v="24"/>
    </i>
    <i t="grand">
      <x/>
    </i>
  </rowItems>
  <colFields count="1">
    <field x="-2"/>
  </colFields>
  <colItems count="6">
    <i>
      <x/>
    </i>
    <i i="1">
      <x v="1"/>
    </i>
    <i i="2">
      <x v="2"/>
    </i>
    <i i="3">
      <x v="3"/>
    </i>
    <i i="4">
      <x v="4"/>
    </i>
    <i i="5">
      <x v="5"/>
    </i>
  </colItems>
  <dataFields count="6">
    <dataField name="Som van 2021" fld="3" baseField="11" baseItem="0"/>
    <dataField name="Som van 2022" fld="4" baseField="11" baseItem="0"/>
    <dataField name="Som van 2023" fld="5" baseField="11" baseItem="0"/>
    <dataField name="Som van 2024" fld="6" baseField="11" baseItem="0"/>
    <dataField name="Som van 2025" fld="7" baseField="11" baseItem="0"/>
    <dataField name="Som van 2026" fld="8" baseField="1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N16" firstHeaderRow="1" firstDataRow="2" firstDataCol="1"/>
  <pivotFields count="15">
    <pivotField axis="axisRow" showAll="0">
      <items count="12">
        <item x="0"/>
        <item x="3"/>
        <item x="1"/>
        <item x="5"/>
        <item x="7"/>
        <item x="6"/>
        <item x="2"/>
        <item x="8"/>
        <item x="4"/>
        <item x="9"/>
        <item x="10"/>
        <item t="default"/>
      </items>
    </pivotField>
    <pivotField showAll="0"/>
    <pivotField showAll="0"/>
    <pivotField showAll="0"/>
    <pivotField showAll="0">
      <items count="201">
        <item x="46"/>
        <item x="119"/>
        <item x="117"/>
        <item x="60"/>
        <item x="156"/>
        <item x="76"/>
        <item x="10"/>
        <item x="199"/>
        <item x="84"/>
        <item x="198"/>
        <item x="183"/>
        <item x="63"/>
        <item x="61"/>
        <item x="99"/>
        <item x="154"/>
        <item x="124"/>
        <item x="177"/>
        <item x="42"/>
        <item x="78"/>
        <item x="129"/>
        <item x="97"/>
        <item x="77"/>
        <item x="1"/>
        <item x="82"/>
        <item x="53"/>
        <item x="91"/>
        <item x="67"/>
        <item x="74"/>
        <item x="71"/>
        <item x="141"/>
        <item x="182"/>
        <item x="148"/>
        <item x="65"/>
        <item x="57"/>
        <item x="98"/>
        <item x="143"/>
        <item x="64"/>
        <item x="149"/>
        <item x="123"/>
        <item x="62"/>
        <item x="0"/>
        <item x="14"/>
        <item x="87"/>
        <item x="55"/>
        <item x="90"/>
        <item x="174"/>
        <item x="80"/>
        <item x="115"/>
        <item x="164"/>
        <item x="47"/>
        <item x="75"/>
        <item x="81"/>
        <item x="9"/>
        <item x="79"/>
        <item x="66"/>
        <item x="138"/>
        <item x="72"/>
        <item x="142"/>
        <item x="163"/>
        <item x="106"/>
        <item x="118"/>
        <item x="92"/>
        <item x="126"/>
        <item x="125"/>
        <item x="157"/>
        <item x="152"/>
        <item x="144"/>
        <item x="178"/>
        <item x="190"/>
        <item x="160"/>
        <item x="83"/>
        <item x="2"/>
        <item x="184"/>
        <item x="54"/>
        <item x="116"/>
        <item x="172"/>
        <item x="176"/>
        <item x="173"/>
        <item x="137"/>
        <item x="24"/>
        <item x="175"/>
        <item x="181"/>
        <item x="13"/>
        <item x="89"/>
        <item x="150"/>
        <item x="93"/>
        <item x="153"/>
        <item x="130"/>
        <item x="43"/>
        <item x="6"/>
        <item x="86"/>
        <item x="140"/>
        <item x="11"/>
        <item x="166"/>
        <item x="188"/>
        <item x="127"/>
        <item x="85"/>
        <item x="122"/>
        <item x="45"/>
        <item x="44"/>
        <item x="165"/>
        <item x="197"/>
        <item x="73"/>
        <item x="168"/>
        <item x="180"/>
        <item x="5"/>
        <item x="179"/>
        <item x="139"/>
        <item x="113"/>
        <item x="94"/>
        <item x="48"/>
        <item x="158"/>
        <item x="69"/>
        <item x="4"/>
        <item x="88"/>
        <item x="193"/>
        <item x="162"/>
        <item x="40"/>
        <item x="70"/>
        <item x="7"/>
        <item x="58"/>
        <item x="186"/>
        <item x="196"/>
        <item x="151"/>
        <item x="146"/>
        <item x="120"/>
        <item x="37"/>
        <item x="128"/>
        <item x="136"/>
        <item x="155"/>
        <item x="161"/>
        <item x="41"/>
        <item x="31"/>
        <item x="51"/>
        <item x="191"/>
        <item x="15"/>
        <item x="52"/>
        <item x="22"/>
        <item x="195"/>
        <item x="19"/>
        <item x="17"/>
        <item x="8"/>
        <item x="105"/>
        <item x="134"/>
        <item x="132"/>
        <item x="33"/>
        <item x="187"/>
        <item x="21"/>
        <item x="145"/>
        <item x="194"/>
        <item x="18"/>
        <item x="96"/>
        <item x="189"/>
        <item x="100"/>
        <item x="159"/>
        <item x="111"/>
        <item x="107"/>
        <item x="59"/>
        <item x="147"/>
        <item x="23"/>
        <item x="170"/>
        <item x="109"/>
        <item x="185"/>
        <item x="103"/>
        <item x="36"/>
        <item x="167"/>
        <item x="135"/>
        <item x="114"/>
        <item x="112"/>
        <item x="110"/>
        <item x="95"/>
        <item x="3"/>
        <item x="27"/>
        <item x="39"/>
        <item x="68"/>
        <item x="16"/>
        <item x="49"/>
        <item x="35"/>
        <item x="34"/>
        <item x="133"/>
        <item x="29"/>
        <item x="131"/>
        <item x="56"/>
        <item x="104"/>
        <item x="50"/>
        <item x="171"/>
        <item x="101"/>
        <item x="28"/>
        <item x="20"/>
        <item x="102"/>
        <item x="121"/>
        <item x="169"/>
        <item x="108"/>
        <item x="32"/>
        <item x="26"/>
        <item x="38"/>
        <item x="30"/>
        <item x="25"/>
        <item x="192"/>
        <item x="12"/>
        <item t="default"/>
      </items>
    </pivotField>
    <pivotField showAll="0">
      <items count="195">
        <item x="46"/>
        <item x="121"/>
        <item x="61"/>
        <item x="78"/>
        <item x="10"/>
        <item x="193"/>
        <item x="192"/>
        <item x="86"/>
        <item x="65"/>
        <item x="62"/>
        <item x="103"/>
        <item x="138"/>
        <item x="172"/>
        <item x="42"/>
        <item x="80"/>
        <item x="1"/>
        <item x="149"/>
        <item x="101"/>
        <item x="76"/>
        <item x="84"/>
        <item x="79"/>
        <item x="53"/>
        <item x="139"/>
        <item x="93"/>
        <item x="69"/>
        <item x="167"/>
        <item x="73"/>
        <item x="158"/>
        <item x="177"/>
        <item x="67"/>
        <item x="82"/>
        <item x="169"/>
        <item x="57"/>
        <item x="102"/>
        <item x="66"/>
        <item x="127"/>
        <item x="144"/>
        <item x="0"/>
        <item x="63"/>
        <item x="135"/>
        <item x="178"/>
        <item x="14"/>
        <item x="55"/>
        <item x="122"/>
        <item x="92"/>
        <item x="9"/>
        <item x="47"/>
        <item x="77"/>
        <item x="83"/>
        <item x="68"/>
        <item x="89"/>
        <item x="168"/>
        <item x="134"/>
        <item x="157"/>
        <item x="91"/>
        <item x="94"/>
        <item x="143"/>
        <item x="58"/>
        <item x="147"/>
        <item x="85"/>
        <item x="74"/>
        <item x="110"/>
        <item x="129"/>
        <item x="173"/>
        <item x="154"/>
        <item x="179"/>
        <item x="151"/>
        <item x="81"/>
        <item x="148"/>
        <item x="54"/>
        <item x="98"/>
        <item x="176"/>
        <item x="24"/>
        <item x="88"/>
        <item x="11"/>
        <item x="171"/>
        <item x="13"/>
        <item x="72"/>
        <item x="96"/>
        <item x="45"/>
        <item x="43"/>
        <item x="6"/>
        <item x="161"/>
        <item x="137"/>
        <item x="170"/>
        <item x="126"/>
        <item x="2"/>
        <item x="44"/>
        <item x="5"/>
        <item x="159"/>
        <item x="191"/>
        <item x="87"/>
        <item x="75"/>
        <item x="145"/>
        <item x="120"/>
        <item x="136"/>
        <item x="163"/>
        <item x="175"/>
        <item x="174"/>
        <item x="31"/>
        <item x="95"/>
        <item x="160"/>
        <item x="97"/>
        <item x="48"/>
        <item x="152"/>
        <item x="4"/>
        <item x="71"/>
        <item x="59"/>
        <item x="187"/>
        <item x="185"/>
        <item x="40"/>
        <item x="7"/>
        <item x="115"/>
        <item x="183"/>
        <item x="181"/>
        <item x="128"/>
        <item x="155"/>
        <item x="190"/>
        <item x="90"/>
        <item x="118"/>
        <item x="146"/>
        <item x="37"/>
        <item x="124"/>
        <item x="140"/>
        <item x="52"/>
        <item x="150"/>
        <item x="41"/>
        <item x="51"/>
        <item x="15"/>
        <item x="8"/>
        <item x="22"/>
        <item x="189"/>
        <item x="19"/>
        <item x="17"/>
        <item x="141"/>
        <item x="33"/>
        <item x="182"/>
        <item x="21"/>
        <item x="156"/>
        <item x="109"/>
        <item x="123"/>
        <item x="18"/>
        <item x="184"/>
        <item x="188"/>
        <item x="165"/>
        <item x="133"/>
        <item x="104"/>
        <item x="100"/>
        <item x="116"/>
        <item x="131"/>
        <item x="142"/>
        <item x="23"/>
        <item x="111"/>
        <item x="180"/>
        <item x="107"/>
        <item x="36"/>
        <item x="153"/>
        <item x="119"/>
        <item x="162"/>
        <item x="117"/>
        <item x="113"/>
        <item x="39"/>
        <item x="3"/>
        <item x="70"/>
        <item x="60"/>
        <item x="114"/>
        <item x="27"/>
        <item x="35"/>
        <item x="16"/>
        <item x="49"/>
        <item x="132"/>
        <item x="34"/>
        <item x="99"/>
        <item x="130"/>
        <item x="108"/>
        <item x="29"/>
        <item x="56"/>
        <item x="50"/>
        <item x="105"/>
        <item x="38"/>
        <item x="28"/>
        <item x="166"/>
        <item x="20"/>
        <item x="106"/>
        <item x="32"/>
        <item x="164"/>
        <item x="125"/>
        <item x="112"/>
        <item x="26"/>
        <item x="30"/>
        <item x="25"/>
        <item x="186"/>
        <item x="64"/>
        <item x="12"/>
        <item t="default"/>
      </items>
    </pivotField>
    <pivotField showAll="0">
      <items count="193">
        <item x="46"/>
        <item x="119"/>
        <item x="100"/>
        <item x="76"/>
        <item x="10"/>
        <item x="191"/>
        <item x="190"/>
        <item x="84"/>
        <item x="63"/>
        <item x="60"/>
        <item x="101"/>
        <item x="138"/>
        <item x="169"/>
        <item x="42"/>
        <item x="78"/>
        <item x="139"/>
        <item x="1"/>
        <item x="149"/>
        <item x="99"/>
        <item x="82"/>
        <item x="77"/>
        <item x="53"/>
        <item x="91"/>
        <item x="67"/>
        <item x="80"/>
        <item x="71"/>
        <item x="174"/>
        <item x="74"/>
        <item x="65"/>
        <item x="120"/>
        <item x="175"/>
        <item x="158"/>
        <item x="57"/>
        <item x="64"/>
        <item x="125"/>
        <item x="144"/>
        <item x="0"/>
        <item x="61"/>
        <item x="135"/>
        <item x="14"/>
        <item x="75"/>
        <item x="55"/>
        <item x="47"/>
        <item x="9"/>
        <item x="127"/>
        <item x="90"/>
        <item x="81"/>
        <item x="66"/>
        <item x="134"/>
        <item x="157"/>
        <item x="79"/>
        <item x="89"/>
        <item x="143"/>
        <item x="44"/>
        <item x="88"/>
        <item x="87"/>
        <item x="86"/>
        <item x="72"/>
        <item x="83"/>
        <item x="166"/>
        <item x="108"/>
        <item x="186"/>
        <item x="154"/>
        <item x="147"/>
        <item x="176"/>
        <item x="151"/>
        <item x="133"/>
        <item x="148"/>
        <item x="54"/>
        <item x="24"/>
        <item x="168"/>
        <item x="13"/>
        <item x="70"/>
        <item x="96"/>
        <item x="94"/>
        <item x="173"/>
        <item x="11"/>
        <item x="43"/>
        <item x="170"/>
        <item x="6"/>
        <item x="160"/>
        <item x="45"/>
        <item x="137"/>
        <item x="92"/>
        <item x="167"/>
        <item x="85"/>
        <item x="124"/>
        <item x="2"/>
        <item x="5"/>
        <item x="145"/>
        <item x="128"/>
        <item x="189"/>
        <item x="73"/>
        <item x="141"/>
        <item x="172"/>
        <item x="136"/>
        <item x="162"/>
        <item x="118"/>
        <item x="171"/>
        <item x="31"/>
        <item x="93"/>
        <item x="159"/>
        <item x="4"/>
        <item x="95"/>
        <item x="48"/>
        <item x="152"/>
        <item x="69"/>
        <item x="146"/>
        <item x="58"/>
        <item x="184"/>
        <item x="155"/>
        <item x="182"/>
        <item x="40"/>
        <item x="180"/>
        <item x="122"/>
        <item x="7"/>
        <item x="113"/>
        <item x="178"/>
        <item x="150"/>
        <item x="126"/>
        <item x="188"/>
        <item x="121"/>
        <item x="37"/>
        <item x="52"/>
        <item x="41"/>
        <item x="140"/>
        <item x="51"/>
        <item x="15"/>
        <item x="116"/>
        <item x="8"/>
        <item x="22"/>
        <item x="187"/>
        <item x="19"/>
        <item x="17"/>
        <item x="156"/>
        <item x="33"/>
        <item x="179"/>
        <item x="164"/>
        <item x="21"/>
        <item x="132"/>
        <item x="185"/>
        <item x="107"/>
        <item x="18"/>
        <item x="142"/>
        <item x="181"/>
        <item x="102"/>
        <item x="98"/>
        <item x="114"/>
        <item x="130"/>
        <item x="23"/>
        <item x="39"/>
        <item x="109"/>
        <item x="177"/>
        <item x="153"/>
        <item x="105"/>
        <item x="36"/>
        <item x="161"/>
        <item x="115"/>
        <item x="131"/>
        <item x="117"/>
        <item x="68"/>
        <item x="3"/>
        <item x="111"/>
        <item x="59"/>
        <item x="27"/>
        <item x="112"/>
        <item x="35"/>
        <item x="16"/>
        <item x="49"/>
        <item x="34"/>
        <item x="129"/>
        <item x="97"/>
        <item x="106"/>
        <item x="29"/>
        <item x="56"/>
        <item x="50"/>
        <item x="103"/>
        <item x="38"/>
        <item x="123"/>
        <item x="28"/>
        <item x="165"/>
        <item x="20"/>
        <item x="104"/>
        <item x="163"/>
        <item x="32"/>
        <item x="110"/>
        <item x="26"/>
        <item x="30"/>
        <item x="25"/>
        <item x="183"/>
        <item x="62"/>
        <item x="12"/>
        <item t="default"/>
      </items>
    </pivotField>
    <pivotField showAll="0">
      <items count="192">
        <item x="46"/>
        <item x="120"/>
        <item x="101"/>
        <item x="60"/>
        <item x="77"/>
        <item x="10"/>
        <item x="190"/>
        <item x="189"/>
        <item x="85"/>
        <item x="64"/>
        <item x="61"/>
        <item x="102"/>
        <item x="137"/>
        <item x="168"/>
        <item x="42"/>
        <item x="79"/>
        <item x="1"/>
        <item x="148"/>
        <item x="100"/>
        <item x="83"/>
        <item x="78"/>
        <item x="138"/>
        <item x="53"/>
        <item x="92"/>
        <item x="68"/>
        <item x="81"/>
        <item x="72"/>
        <item x="88"/>
        <item x="173"/>
        <item x="75"/>
        <item x="66"/>
        <item x="121"/>
        <item x="174"/>
        <item x="76"/>
        <item x="157"/>
        <item x="57"/>
        <item x="65"/>
        <item x="126"/>
        <item x="143"/>
        <item x="0"/>
        <item x="62"/>
        <item x="14"/>
        <item x="164"/>
        <item x="140"/>
        <item x="55"/>
        <item x="47"/>
        <item x="128"/>
        <item x="91"/>
        <item x="9"/>
        <item x="82"/>
        <item x="67"/>
        <item x="134"/>
        <item x="156"/>
        <item x="90"/>
        <item x="89"/>
        <item x="87"/>
        <item x="44"/>
        <item x="80"/>
        <item x="73"/>
        <item x="142"/>
        <item x="84"/>
        <item x="109"/>
        <item x="153"/>
        <item x="175"/>
        <item x="150"/>
        <item x="165"/>
        <item x="167"/>
        <item x="54"/>
        <item x="24"/>
        <item x="86"/>
        <item x="146"/>
        <item x="13"/>
        <item x="71"/>
        <item x="95"/>
        <item x="147"/>
        <item x="43"/>
        <item x="169"/>
        <item x="97"/>
        <item x="172"/>
        <item x="11"/>
        <item x="6"/>
        <item x="158"/>
        <item x="93"/>
        <item x="45"/>
        <item x="136"/>
        <item x="144"/>
        <item x="125"/>
        <item x="2"/>
        <item x="166"/>
        <item x="170"/>
        <item x="5"/>
        <item x="185"/>
        <item x="188"/>
        <item x="74"/>
        <item x="160"/>
        <item x="119"/>
        <item x="129"/>
        <item x="135"/>
        <item x="31"/>
        <item x="4"/>
        <item x="94"/>
        <item x="154"/>
        <item x="96"/>
        <item x="48"/>
        <item x="151"/>
        <item x="70"/>
        <item x="145"/>
        <item x="183"/>
        <item x="123"/>
        <item x="58"/>
        <item x="181"/>
        <item x="40"/>
        <item x="179"/>
        <item x="7"/>
        <item x="171"/>
        <item x="114"/>
        <item x="177"/>
        <item x="127"/>
        <item x="149"/>
        <item x="187"/>
        <item x="37"/>
        <item x="52"/>
        <item x="41"/>
        <item x="51"/>
        <item x="15"/>
        <item x="117"/>
        <item x="155"/>
        <item x="8"/>
        <item x="22"/>
        <item x="139"/>
        <item x="186"/>
        <item x="19"/>
        <item x="17"/>
        <item x="133"/>
        <item x="162"/>
        <item x="33"/>
        <item x="178"/>
        <item x="21"/>
        <item x="184"/>
        <item x="18"/>
        <item x="131"/>
        <item x="108"/>
        <item x="180"/>
        <item x="103"/>
        <item x="39"/>
        <item x="99"/>
        <item x="115"/>
        <item x="23"/>
        <item x="141"/>
        <item x="106"/>
        <item x="176"/>
        <item x="152"/>
        <item x="110"/>
        <item x="36"/>
        <item x="159"/>
        <item x="118"/>
        <item x="3"/>
        <item x="116"/>
        <item x="122"/>
        <item x="69"/>
        <item x="112"/>
        <item x="59"/>
        <item x="27"/>
        <item x="35"/>
        <item x="113"/>
        <item x="16"/>
        <item x="49"/>
        <item x="34"/>
        <item x="98"/>
        <item x="132"/>
        <item x="124"/>
        <item x="130"/>
        <item x="107"/>
        <item x="29"/>
        <item x="56"/>
        <item x="50"/>
        <item x="104"/>
        <item x="38"/>
        <item x="28"/>
        <item x="163"/>
        <item x="105"/>
        <item x="20"/>
        <item x="32"/>
        <item x="161"/>
        <item x="111"/>
        <item x="26"/>
        <item x="30"/>
        <item x="25"/>
        <item x="182"/>
        <item x="63"/>
        <item x="12"/>
        <item t="default"/>
      </items>
    </pivotField>
    <pivotField showAll="0">
      <items count="189">
        <item x="46"/>
        <item x="120"/>
        <item x="101"/>
        <item x="60"/>
        <item x="77"/>
        <item x="10"/>
        <item x="187"/>
        <item x="85"/>
        <item x="186"/>
        <item x="64"/>
        <item x="138"/>
        <item x="61"/>
        <item x="136"/>
        <item x="102"/>
        <item x="165"/>
        <item x="42"/>
        <item x="79"/>
        <item x="83"/>
        <item x="1"/>
        <item x="145"/>
        <item x="100"/>
        <item x="78"/>
        <item x="53"/>
        <item x="92"/>
        <item x="68"/>
        <item x="81"/>
        <item x="72"/>
        <item x="75"/>
        <item x="66"/>
        <item x="123"/>
        <item x="121"/>
        <item x="171"/>
        <item x="76"/>
        <item x="154"/>
        <item x="57"/>
        <item x="88"/>
        <item x="65"/>
        <item x="126"/>
        <item x="141"/>
        <item x="0"/>
        <item x="62"/>
        <item x="14"/>
        <item x="55"/>
        <item x="127"/>
        <item x="9"/>
        <item x="47"/>
        <item x="80"/>
        <item x="91"/>
        <item x="82"/>
        <item x="144"/>
        <item x="86"/>
        <item x="67"/>
        <item x="161"/>
        <item x="140"/>
        <item x="89"/>
        <item x="153"/>
        <item x="90"/>
        <item x="87"/>
        <item x="44"/>
        <item x="73"/>
        <item x="109"/>
        <item x="84"/>
        <item x="150"/>
        <item x="172"/>
        <item x="147"/>
        <item x="164"/>
        <item x="54"/>
        <item x="24"/>
        <item x="13"/>
        <item x="162"/>
        <item x="11"/>
        <item x="71"/>
        <item x="95"/>
        <item x="97"/>
        <item x="43"/>
        <item x="166"/>
        <item x="169"/>
        <item x="167"/>
        <item x="6"/>
        <item x="93"/>
        <item x="45"/>
        <item x="135"/>
        <item x="155"/>
        <item x="125"/>
        <item x="2"/>
        <item x="163"/>
        <item x="5"/>
        <item x="182"/>
        <item x="142"/>
        <item x="74"/>
        <item x="185"/>
        <item x="170"/>
        <item x="151"/>
        <item x="157"/>
        <item x="119"/>
        <item x="134"/>
        <item x="31"/>
        <item x="4"/>
        <item x="94"/>
        <item x="96"/>
        <item x="48"/>
        <item x="148"/>
        <item x="70"/>
        <item x="180"/>
        <item x="143"/>
        <item x="129"/>
        <item x="133"/>
        <item x="58"/>
        <item x="178"/>
        <item x="40"/>
        <item x="176"/>
        <item x="7"/>
        <item x="168"/>
        <item x="114"/>
        <item x="128"/>
        <item x="174"/>
        <item x="184"/>
        <item x="37"/>
        <item x="146"/>
        <item x="52"/>
        <item x="41"/>
        <item x="51"/>
        <item x="15"/>
        <item x="117"/>
        <item x="8"/>
        <item x="22"/>
        <item x="137"/>
        <item x="183"/>
        <item x="19"/>
        <item x="152"/>
        <item x="17"/>
        <item x="159"/>
        <item x="33"/>
        <item x="181"/>
        <item x="175"/>
        <item x="21"/>
        <item x="39"/>
        <item x="131"/>
        <item x="18"/>
        <item x="108"/>
        <item x="177"/>
        <item x="103"/>
        <item x="99"/>
        <item x="115"/>
        <item x="23"/>
        <item x="139"/>
        <item x="106"/>
        <item x="173"/>
        <item x="149"/>
        <item x="110"/>
        <item x="36"/>
        <item x="3"/>
        <item x="118"/>
        <item x="116"/>
        <item x="69"/>
        <item x="156"/>
        <item x="112"/>
        <item x="59"/>
        <item x="27"/>
        <item x="35"/>
        <item x="113"/>
        <item x="16"/>
        <item x="49"/>
        <item x="124"/>
        <item x="34"/>
        <item x="98"/>
        <item x="122"/>
        <item x="107"/>
        <item x="130"/>
        <item x="132"/>
        <item x="29"/>
        <item x="56"/>
        <item x="50"/>
        <item x="104"/>
        <item x="38"/>
        <item x="160"/>
        <item x="28"/>
        <item x="105"/>
        <item x="20"/>
        <item x="32"/>
        <item x="158"/>
        <item x="111"/>
        <item x="26"/>
        <item x="30"/>
        <item x="25"/>
        <item x="179"/>
        <item x="63"/>
        <item x="12"/>
        <item t="default"/>
      </items>
    </pivotField>
    <pivotField dataField="1" showAll="0">
      <items count="185">
        <item x="46"/>
        <item x="123"/>
        <item x="120"/>
        <item x="101"/>
        <item x="60"/>
        <item x="77"/>
        <item x="10"/>
        <item x="183"/>
        <item x="85"/>
        <item x="182"/>
        <item x="64"/>
        <item x="136"/>
        <item x="89"/>
        <item x="61"/>
        <item x="102"/>
        <item x="162"/>
        <item x="42"/>
        <item x="79"/>
        <item x="1"/>
        <item x="143"/>
        <item x="100"/>
        <item x="83"/>
        <item x="78"/>
        <item x="53"/>
        <item x="92"/>
        <item x="68"/>
        <item x="81"/>
        <item x="72"/>
        <item x="88"/>
        <item x="75"/>
        <item x="66"/>
        <item x="121"/>
        <item x="167"/>
        <item x="76"/>
        <item x="152"/>
        <item x="138"/>
        <item x="57"/>
        <item x="65"/>
        <item x="126"/>
        <item x="139"/>
        <item x="0"/>
        <item x="62"/>
        <item x="14"/>
        <item x="55"/>
        <item x="9"/>
        <item x="47"/>
        <item x="80"/>
        <item x="91"/>
        <item x="82"/>
        <item x="142"/>
        <item x="86"/>
        <item x="67"/>
        <item x="87"/>
        <item x="151"/>
        <item x="90"/>
        <item x="44"/>
        <item x="73"/>
        <item x="84"/>
        <item x="109"/>
        <item x="148"/>
        <item x="168"/>
        <item x="145"/>
        <item x="161"/>
        <item x="54"/>
        <item x="158"/>
        <item x="24"/>
        <item x="159"/>
        <item x="11"/>
        <item x="13"/>
        <item x="71"/>
        <item x="95"/>
        <item x="97"/>
        <item x="166"/>
        <item x="43"/>
        <item x="163"/>
        <item x="164"/>
        <item x="6"/>
        <item x="93"/>
        <item x="45"/>
        <item x="134"/>
        <item x="125"/>
        <item x="2"/>
        <item x="160"/>
        <item x="149"/>
        <item x="5"/>
        <item x="178"/>
        <item x="74"/>
        <item x="119"/>
        <item x="181"/>
        <item x="154"/>
        <item x="133"/>
        <item x="31"/>
        <item x="4"/>
        <item x="94"/>
        <item x="96"/>
        <item x="48"/>
        <item x="146"/>
        <item x="70"/>
        <item x="176"/>
        <item x="141"/>
        <item x="140"/>
        <item x="128"/>
        <item x="58"/>
        <item x="174"/>
        <item x="40"/>
        <item x="172"/>
        <item x="132"/>
        <item x="7"/>
        <item x="165"/>
        <item x="114"/>
        <item x="127"/>
        <item x="170"/>
        <item x="180"/>
        <item x="37"/>
        <item x="144"/>
        <item x="52"/>
        <item x="41"/>
        <item x="51"/>
        <item x="15"/>
        <item x="117"/>
        <item x="8"/>
        <item x="22"/>
        <item x="135"/>
        <item x="150"/>
        <item x="179"/>
        <item x="19"/>
        <item x="17"/>
        <item x="156"/>
        <item x="177"/>
        <item x="33"/>
        <item x="171"/>
        <item x="21"/>
        <item x="39"/>
        <item x="130"/>
        <item x="18"/>
        <item x="108"/>
        <item x="173"/>
        <item x="103"/>
        <item x="99"/>
        <item x="115"/>
        <item x="23"/>
        <item x="137"/>
        <item x="106"/>
        <item x="169"/>
        <item x="147"/>
        <item x="110"/>
        <item x="36"/>
        <item x="3"/>
        <item x="118"/>
        <item x="116"/>
        <item x="69"/>
        <item x="153"/>
        <item x="124"/>
        <item x="112"/>
        <item x="59"/>
        <item x="27"/>
        <item x="35"/>
        <item x="113"/>
        <item x="16"/>
        <item x="49"/>
        <item x="34"/>
        <item x="98"/>
        <item x="131"/>
        <item x="107"/>
        <item x="29"/>
        <item x="129"/>
        <item x="56"/>
        <item x="122"/>
        <item x="50"/>
        <item x="104"/>
        <item x="38"/>
        <item x="157"/>
        <item x="28"/>
        <item x="105"/>
        <item x="20"/>
        <item x="32"/>
        <item x="155"/>
        <item x="111"/>
        <item x="26"/>
        <item x="30"/>
        <item x="25"/>
        <item x="175"/>
        <item x="63"/>
        <item x="12"/>
        <item t="default"/>
      </items>
    </pivotField>
    <pivotField showAll="0"/>
    <pivotField axis="axisCol" showAll="0">
      <items count="26">
        <item x="1"/>
        <item x="21"/>
        <item x="2"/>
        <item x="20"/>
        <item x="3"/>
        <item x="22"/>
        <item x="18"/>
        <item x="23"/>
        <item x="17"/>
        <item x="16"/>
        <item x="0"/>
        <item h="1" x="15"/>
        <item x="19"/>
        <item h="1" x="4"/>
        <item h="1" x="5"/>
        <item h="1" x="6"/>
        <item h="1" x="7"/>
        <item h="1" x="8"/>
        <item h="1" x="9"/>
        <item h="1" x="11"/>
        <item h="1" x="14"/>
        <item h="1" x="12"/>
        <item h="1" x="10"/>
        <item h="1" x="13"/>
        <item h="1" x="24"/>
        <item t="default"/>
      </items>
    </pivotField>
    <pivotField showAll="0"/>
    <pivotField showAll="0"/>
    <pivotField showAll="0"/>
  </pivotFields>
  <rowFields count="1">
    <field x="0"/>
  </rowFields>
  <rowItems count="12">
    <i>
      <x/>
    </i>
    <i>
      <x v="1"/>
    </i>
    <i>
      <x v="2"/>
    </i>
    <i>
      <x v="3"/>
    </i>
    <i>
      <x v="4"/>
    </i>
    <i>
      <x v="5"/>
    </i>
    <i>
      <x v="6"/>
    </i>
    <i>
      <x v="7"/>
    </i>
    <i>
      <x v="8"/>
    </i>
    <i>
      <x v="9"/>
    </i>
    <i>
      <x v="10"/>
    </i>
    <i t="grand">
      <x/>
    </i>
  </rowItems>
  <colFields count="1">
    <field x="11"/>
  </colFields>
  <colItems count="13">
    <i>
      <x/>
    </i>
    <i>
      <x v="1"/>
    </i>
    <i>
      <x v="2"/>
    </i>
    <i>
      <x v="3"/>
    </i>
    <i>
      <x v="4"/>
    </i>
    <i>
      <x v="5"/>
    </i>
    <i>
      <x v="6"/>
    </i>
    <i>
      <x v="7"/>
    </i>
    <i>
      <x v="8"/>
    </i>
    <i>
      <x v="9"/>
    </i>
    <i>
      <x v="10"/>
    </i>
    <i>
      <x v="12"/>
    </i>
    <i t="grand">
      <x/>
    </i>
  </colItems>
  <dataFields count="1">
    <dataField name="Sum of 2024" fld="9"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bs.nl/nl-nl/onze-diensten/methoden/onderzoeksomschrijvingen/aanvullende%20onderzoeksbeschrijvingen/aanpassing-imoc"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rijksoverheid.nl/documenten/begrotingen/2022/09/20/bijlagen-miljoenennota-2023" TargetMode="External"/><Relationship Id="rId2" Type="http://schemas.openxmlformats.org/officeDocument/2006/relationships/hyperlink" Target="https://www.bedrijvenbeleidinbeeld.nl/beleidsinstrumenten/innovatiebox" TargetMode="External"/><Relationship Id="rId1" Type="http://schemas.openxmlformats.org/officeDocument/2006/relationships/hyperlink" Target="https://www.rijksoverheid.nl/binaries/rijksoverheid/documenten/begrotingen/2021/09/21/bijlagen-miljoenennota-2022/01%20Miljoenennota%20bijlage.pdf"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tabSelected="1" zoomScaleNormal="100" zoomScaleSheetLayoutView="100" workbookViewId="0"/>
  </sheetViews>
  <sheetFormatPr defaultColWidth="9.21875" defaultRowHeight="15" customHeight="1"/>
  <cols>
    <col min="1" max="1" width="3.77734375" style="34" customWidth="1"/>
    <col min="2" max="2" width="129" style="34" customWidth="1"/>
    <col min="3" max="3" width="9.21875" style="34"/>
    <col min="4" max="4" width="9.21875" style="146" customWidth="1"/>
    <col min="5" max="5" width="9.21875" style="146"/>
    <col min="6" max="16384" width="9.21875" style="34"/>
  </cols>
  <sheetData>
    <row r="1" spans="1:5" ht="20.100000000000001" customHeight="1">
      <c r="B1" s="72" t="s">
        <v>203</v>
      </c>
    </row>
    <row r="2" spans="1:5" ht="15" customHeight="1">
      <c r="B2" s="72"/>
    </row>
    <row r="3" spans="1:5" s="66" customFormat="1" ht="19.5" customHeight="1">
      <c r="A3" s="144"/>
      <c r="B3" s="141" t="s">
        <v>202</v>
      </c>
      <c r="D3" s="147"/>
      <c r="E3" s="147"/>
    </row>
    <row r="4" spans="1:5" s="66" customFormat="1" ht="19.5" customHeight="1">
      <c r="A4" s="144"/>
      <c r="B4" s="316" t="s">
        <v>774</v>
      </c>
      <c r="D4" s="147"/>
      <c r="E4" s="147"/>
    </row>
    <row r="5" spans="1:5" s="66" customFormat="1" ht="19.5" customHeight="1">
      <c r="A5" s="144"/>
      <c r="B5" s="316" t="s">
        <v>775</v>
      </c>
      <c r="D5" s="147"/>
      <c r="E5" s="147"/>
    </row>
    <row r="6" spans="1:5" s="66" customFormat="1" ht="19.5" customHeight="1">
      <c r="A6" s="144"/>
      <c r="B6" s="316" t="s">
        <v>776</v>
      </c>
      <c r="D6" s="147"/>
      <c r="E6" s="147"/>
    </row>
    <row r="7" spans="1:5" s="66" customFormat="1" ht="19.5" customHeight="1">
      <c r="A7" s="144"/>
      <c r="B7" s="316" t="s">
        <v>777</v>
      </c>
      <c r="D7" s="147"/>
      <c r="E7" s="147"/>
    </row>
    <row r="8" spans="1:5" s="66" customFormat="1" ht="19.5" customHeight="1">
      <c r="A8" s="144"/>
      <c r="B8" s="316" t="s">
        <v>778</v>
      </c>
      <c r="D8" s="147"/>
      <c r="E8" s="147"/>
    </row>
    <row r="9" spans="1:5" s="66" customFormat="1" ht="19.5" customHeight="1">
      <c r="A9" s="144"/>
      <c r="B9" s="316" t="s">
        <v>779</v>
      </c>
      <c r="D9" s="147"/>
      <c r="E9" s="147"/>
    </row>
  </sheetData>
  <hyperlinks>
    <hyperlink ref="B3" location="Toelichting!A1" display="- Toelichting"/>
    <hyperlink ref="B4" location="Totaal!A1" display="- Totaaloverzicht: overheidsuitgaven voor R&amp;D en innovatie 2016-2022, in miljoenen euro en procenten van het BBP"/>
    <hyperlink ref="B5" location="'R&amp;D'!A1" display="- Overzicht: overheidsuitgaven voor R&amp;D en het aandeel innovatierelevante R&amp;D-uitgaven, per begrotingsartikel, 2016-2022, in miljoenen euro"/>
    <hyperlink ref="B6" location="Innovatie!A1" display="- Het overzicht van de overheidsuitgaven voor innovatie, 2016-2022, in miljoenen euro"/>
    <hyperlink ref="B7" location="'R&amp;D + Innovatie'!A1" display="- Het overzicht van de overheidsuitgaven voor R&amp;D en innovatie, per departement, 2016-2022, in miljoenen euro"/>
    <hyperlink ref="B8" location="Fiscaal!A1" display="- Het overzicht van fiscale instrumenten voor R&amp;D en innovatie, 2016-2022, in miljoenen euro"/>
    <hyperlink ref="B9" location="'NABS 2007'!A1" display="- Een overzicht van de R&amp;D-uitgaven per NABS-categorie, 2016-2022 (Europese classificatie 2007)"/>
  </hyperlinks>
  <pageMargins left="0.70866141732283472" right="0.70866141732283472" top="0.74803149606299213" bottom="0.74803149606299213" header="0.31496062992125984" footer="0.31496062992125984"/>
  <pageSetup paperSize="9" orientation="landscape" r:id="rId1"/>
  <headerFooter>
    <oddFooter>&amp;L&amp;Z&amp;F</oddFooter>
  </headerFooter>
  <colBreaks count="1" manualBreakCount="1">
    <brk id="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63"/>
  <sheetViews>
    <sheetView workbookViewId="0">
      <selection activeCell="M39" sqref="M39"/>
    </sheetView>
  </sheetViews>
  <sheetFormatPr defaultRowHeight="13.2"/>
  <cols>
    <col min="1" max="7" width="12.77734375" customWidth="1"/>
    <col min="8" max="8" width="13.77734375" customWidth="1"/>
    <col min="9" max="9" width="6" bestFit="1" customWidth="1"/>
    <col min="10" max="10" width="5" bestFit="1" customWidth="1"/>
    <col min="11" max="11" width="4" bestFit="1" customWidth="1"/>
    <col min="12" max="12" width="6" bestFit="1" customWidth="1"/>
    <col min="13" max="13" width="5" bestFit="1" customWidth="1"/>
    <col min="14" max="14" width="8" bestFit="1" customWidth="1"/>
    <col min="15" max="15" width="6" bestFit="1" customWidth="1"/>
    <col min="16" max="16" width="7" bestFit="1" customWidth="1"/>
    <col min="17" max="19" width="6" bestFit="1" customWidth="1"/>
    <col min="20" max="20" width="5" bestFit="1" customWidth="1"/>
    <col min="21" max="21" width="6" bestFit="1" customWidth="1"/>
    <col min="22" max="23" width="5" bestFit="1" customWidth="1"/>
    <col min="24" max="24" width="6" bestFit="1" customWidth="1"/>
    <col min="25" max="25" width="8" bestFit="1" customWidth="1"/>
    <col min="26" max="26" width="6" bestFit="1" customWidth="1"/>
    <col min="27" max="27" width="7" bestFit="1" customWidth="1"/>
    <col min="28" max="28" width="5" bestFit="1" customWidth="1"/>
    <col min="29" max="29" width="6" bestFit="1" customWidth="1"/>
    <col min="30" max="30" width="4" bestFit="1" customWidth="1"/>
    <col min="31" max="32" width="6" bestFit="1" customWidth="1"/>
    <col min="33" max="33" width="5" bestFit="1" customWidth="1"/>
    <col min="34" max="37" width="6" bestFit="1" customWidth="1"/>
    <col min="38" max="38" width="8" bestFit="1" customWidth="1"/>
    <col min="39" max="39" width="4" bestFit="1" customWidth="1"/>
    <col min="40" max="40" width="6" bestFit="1" customWidth="1"/>
    <col min="41" max="41" width="4" bestFit="1" customWidth="1"/>
    <col min="42" max="42" width="7" bestFit="1" customWidth="1"/>
    <col min="43" max="43" width="6" bestFit="1" customWidth="1"/>
    <col min="44" max="44" width="5" bestFit="1" customWidth="1"/>
    <col min="45" max="48" width="6" bestFit="1" customWidth="1"/>
    <col min="49" max="49" width="2" bestFit="1" customWidth="1"/>
    <col min="50" max="50" width="8" bestFit="1" customWidth="1"/>
    <col min="51" max="54" width="6" bestFit="1" customWidth="1"/>
    <col min="55" max="55" width="8" bestFit="1" customWidth="1"/>
    <col min="56" max="58" width="6" bestFit="1" customWidth="1"/>
    <col min="59" max="59" width="7" bestFit="1" customWidth="1"/>
    <col min="60" max="60" width="5" bestFit="1" customWidth="1"/>
    <col min="61" max="61" width="6" bestFit="1" customWidth="1"/>
    <col min="62" max="62" width="12" bestFit="1" customWidth="1"/>
    <col min="63" max="63" width="6" bestFit="1" customWidth="1"/>
    <col min="64" max="64" width="7" bestFit="1" customWidth="1"/>
    <col min="65" max="65" width="4" bestFit="1" customWidth="1"/>
    <col min="66" max="66" width="12" bestFit="1" customWidth="1"/>
    <col min="67" max="67" width="6" bestFit="1" customWidth="1"/>
    <col min="68" max="68" width="5" bestFit="1" customWidth="1"/>
    <col min="69" max="69" width="6" bestFit="1" customWidth="1"/>
    <col min="70" max="70" width="12" bestFit="1" customWidth="1"/>
    <col min="71" max="71" width="6" bestFit="1" customWidth="1"/>
    <col min="72" max="72" width="7" bestFit="1" customWidth="1"/>
    <col min="73" max="73" width="6" bestFit="1" customWidth="1"/>
    <col min="74" max="74" width="4" bestFit="1" customWidth="1"/>
    <col min="75" max="75" width="6" bestFit="1" customWidth="1"/>
    <col min="76" max="76" width="7" bestFit="1" customWidth="1"/>
    <col min="77" max="77" width="6" bestFit="1" customWidth="1"/>
    <col min="78" max="78" width="5" bestFit="1" customWidth="1"/>
    <col min="79" max="80" width="6" bestFit="1" customWidth="1"/>
    <col min="81" max="81" width="12" bestFit="1" customWidth="1"/>
    <col min="82" max="84" width="6" bestFit="1" customWidth="1"/>
    <col min="85" max="85" width="7" bestFit="1" customWidth="1"/>
    <col min="86" max="86" width="6" bestFit="1" customWidth="1"/>
    <col min="87" max="87" width="7" bestFit="1" customWidth="1"/>
    <col min="88" max="91" width="6" bestFit="1" customWidth="1"/>
    <col min="92" max="92" width="7" bestFit="1" customWidth="1"/>
    <col min="93" max="93" width="6" bestFit="1" customWidth="1"/>
    <col min="94" max="94" width="9" bestFit="1" customWidth="1"/>
    <col min="95" max="96" width="6" bestFit="1" customWidth="1"/>
    <col min="97" max="97" width="8" bestFit="1" customWidth="1"/>
    <col min="98" max="99" width="6" bestFit="1" customWidth="1"/>
    <col min="100" max="100" width="2" bestFit="1" customWidth="1"/>
    <col min="101" max="102" width="6" bestFit="1" customWidth="1"/>
    <col min="103" max="103" width="4" bestFit="1" customWidth="1"/>
    <col min="104" max="106" width="6" bestFit="1" customWidth="1"/>
    <col min="107" max="107" width="2" bestFit="1" customWidth="1"/>
    <col min="108" max="108" width="12" bestFit="1" customWidth="1"/>
    <col min="109" max="109" width="5" bestFit="1" customWidth="1"/>
    <col min="110" max="113" width="6" bestFit="1" customWidth="1"/>
    <col min="114" max="114" width="4" bestFit="1" customWidth="1"/>
    <col min="115" max="115" width="12" bestFit="1" customWidth="1"/>
    <col min="116" max="117" width="6" bestFit="1" customWidth="1"/>
    <col min="118" max="119" width="12" bestFit="1" customWidth="1"/>
    <col min="120" max="120" width="8" bestFit="1" customWidth="1"/>
    <col min="121" max="121" width="12" bestFit="1" customWidth="1"/>
    <col min="122" max="122" width="11" bestFit="1" customWidth="1"/>
    <col min="123" max="123" width="9" bestFit="1" customWidth="1"/>
    <col min="124" max="125" width="12" bestFit="1" customWidth="1"/>
    <col min="126" max="126" width="9" bestFit="1" customWidth="1"/>
    <col min="127" max="127" width="7" bestFit="1" customWidth="1"/>
    <col min="128" max="129" width="12" bestFit="1" customWidth="1"/>
    <col min="130" max="131" width="7" bestFit="1" customWidth="1"/>
    <col min="132" max="136" width="12" bestFit="1" customWidth="1"/>
    <col min="137" max="137" width="8" bestFit="1" customWidth="1"/>
    <col min="138" max="138" width="5" bestFit="1" customWidth="1"/>
    <col min="139" max="141" width="12" bestFit="1" customWidth="1"/>
    <col min="142" max="142" width="7" bestFit="1" customWidth="1"/>
    <col min="143" max="143" width="12" bestFit="1" customWidth="1"/>
    <col min="144" max="144" width="5" bestFit="1" customWidth="1"/>
    <col min="145" max="145" width="8" bestFit="1" customWidth="1"/>
    <col min="146" max="146" width="12" bestFit="1" customWidth="1"/>
    <col min="147" max="147" width="8" bestFit="1" customWidth="1"/>
    <col min="148" max="148" width="3" bestFit="1" customWidth="1"/>
    <col min="149" max="149" width="7" bestFit="1" customWidth="1"/>
    <col min="150" max="150" width="12" bestFit="1" customWidth="1"/>
    <col min="151" max="151" width="6" bestFit="1" customWidth="1"/>
    <col min="152" max="152" width="12" bestFit="1" customWidth="1"/>
    <col min="153" max="153" width="3" bestFit="1" customWidth="1"/>
    <col min="154" max="154" width="12" bestFit="1" customWidth="1"/>
    <col min="155" max="155" width="7" bestFit="1" customWidth="1"/>
    <col min="156" max="156" width="12" bestFit="1" customWidth="1"/>
    <col min="157" max="157" width="6" bestFit="1" customWidth="1"/>
    <col min="158" max="158" width="12" bestFit="1" customWidth="1"/>
    <col min="159" max="159" width="7" bestFit="1" customWidth="1"/>
    <col min="160" max="162" width="12" bestFit="1" customWidth="1"/>
    <col min="163" max="164" width="7" bestFit="1" customWidth="1"/>
    <col min="165" max="165" width="12" bestFit="1" customWidth="1"/>
    <col min="166" max="167" width="7" bestFit="1" customWidth="1"/>
    <col min="168" max="168" width="6" bestFit="1" customWidth="1"/>
    <col min="169" max="169" width="12" bestFit="1" customWidth="1"/>
    <col min="170" max="170" width="7" bestFit="1" customWidth="1"/>
    <col min="171" max="171" width="11" bestFit="1" customWidth="1"/>
    <col min="172" max="172" width="6" bestFit="1" customWidth="1"/>
    <col min="173" max="174" width="12" bestFit="1" customWidth="1"/>
    <col min="175" max="177" width="7" bestFit="1" customWidth="1"/>
    <col min="178" max="178" width="6" bestFit="1" customWidth="1"/>
    <col min="179" max="180" width="12" bestFit="1" customWidth="1"/>
    <col min="181" max="181" width="7" bestFit="1" customWidth="1"/>
    <col min="182" max="182" width="12" bestFit="1" customWidth="1"/>
    <col min="183" max="183" width="7" bestFit="1" customWidth="1"/>
    <col min="184" max="184" width="12" bestFit="1" customWidth="1"/>
    <col min="185" max="185" width="7" bestFit="1" customWidth="1"/>
    <col min="186" max="186" width="12" bestFit="1" customWidth="1"/>
    <col min="187" max="187" width="8" bestFit="1" customWidth="1"/>
    <col min="188" max="188" width="11" bestFit="1" customWidth="1"/>
    <col min="189" max="189" width="8" bestFit="1" customWidth="1"/>
    <col min="190" max="190" width="11" bestFit="1" customWidth="1"/>
    <col min="191" max="191" width="10.21875" bestFit="1" customWidth="1"/>
  </cols>
  <sheetData>
    <row r="1" spans="1:7">
      <c r="A1" s="285"/>
      <c r="B1" s="286"/>
      <c r="C1" s="286"/>
      <c r="D1" s="286"/>
      <c r="E1" s="286"/>
      <c r="F1" s="286"/>
      <c r="G1" s="286"/>
    </row>
    <row r="3" spans="1:7">
      <c r="A3" s="185" t="s">
        <v>537</v>
      </c>
      <c r="B3" t="s">
        <v>709</v>
      </c>
      <c r="C3" t="s">
        <v>710</v>
      </c>
      <c r="D3" t="s">
        <v>711</v>
      </c>
      <c r="E3" t="s">
        <v>712</v>
      </c>
      <c r="F3" t="s">
        <v>713</v>
      </c>
      <c r="G3" t="s">
        <v>714</v>
      </c>
    </row>
    <row r="4" spans="1:7">
      <c r="A4" s="186">
        <v>1</v>
      </c>
      <c r="B4" s="187">
        <v>51.848846115726147</v>
      </c>
      <c r="C4" s="187">
        <v>59.44057495497001</v>
      </c>
      <c r="D4" s="187">
        <v>86.482624257311087</v>
      </c>
      <c r="E4" s="187">
        <v>88.612899943631618</v>
      </c>
      <c r="F4" s="187">
        <v>90.586706309740094</v>
      </c>
      <c r="G4" s="187">
        <v>90.06655691123386</v>
      </c>
    </row>
    <row r="5" spans="1:7">
      <c r="A5" s="186">
        <v>2</v>
      </c>
      <c r="B5" s="187">
        <v>44.010055049096721</v>
      </c>
      <c r="C5" s="187">
        <v>48.618417099318243</v>
      </c>
      <c r="D5" s="187">
        <v>44.472582591986104</v>
      </c>
      <c r="E5" s="187">
        <v>48.768250922271498</v>
      </c>
      <c r="F5" s="187">
        <v>50.496416169618861</v>
      </c>
      <c r="G5" s="187">
        <v>52.529570771232962</v>
      </c>
    </row>
    <row r="6" spans="1:7">
      <c r="A6" s="186">
        <v>3</v>
      </c>
      <c r="B6" s="187">
        <v>175.78693226931017</v>
      </c>
      <c r="C6" s="187">
        <v>144.60293592106984</v>
      </c>
      <c r="D6" s="187">
        <v>155.97409936272376</v>
      </c>
      <c r="E6" s="187">
        <v>163.16204113557757</v>
      </c>
      <c r="F6" s="187">
        <v>171.73113172020601</v>
      </c>
      <c r="G6" s="187">
        <v>173.6701140516416</v>
      </c>
    </row>
    <row r="7" spans="1:7">
      <c r="A7" s="186">
        <v>4</v>
      </c>
      <c r="B7" s="187">
        <v>83.60639401809371</v>
      </c>
      <c r="C7" s="187">
        <v>118.48427189863754</v>
      </c>
      <c r="D7" s="187">
        <v>133.62118954694094</v>
      </c>
      <c r="E7" s="187">
        <v>129.65425145350912</v>
      </c>
      <c r="F7" s="187">
        <v>139.93408173636232</v>
      </c>
      <c r="G7" s="187">
        <v>126.58625608469788</v>
      </c>
    </row>
    <row r="8" spans="1:7">
      <c r="A8" s="186">
        <v>5</v>
      </c>
      <c r="B8" s="187">
        <v>123.63480775174006</v>
      </c>
      <c r="C8" s="187">
        <v>147.05219466099777</v>
      </c>
      <c r="D8" s="187">
        <v>189.53724843014751</v>
      </c>
      <c r="E8" s="187">
        <v>190.78156841550501</v>
      </c>
      <c r="F8" s="187">
        <v>190.69034372473376</v>
      </c>
      <c r="G8" s="187">
        <v>168.43609220142625</v>
      </c>
    </row>
    <row r="9" spans="1:7">
      <c r="A9" s="186">
        <v>6</v>
      </c>
      <c r="B9" s="187">
        <v>296.98193935364333</v>
      </c>
      <c r="C9" s="187">
        <v>384.70630580605268</v>
      </c>
      <c r="D9" s="187">
        <v>485.55180083960863</v>
      </c>
      <c r="E9" s="187">
        <v>510.93644717050961</v>
      </c>
      <c r="F9" s="187">
        <v>544.86549801495971</v>
      </c>
      <c r="G9" s="187">
        <v>522.43913328391068</v>
      </c>
    </row>
    <row r="10" spans="1:7">
      <c r="A10" s="186">
        <v>7</v>
      </c>
      <c r="B10" s="187">
        <v>377.13148355667892</v>
      </c>
      <c r="C10" s="187">
        <v>527.28868215182229</v>
      </c>
      <c r="D10" s="187">
        <v>520.47221269495742</v>
      </c>
      <c r="E10" s="187">
        <v>499.78073049857773</v>
      </c>
      <c r="F10" s="187">
        <v>474.7885534182281</v>
      </c>
      <c r="G10" s="187">
        <v>417.26876416875228</v>
      </c>
    </row>
    <row r="11" spans="1:7">
      <c r="A11" s="186">
        <v>8</v>
      </c>
      <c r="B11" s="187">
        <v>219.01711011224768</v>
      </c>
      <c r="C11" s="187">
        <v>226.04604211290177</v>
      </c>
      <c r="D11" s="187">
        <v>241.44736154956391</v>
      </c>
      <c r="E11" s="187">
        <v>244.90280665846404</v>
      </c>
      <c r="F11" s="187">
        <v>249.58990207499517</v>
      </c>
      <c r="G11" s="187">
        <v>246.00327029703806</v>
      </c>
    </row>
    <row r="12" spans="1:7">
      <c r="A12" s="186">
        <v>9</v>
      </c>
      <c r="B12" s="187">
        <v>41.069000000000003</v>
      </c>
      <c r="C12" s="187">
        <v>42.947717838408678</v>
      </c>
      <c r="D12" s="187">
        <v>49.288717202914064</v>
      </c>
      <c r="E12" s="187">
        <v>44.251695239087688</v>
      </c>
      <c r="F12" s="187">
        <v>47.573612632589132</v>
      </c>
      <c r="G12" s="187">
        <v>39.401325383272514</v>
      </c>
    </row>
    <row r="13" spans="1:7">
      <c r="A13" s="186">
        <v>10</v>
      </c>
      <c r="B13" s="187">
        <v>18.934709999999999</v>
      </c>
      <c r="C13" s="187">
        <v>18.629230303309985</v>
      </c>
      <c r="D13" s="187">
        <v>20.373372740591076</v>
      </c>
      <c r="E13" s="187">
        <v>21.360290401529099</v>
      </c>
      <c r="F13" s="187">
        <v>22.454467992252432</v>
      </c>
      <c r="G13" s="187">
        <v>23.381456252267608</v>
      </c>
    </row>
    <row r="14" spans="1:7">
      <c r="A14" s="186">
        <v>11</v>
      </c>
      <c r="B14" s="187">
        <v>90.186449048</v>
      </c>
      <c r="C14" s="187">
        <v>89.72517603685489</v>
      </c>
      <c r="D14" s="187">
        <v>94.586453140784997</v>
      </c>
      <c r="E14" s="187">
        <v>95.734678213676432</v>
      </c>
      <c r="F14" s="187">
        <v>97.806309880296084</v>
      </c>
      <c r="G14" s="187">
        <v>98.617396785140684</v>
      </c>
    </row>
    <row r="15" spans="1:7">
      <c r="A15" s="186">
        <v>14</v>
      </c>
      <c r="B15" s="187">
        <v>117.14943791986514</v>
      </c>
      <c r="C15" s="187">
        <v>107.24468921926193</v>
      </c>
      <c r="D15" s="187">
        <v>113.8201416254192</v>
      </c>
      <c r="E15" s="187">
        <v>125.80746069200116</v>
      </c>
      <c r="F15" s="187">
        <v>125.91873592203468</v>
      </c>
      <c r="G15" s="187">
        <v>122.41965660996379</v>
      </c>
    </row>
    <row r="16" spans="1:7">
      <c r="A16" s="186" t="s">
        <v>532</v>
      </c>
      <c r="B16" s="187">
        <v>549.7920438316487</v>
      </c>
      <c r="C16" s="187">
        <v>615.09008681672367</v>
      </c>
      <c r="D16" s="187">
        <v>638.30054202946121</v>
      </c>
      <c r="E16" s="187">
        <v>617.36642208827925</v>
      </c>
      <c r="F16" s="187">
        <v>629.10183627005824</v>
      </c>
      <c r="G16" s="187">
        <v>638.49039731038113</v>
      </c>
    </row>
    <row r="17" spans="1:10">
      <c r="A17" s="186" t="s">
        <v>533</v>
      </c>
      <c r="B17" s="187">
        <v>566.15338203686463</v>
      </c>
      <c r="C17" s="187">
        <v>633.47777680878414</v>
      </c>
      <c r="D17" s="187">
        <v>657.41669866942311</v>
      </c>
      <c r="E17" s="187">
        <v>635.84222760543253</v>
      </c>
      <c r="F17" s="187">
        <v>647.942157493281</v>
      </c>
      <c r="G17" s="187">
        <v>657.63198894595871</v>
      </c>
    </row>
    <row r="18" spans="1:10">
      <c r="A18" s="186" t="s">
        <v>191</v>
      </c>
      <c r="B18" s="187">
        <v>1159.0773509738872</v>
      </c>
      <c r="C18" s="187">
        <v>1287.2288484857863</v>
      </c>
      <c r="D18" s="187">
        <v>1327.966504020508</v>
      </c>
      <c r="E18" s="187">
        <v>1281.5545859091767</v>
      </c>
      <c r="F18" s="187">
        <v>1302.2188498787868</v>
      </c>
      <c r="G18" s="187">
        <v>1319.0047277841484</v>
      </c>
    </row>
    <row r="19" spans="1:10">
      <c r="A19" s="186" t="s">
        <v>534</v>
      </c>
      <c r="B19" s="187">
        <v>157.82020089434295</v>
      </c>
      <c r="C19" s="187">
        <v>174.97666408295777</v>
      </c>
      <c r="D19" s="187">
        <v>180.91856920873195</v>
      </c>
      <c r="E19" s="187">
        <v>175.2410347571996</v>
      </c>
      <c r="F19" s="187">
        <v>178.31794881639601</v>
      </c>
      <c r="G19" s="187">
        <v>180.59524827065079</v>
      </c>
    </row>
    <row r="20" spans="1:10">
      <c r="A20" s="186" t="s">
        <v>535</v>
      </c>
      <c r="B20" s="187">
        <v>652.90654704294411</v>
      </c>
      <c r="C20" s="187">
        <v>727.73539728850278</v>
      </c>
      <c r="D20" s="187">
        <v>754.06601161701064</v>
      </c>
      <c r="E20" s="187">
        <v>729.77309359087155</v>
      </c>
      <c r="F20" s="187">
        <v>743.21034293931473</v>
      </c>
      <c r="G20" s="187">
        <v>753.64513580000312</v>
      </c>
    </row>
    <row r="21" spans="1:10">
      <c r="A21" s="186" t="s">
        <v>536</v>
      </c>
      <c r="B21" s="187">
        <v>273.23113739074546</v>
      </c>
      <c r="C21" s="187">
        <v>306.39947449416923</v>
      </c>
      <c r="D21" s="187">
        <v>318.25994646380224</v>
      </c>
      <c r="E21" s="187">
        <v>307.70646870088063</v>
      </c>
      <c r="F21" s="187">
        <v>313.67042462792165</v>
      </c>
      <c r="G21" s="187">
        <v>318.52494171333598</v>
      </c>
    </row>
    <row r="22" spans="1:10">
      <c r="A22" s="186" t="s">
        <v>612</v>
      </c>
      <c r="B22" s="187">
        <v>81.939024039352304</v>
      </c>
      <c r="C22" s="187">
        <v>110.93792115040276</v>
      </c>
      <c r="D22" s="187">
        <v>198.03254798811642</v>
      </c>
      <c r="E22" s="187">
        <v>256.67296290768235</v>
      </c>
      <c r="F22" s="187">
        <v>322.92841070226848</v>
      </c>
      <c r="G22" s="187">
        <v>340.10918914446745</v>
      </c>
      <c r="J22" t="s">
        <v>723</v>
      </c>
    </row>
    <row r="23" spans="1:10">
      <c r="A23" s="186" t="s">
        <v>75</v>
      </c>
      <c r="B23" s="187">
        <v>500.47727936876959</v>
      </c>
      <c r="C23" s="187">
        <v>511.10588689757509</v>
      </c>
      <c r="D23" s="187">
        <v>524.98600037357858</v>
      </c>
      <c r="E23" s="187">
        <v>510.40833269520124</v>
      </c>
      <c r="F23" s="187">
        <v>509.89572469895222</v>
      </c>
      <c r="G23" s="187">
        <v>510.13642508672808</v>
      </c>
      <c r="J23" t="s">
        <v>723</v>
      </c>
    </row>
    <row r="24" spans="1:10">
      <c r="A24" s="186" t="s">
        <v>87</v>
      </c>
      <c r="B24" s="187">
        <v>99.787527637844207</v>
      </c>
      <c r="C24" s="187">
        <v>110.19743132074342</v>
      </c>
      <c r="D24" s="187">
        <v>120.64109000982238</v>
      </c>
      <c r="E24" s="187">
        <v>120.15589977012934</v>
      </c>
      <c r="F24" s="187">
        <v>121.95181397501136</v>
      </c>
      <c r="G24" s="187">
        <v>120.57956458758335</v>
      </c>
      <c r="J24" t="s">
        <v>723</v>
      </c>
    </row>
    <row r="25" spans="1:10">
      <c r="A25" s="186" t="s">
        <v>57</v>
      </c>
      <c r="B25" s="187">
        <v>136.16602544365003</v>
      </c>
      <c r="C25" s="187">
        <v>160.58853150057237</v>
      </c>
      <c r="D25" s="187">
        <v>145.60472854576273</v>
      </c>
      <c r="E25" s="187">
        <v>140.62378785520517</v>
      </c>
      <c r="F25" s="187">
        <v>139.65643453701546</v>
      </c>
      <c r="G25" s="187">
        <v>138.7104706371685</v>
      </c>
      <c r="J25" t="s">
        <v>723</v>
      </c>
    </row>
    <row r="26" spans="1:10">
      <c r="A26" s="186" t="s">
        <v>301</v>
      </c>
      <c r="B26" s="187">
        <v>30.739000000000001</v>
      </c>
      <c r="C26" s="187">
        <v>31.899000000000001</v>
      </c>
      <c r="D26" s="187">
        <v>31.592999999999996</v>
      </c>
      <c r="E26" s="187">
        <v>32.780999999999999</v>
      </c>
      <c r="F26" s="187">
        <v>32.780999999999999</v>
      </c>
      <c r="G26" s="187">
        <v>32.780999999999999</v>
      </c>
      <c r="J26" t="s">
        <v>723</v>
      </c>
    </row>
    <row r="27" spans="1:10">
      <c r="A27" s="186" t="s">
        <v>72</v>
      </c>
      <c r="B27" s="187">
        <v>134.04609988999263</v>
      </c>
      <c r="C27" s="187">
        <v>136.8575334624187</v>
      </c>
      <c r="D27" s="187">
        <v>138.40136041632479</v>
      </c>
      <c r="E27" s="187">
        <v>141.71893281266674</v>
      </c>
      <c r="F27" s="187">
        <v>143.1193858570507</v>
      </c>
      <c r="G27" s="187">
        <v>139.13402140145664</v>
      </c>
      <c r="J27" t="s">
        <v>723</v>
      </c>
    </row>
    <row r="28" spans="1:10">
      <c r="A28" s="186" t="s">
        <v>531</v>
      </c>
      <c r="B28" s="187">
        <v>82.083046932274726</v>
      </c>
      <c r="C28" s="187">
        <v>84.403330493767015</v>
      </c>
      <c r="D28" s="187">
        <v>82.61727367210483</v>
      </c>
      <c r="E28" s="187">
        <v>81.799670470145273</v>
      </c>
      <c r="F28" s="187">
        <v>81.954577384982201</v>
      </c>
      <c r="G28" s="187">
        <v>81.895253473871577</v>
      </c>
      <c r="J28" t="s">
        <v>723</v>
      </c>
    </row>
    <row r="29" spans="1:10">
      <c r="A29" s="186" t="s">
        <v>538</v>
      </c>
      <c r="B29" s="187">
        <v>6063.5758306767175</v>
      </c>
      <c r="C29" s="187">
        <v>6805.6841208060096</v>
      </c>
      <c r="D29" s="187">
        <v>7254.4320769975957</v>
      </c>
      <c r="E29" s="187">
        <v>7195.3975399072115</v>
      </c>
      <c r="F29" s="187">
        <v>7373.1846667770551</v>
      </c>
      <c r="G29" s="187">
        <v>7312.0579569563315</v>
      </c>
    </row>
    <row r="33" spans="1:8">
      <c r="A33" s="283" t="s">
        <v>707</v>
      </c>
      <c r="B33" s="283" t="s">
        <v>708</v>
      </c>
      <c r="C33" s="283" t="s">
        <v>709</v>
      </c>
      <c r="D33" s="283" t="s">
        <v>710</v>
      </c>
      <c r="E33" s="283" t="s">
        <v>711</v>
      </c>
      <c r="F33" s="283" t="s">
        <v>712</v>
      </c>
      <c r="G33" s="283" t="s">
        <v>713</v>
      </c>
      <c r="H33" s="283" t="s">
        <v>714</v>
      </c>
    </row>
    <row r="34" spans="1:8">
      <c r="A34" s="186">
        <v>1</v>
      </c>
      <c r="B34" s="187">
        <v>51.848846115726147</v>
      </c>
      <c r="C34" s="187">
        <v>59.44057495497001</v>
      </c>
      <c r="D34" s="187">
        <v>86.482624257311087</v>
      </c>
      <c r="E34" s="187">
        <v>88.612899943631618</v>
      </c>
      <c r="F34" s="187">
        <v>90.586706309740094</v>
      </c>
      <c r="G34" s="187">
        <v>90.06655691123386</v>
      </c>
      <c r="H34" s="187">
        <v>86.77638118465498</v>
      </c>
    </row>
    <row r="35" spans="1:8">
      <c r="A35" s="186">
        <v>2</v>
      </c>
      <c r="B35" s="187">
        <v>44.010055049096721</v>
      </c>
      <c r="C35" s="187">
        <v>48.618417099318243</v>
      </c>
      <c r="D35" s="187">
        <v>44.472582591986104</v>
      </c>
      <c r="E35" s="187">
        <v>48.768250922271498</v>
      </c>
      <c r="F35" s="187">
        <v>50.496416169618861</v>
      </c>
      <c r="G35" s="187">
        <v>52.529570771232962</v>
      </c>
      <c r="H35" s="187">
        <v>47.873700150102238</v>
      </c>
    </row>
    <row r="36" spans="1:8">
      <c r="A36" s="186">
        <v>3</v>
      </c>
      <c r="B36" s="187">
        <v>175.78693226931017</v>
      </c>
      <c r="C36" s="187">
        <v>144.60293592106984</v>
      </c>
      <c r="D36" s="187">
        <v>155.97409936272376</v>
      </c>
      <c r="E36" s="187">
        <v>163.16204113557757</v>
      </c>
      <c r="F36" s="187">
        <v>171.73113172020601</v>
      </c>
      <c r="G36" s="187">
        <v>173.6701140516416</v>
      </c>
      <c r="H36" s="187">
        <v>167.92770307824532</v>
      </c>
    </row>
    <row r="37" spans="1:8">
      <c r="A37" s="186">
        <v>4</v>
      </c>
      <c r="B37" s="187">
        <v>83.60639401809371</v>
      </c>
      <c r="C37" s="187">
        <v>118.48427189863754</v>
      </c>
      <c r="D37" s="187">
        <v>133.62118954694094</v>
      </c>
      <c r="E37" s="187">
        <v>129.65425145350912</v>
      </c>
      <c r="F37" s="187">
        <v>139.93408173636232</v>
      </c>
      <c r="G37" s="187">
        <v>126.58625608469788</v>
      </c>
      <c r="H37" s="187">
        <v>101.79326364043153</v>
      </c>
    </row>
    <row r="38" spans="1:8">
      <c r="A38" s="186">
        <v>5</v>
      </c>
      <c r="B38" s="187">
        <v>123.63480775174006</v>
      </c>
      <c r="C38" s="187">
        <v>147.05219466099777</v>
      </c>
      <c r="D38" s="187">
        <v>189.53724843014751</v>
      </c>
      <c r="E38" s="187">
        <v>190.78156841550501</v>
      </c>
      <c r="F38" s="187">
        <v>190.69034372473376</v>
      </c>
      <c r="G38" s="187">
        <v>168.43609220142625</v>
      </c>
      <c r="H38" s="187">
        <v>148.50164903168621</v>
      </c>
    </row>
    <row r="39" spans="1:8">
      <c r="A39" s="186">
        <v>6</v>
      </c>
      <c r="B39" s="187">
        <v>296.98193935364333</v>
      </c>
      <c r="C39" s="187">
        <v>384.70630580605268</v>
      </c>
      <c r="D39" s="187">
        <v>485.55180083960863</v>
      </c>
      <c r="E39" s="187">
        <v>510.93644717050961</v>
      </c>
      <c r="F39" s="187">
        <v>544.86549801495971</v>
      </c>
      <c r="G39" s="187">
        <v>522.43913328391068</v>
      </c>
      <c r="H39" s="187">
        <v>509.89124129408765</v>
      </c>
    </row>
    <row r="40" spans="1:8">
      <c r="A40" s="186">
        <v>7</v>
      </c>
      <c r="B40" s="187">
        <v>377.13148355667892</v>
      </c>
      <c r="C40" s="187">
        <v>527.28868215182229</v>
      </c>
      <c r="D40" s="187">
        <v>520.47221269495742</v>
      </c>
      <c r="E40" s="187">
        <v>499.78073049857773</v>
      </c>
      <c r="F40" s="187">
        <v>474.7885534182281</v>
      </c>
      <c r="G40" s="187">
        <v>417.26876416875228</v>
      </c>
      <c r="H40" s="187">
        <v>389.35931886074633</v>
      </c>
    </row>
    <row r="41" spans="1:8">
      <c r="A41" s="186">
        <v>8</v>
      </c>
      <c r="B41" s="187">
        <v>219.01711011224768</v>
      </c>
      <c r="C41" s="187">
        <v>226.04604211290177</v>
      </c>
      <c r="D41" s="187">
        <v>241.44736154956391</v>
      </c>
      <c r="E41" s="187">
        <v>244.90280665846404</v>
      </c>
      <c r="F41" s="187">
        <v>249.58990207499517</v>
      </c>
      <c r="G41" s="187">
        <v>246.00327029703806</v>
      </c>
      <c r="H41" s="187">
        <v>236.11627693565643</v>
      </c>
    </row>
    <row r="42" spans="1:8">
      <c r="A42" s="186">
        <v>9</v>
      </c>
      <c r="B42" s="187">
        <v>41.069000000000003</v>
      </c>
      <c r="C42" s="187">
        <v>42.947717838408678</v>
      </c>
      <c r="D42" s="187">
        <v>49.288717202914064</v>
      </c>
      <c r="E42" s="187">
        <v>44.251695239087688</v>
      </c>
      <c r="F42" s="187">
        <v>47.573612632589132</v>
      </c>
      <c r="G42" s="187">
        <v>39.401325383272514</v>
      </c>
      <c r="H42" s="187">
        <v>27.688373120223595</v>
      </c>
    </row>
    <row r="43" spans="1:8">
      <c r="A43" s="186">
        <v>10</v>
      </c>
      <c r="B43" s="187">
        <v>18.934709999999999</v>
      </c>
      <c r="C43" s="187">
        <v>18.629230303309985</v>
      </c>
      <c r="D43" s="187">
        <v>20.373372740591076</v>
      </c>
      <c r="E43" s="187">
        <v>21.360290401529099</v>
      </c>
      <c r="F43" s="187">
        <v>22.454467992252432</v>
      </c>
      <c r="G43" s="187">
        <v>23.381456252267608</v>
      </c>
      <c r="H43" s="187">
        <v>22.571634434891966</v>
      </c>
    </row>
    <row r="44" spans="1:8">
      <c r="A44" s="186">
        <v>11</v>
      </c>
      <c r="B44" s="187">
        <v>90.186449048</v>
      </c>
      <c r="C44" s="187">
        <v>89.72517603685489</v>
      </c>
      <c r="D44" s="187">
        <v>94.586453140784997</v>
      </c>
      <c r="E44" s="187">
        <v>95.734678213676432</v>
      </c>
      <c r="F44" s="187">
        <v>97.806309880296084</v>
      </c>
      <c r="G44" s="187">
        <v>98.617396785140684</v>
      </c>
      <c r="H44" s="187">
        <v>97.006997112448872</v>
      </c>
    </row>
    <row r="45" spans="1:8">
      <c r="A45" s="186">
        <v>12</v>
      </c>
      <c r="B45" s="187">
        <f>SUM(B51:B56)</f>
        <v>3358.9806621704329</v>
      </c>
      <c r="C45" s="187">
        <f t="shared" ref="C45:H45" si="0">SUM(C51:C56)</f>
        <v>3744.908247976924</v>
      </c>
      <c r="D45" s="187">
        <f t="shared" si="0"/>
        <v>3876.9282720089373</v>
      </c>
      <c r="E45" s="187">
        <f t="shared" si="0"/>
        <v>3747.4838326518402</v>
      </c>
      <c r="F45" s="187">
        <f t="shared" si="0"/>
        <v>3814.4615600257584</v>
      </c>
      <c r="G45" s="187">
        <f t="shared" si="0"/>
        <v>3867.8924398244776</v>
      </c>
      <c r="H45" s="187">
        <f t="shared" si="0"/>
        <v>3901.5011514630614</v>
      </c>
    </row>
    <row r="46" spans="1:8">
      <c r="A46" s="186">
        <v>13</v>
      </c>
      <c r="B46" s="187">
        <f>SUM(B57:B63)</f>
        <v>1065.2380033118834</v>
      </c>
      <c r="C46" s="187">
        <f t="shared" ref="C46:H46" si="1">SUM(C57:C63)</f>
        <v>1145.9896348254792</v>
      </c>
      <c r="D46" s="187">
        <f t="shared" si="1"/>
        <v>1241.8760010057097</v>
      </c>
      <c r="E46" s="187">
        <f t="shared" si="1"/>
        <v>1284.1605865110298</v>
      </c>
      <c r="F46" s="187">
        <f t="shared" si="1"/>
        <v>1352.2873471552805</v>
      </c>
      <c r="G46" s="187">
        <f t="shared" si="1"/>
        <v>1363.3459243312757</v>
      </c>
      <c r="H46" s="187">
        <f t="shared" si="1"/>
        <v>1297.4051269068482</v>
      </c>
    </row>
    <row r="47" spans="1:8">
      <c r="A47" s="186">
        <v>14</v>
      </c>
      <c r="B47" s="187">
        <v>117.14943791986514</v>
      </c>
      <c r="C47" s="187">
        <v>107.24468921926193</v>
      </c>
      <c r="D47" s="187">
        <v>113.8201416254192</v>
      </c>
      <c r="E47" s="187">
        <v>125.80746069200116</v>
      </c>
      <c r="F47" s="187">
        <v>125.91873592203468</v>
      </c>
      <c r="G47" s="187">
        <v>122.41965660996379</v>
      </c>
      <c r="H47" s="187">
        <v>118.87944379835324</v>
      </c>
    </row>
    <row r="48" spans="1:8">
      <c r="A48" s="287" t="s">
        <v>724</v>
      </c>
      <c r="B48" s="288">
        <f>SUM(B34:B47)</f>
        <v>6063.5758306767175</v>
      </c>
      <c r="C48" s="288">
        <f t="shared" ref="C48:H48" si="2">SUM(C34:C47)</f>
        <v>6805.6841208060087</v>
      </c>
      <c r="D48" s="288">
        <f t="shared" si="2"/>
        <v>7254.4320769975957</v>
      </c>
      <c r="E48" s="288">
        <f t="shared" si="2"/>
        <v>7195.3975399072096</v>
      </c>
      <c r="F48" s="288">
        <f t="shared" si="2"/>
        <v>7373.1846667770551</v>
      </c>
      <c r="G48" s="288">
        <f t="shared" si="2"/>
        <v>7312.0579569563306</v>
      </c>
      <c r="H48" s="288">
        <f t="shared" si="2"/>
        <v>7153.2922610114374</v>
      </c>
    </row>
    <row r="49" spans="1:8">
      <c r="A49" s="186"/>
      <c r="B49" s="289"/>
      <c r="C49" s="289"/>
      <c r="D49" s="289"/>
      <c r="E49" s="289"/>
      <c r="F49" s="289"/>
      <c r="G49" s="289"/>
      <c r="H49" s="289"/>
    </row>
    <row r="50" spans="1:8">
      <c r="A50" s="186"/>
      <c r="B50" s="187"/>
      <c r="C50" s="187"/>
      <c r="D50" s="187"/>
      <c r="E50" s="187"/>
      <c r="F50" s="187"/>
      <c r="G50" s="187"/>
      <c r="H50" s="187"/>
    </row>
    <row r="51" spans="1:8">
      <c r="A51" s="186" t="s">
        <v>532</v>
      </c>
      <c r="B51" s="187">
        <v>549.7920438316487</v>
      </c>
      <c r="C51" s="187">
        <v>615.09008681672367</v>
      </c>
      <c r="D51" s="187">
        <v>638.30054202946121</v>
      </c>
      <c r="E51" s="187">
        <v>617.36642208827925</v>
      </c>
      <c r="F51" s="187">
        <v>629.10183627005824</v>
      </c>
      <c r="G51" s="187">
        <v>638.49039731038113</v>
      </c>
      <c r="H51" s="187">
        <v>644.34030102505119</v>
      </c>
    </row>
    <row r="52" spans="1:8">
      <c r="A52" s="186" t="s">
        <v>533</v>
      </c>
      <c r="B52" s="187">
        <v>566.15338203686463</v>
      </c>
      <c r="C52" s="187">
        <v>633.47777680878414</v>
      </c>
      <c r="D52" s="187">
        <v>657.41669866942311</v>
      </c>
      <c r="E52" s="187">
        <v>635.84222760543253</v>
      </c>
      <c r="F52" s="187">
        <v>647.942157493281</v>
      </c>
      <c r="G52" s="187">
        <v>657.63198894595871</v>
      </c>
      <c r="H52" s="187">
        <v>663.6635975199514</v>
      </c>
    </row>
    <row r="53" spans="1:8">
      <c r="A53" s="186" t="s">
        <v>191</v>
      </c>
      <c r="B53" s="187">
        <v>1159.0773509738872</v>
      </c>
      <c r="C53" s="187">
        <v>1287.2288484857863</v>
      </c>
      <c r="D53" s="187">
        <v>1327.966504020508</v>
      </c>
      <c r="E53" s="187">
        <v>1281.5545859091767</v>
      </c>
      <c r="F53" s="187">
        <v>1302.2188498787868</v>
      </c>
      <c r="G53" s="187">
        <v>1319.0047277841484</v>
      </c>
      <c r="H53" s="187">
        <v>1329.5269682158812</v>
      </c>
    </row>
    <row r="54" spans="1:8">
      <c r="A54" s="186" t="s">
        <v>534</v>
      </c>
      <c r="B54" s="187">
        <v>157.82020089434295</v>
      </c>
      <c r="C54" s="187">
        <v>174.97666408295777</v>
      </c>
      <c r="D54" s="187">
        <v>180.91856920873195</v>
      </c>
      <c r="E54" s="187">
        <v>175.2410347571996</v>
      </c>
      <c r="F54" s="187">
        <v>178.31794881639601</v>
      </c>
      <c r="G54" s="187">
        <v>180.59524827065079</v>
      </c>
      <c r="H54" s="187">
        <v>182.12903742421648</v>
      </c>
    </row>
    <row r="55" spans="1:8">
      <c r="A55" s="186" t="s">
        <v>535</v>
      </c>
      <c r="B55" s="187">
        <v>652.90654704294411</v>
      </c>
      <c r="C55" s="187">
        <v>727.73539728850278</v>
      </c>
      <c r="D55" s="187">
        <v>754.06601161701064</v>
      </c>
      <c r="E55" s="187">
        <v>729.77309359087155</v>
      </c>
      <c r="F55" s="187">
        <v>743.21034293931473</v>
      </c>
      <c r="G55" s="187">
        <v>753.64513580000312</v>
      </c>
      <c r="H55" s="187">
        <v>760.34337530487346</v>
      </c>
    </row>
    <row r="56" spans="1:8">
      <c r="A56" s="186" t="s">
        <v>536</v>
      </c>
      <c r="B56" s="187">
        <v>273.23113739074546</v>
      </c>
      <c r="C56" s="187">
        <v>306.39947449416923</v>
      </c>
      <c r="D56" s="187">
        <v>318.25994646380224</v>
      </c>
      <c r="E56" s="187">
        <v>307.70646870088063</v>
      </c>
      <c r="F56" s="187">
        <v>313.67042462792165</v>
      </c>
      <c r="G56" s="187">
        <v>318.52494171333598</v>
      </c>
      <c r="H56" s="187">
        <v>321.49787197308734</v>
      </c>
    </row>
    <row r="57" spans="1:8">
      <c r="A57" s="186" t="s">
        <v>612</v>
      </c>
      <c r="B57" s="187">
        <v>81.939024039352304</v>
      </c>
      <c r="C57" s="187">
        <v>110.93792115040276</v>
      </c>
      <c r="D57" s="187">
        <v>198.03254798811642</v>
      </c>
      <c r="E57" s="187">
        <v>256.67296290768235</v>
      </c>
      <c r="F57" s="187">
        <v>322.92841070226848</v>
      </c>
      <c r="G57" s="187">
        <v>340.10918914446745</v>
      </c>
      <c r="H57" s="187">
        <v>293.9758926368504</v>
      </c>
    </row>
    <row r="58" spans="1:8">
      <c r="A58" s="186" t="s">
        <v>75</v>
      </c>
      <c r="B58" s="187">
        <v>500.47727936876959</v>
      </c>
      <c r="C58" s="187">
        <v>511.10588689757509</v>
      </c>
      <c r="D58" s="187">
        <v>524.98600037357858</v>
      </c>
      <c r="E58" s="187">
        <v>510.40833269520124</v>
      </c>
      <c r="F58" s="187">
        <v>509.89572469895222</v>
      </c>
      <c r="G58" s="187">
        <v>510.13642508672808</v>
      </c>
      <c r="H58" s="187">
        <v>509.97884246909223</v>
      </c>
    </row>
    <row r="59" spans="1:8">
      <c r="A59" s="186" t="s">
        <v>87</v>
      </c>
      <c r="B59" s="187">
        <v>99.787527637844207</v>
      </c>
      <c r="C59" s="187">
        <v>110.19743132074342</v>
      </c>
      <c r="D59" s="187">
        <v>120.64109000982238</v>
      </c>
      <c r="E59" s="187">
        <v>120.15589977012934</v>
      </c>
      <c r="F59" s="187">
        <v>121.95181397501136</v>
      </c>
      <c r="G59" s="187">
        <v>120.57956458758335</v>
      </c>
      <c r="H59" s="187">
        <v>107.98249838716008</v>
      </c>
    </row>
    <row r="60" spans="1:8">
      <c r="A60" s="186" t="s">
        <v>57</v>
      </c>
      <c r="B60" s="187">
        <v>136.16602544365003</v>
      </c>
      <c r="C60" s="187">
        <v>160.58853150057237</v>
      </c>
      <c r="D60" s="187">
        <v>145.60472854576273</v>
      </c>
      <c r="E60" s="187">
        <v>140.62378785520517</v>
      </c>
      <c r="F60" s="187">
        <v>139.65643453701546</v>
      </c>
      <c r="G60" s="187">
        <v>138.7104706371685</v>
      </c>
      <c r="H60" s="187">
        <v>137.66245498402924</v>
      </c>
    </row>
    <row r="61" spans="1:8">
      <c r="A61" s="186" t="s">
        <v>301</v>
      </c>
      <c r="B61" s="187">
        <v>30.739000000000001</v>
      </c>
      <c r="C61" s="187">
        <v>31.899000000000001</v>
      </c>
      <c r="D61" s="187">
        <v>31.592999999999996</v>
      </c>
      <c r="E61" s="187">
        <v>32.780999999999999</v>
      </c>
      <c r="F61" s="187">
        <v>32.780999999999999</v>
      </c>
      <c r="G61" s="187">
        <v>32.780999999999999</v>
      </c>
      <c r="H61" s="187">
        <v>32.780999999999999</v>
      </c>
    </row>
    <row r="62" spans="1:8">
      <c r="A62" s="186" t="s">
        <v>72</v>
      </c>
      <c r="B62" s="187">
        <v>134.04609988999263</v>
      </c>
      <c r="C62" s="187">
        <v>136.8575334624187</v>
      </c>
      <c r="D62" s="187">
        <v>138.40136041632479</v>
      </c>
      <c r="E62" s="187">
        <v>141.71893281266674</v>
      </c>
      <c r="F62" s="187">
        <v>143.1193858570507</v>
      </c>
      <c r="G62" s="187">
        <v>139.13402140145664</v>
      </c>
      <c r="H62" s="187">
        <v>133.14000575823675</v>
      </c>
    </row>
    <row r="63" spans="1:8">
      <c r="A63" s="186" t="s">
        <v>531</v>
      </c>
      <c r="B63" s="187">
        <v>82.083046932274726</v>
      </c>
      <c r="C63" s="187">
        <v>84.403330493767015</v>
      </c>
      <c r="D63" s="187">
        <v>82.61727367210483</v>
      </c>
      <c r="E63" s="187">
        <v>81.799670470145273</v>
      </c>
      <c r="F63" s="187">
        <v>81.954577384982201</v>
      </c>
      <c r="G63" s="187">
        <v>81.895253473871577</v>
      </c>
      <c r="H63" s="187">
        <v>81.884432671479658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S4" sqref="S4"/>
    </sheetView>
  </sheetViews>
  <sheetFormatPr defaultRowHeight="13.2"/>
  <cols>
    <col min="1" max="1" width="33.21875" customWidth="1"/>
    <col min="2" max="2" width="17" customWidth="1"/>
    <col min="3" max="3" width="7" customWidth="1"/>
    <col min="4" max="4" width="8" customWidth="1"/>
    <col min="5" max="9" width="12" customWidth="1"/>
    <col min="10" max="10" width="7" customWidth="1"/>
    <col min="11" max="11" width="9" customWidth="1"/>
    <col min="12" max="12" width="10" customWidth="1"/>
    <col min="13" max="13" width="8" customWidth="1"/>
    <col min="14" max="14" width="12" customWidth="1"/>
    <col min="15" max="20" width="4.5546875" customWidth="1"/>
    <col min="21" max="25" width="12" customWidth="1"/>
    <col min="26" max="26" width="7" customWidth="1"/>
    <col min="27" max="27" width="12" customWidth="1"/>
    <col min="28" max="28" width="6" customWidth="1"/>
    <col min="29" max="29" width="4" customWidth="1"/>
    <col min="30" max="33" width="6" customWidth="1"/>
    <col min="34" max="34" width="4" customWidth="1"/>
    <col min="35" max="36" width="6" customWidth="1"/>
    <col min="37" max="37" width="7" customWidth="1"/>
    <col min="38" max="38" width="6" customWidth="1"/>
    <col min="39" max="39" width="5" customWidth="1"/>
    <col min="40" max="42" width="6" customWidth="1"/>
    <col min="43" max="43" width="4" customWidth="1"/>
    <col min="44" max="44" width="7" customWidth="1"/>
    <col min="45" max="45" width="6" customWidth="1"/>
    <col min="46" max="46" width="12" customWidth="1"/>
    <col min="47" max="47" width="6" customWidth="1"/>
    <col min="48" max="48" width="8" customWidth="1"/>
    <col min="49" max="49" width="7" customWidth="1"/>
    <col min="50" max="50" width="8" customWidth="1"/>
    <col min="51" max="51" width="5" customWidth="1"/>
    <col min="52" max="53" width="6" customWidth="1"/>
    <col min="54" max="54" width="8" customWidth="1"/>
    <col min="55" max="56" width="6" customWidth="1"/>
    <col min="57" max="57" width="4" customWidth="1"/>
    <col min="58" max="58" width="6" customWidth="1"/>
    <col min="59" max="59" width="8" customWidth="1"/>
    <col min="60" max="60" width="12" customWidth="1"/>
    <col min="61" max="66" width="6" customWidth="1"/>
    <col min="67" max="67" width="12" customWidth="1"/>
    <col min="68" max="69" width="6" customWidth="1"/>
    <col min="70" max="70" width="8" customWidth="1"/>
    <col min="71" max="71" width="6" customWidth="1"/>
    <col min="72" max="72" width="8" customWidth="1"/>
    <col min="73" max="73" width="7" customWidth="1"/>
    <col min="74" max="74" width="6" customWidth="1"/>
    <col min="75" max="75" width="4" customWidth="1"/>
    <col min="76" max="78" width="6" customWidth="1"/>
    <col min="79" max="80" width="7" customWidth="1"/>
    <col min="81" max="81" width="6" customWidth="1"/>
    <col min="82" max="82" width="5" customWidth="1"/>
    <col min="83" max="83" width="2" customWidth="1"/>
    <col min="84" max="85" width="6" customWidth="1"/>
    <col min="86" max="86" width="8" customWidth="1"/>
    <col min="87" max="87" width="4" customWidth="1"/>
    <col min="88" max="91" width="6" customWidth="1"/>
    <col min="92" max="93" width="7" customWidth="1"/>
    <col min="94" max="94" width="6" customWidth="1"/>
    <col min="95" max="96" width="8" customWidth="1"/>
    <col min="97" max="97" width="6" customWidth="1"/>
    <col min="98" max="98" width="5" customWidth="1"/>
    <col min="99" max="99" width="12" customWidth="1"/>
    <col min="100" max="101" width="6" customWidth="1"/>
    <col min="102" max="102" width="5" customWidth="1"/>
    <col min="103" max="105" width="4" customWidth="1"/>
    <col min="106" max="107" width="6" customWidth="1"/>
    <col min="108" max="108" width="7" customWidth="1"/>
    <col min="109" max="109" width="4" customWidth="1"/>
    <col min="110" max="111" width="6" customWidth="1"/>
    <col min="112" max="112" width="7" customWidth="1"/>
    <col min="113" max="113" width="2" customWidth="1"/>
    <col min="114" max="114" width="6" customWidth="1"/>
    <col min="115" max="115" width="2" customWidth="1"/>
    <col min="116" max="116" width="6" customWidth="1"/>
    <col min="117" max="117" width="8" customWidth="1"/>
    <col min="118" max="119" width="6" customWidth="1"/>
    <col min="120" max="120" width="12" customWidth="1"/>
    <col min="121" max="121" width="3" customWidth="1"/>
    <col min="122" max="122" width="10" customWidth="1"/>
    <col min="123" max="123" width="12" customWidth="1"/>
    <col min="124" max="125" width="7" customWidth="1"/>
    <col min="126" max="126" width="6" customWidth="1"/>
    <col min="127" max="127" width="11" customWidth="1"/>
    <col min="128" max="128" width="12" customWidth="1"/>
    <col min="129" max="129" width="7" customWidth="1"/>
    <col min="130" max="130" width="5" customWidth="1"/>
    <col min="131" max="131" width="12" customWidth="1"/>
    <col min="132" max="132" width="5" customWidth="1"/>
    <col min="133" max="133" width="12" customWidth="1"/>
    <col min="134" max="135" width="7" customWidth="1"/>
    <col min="136" max="136" width="11" customWidth="1"/>
    <col min="137" max="137" width="12" customWidth="1"/>
    <col min="138" max="140" width="7" customWidth="1"/>
    <col min="141" max="141" width="9" customWidth="1"/>
    <col min="142" max="142" width="12" customWidth="1"/>
    <col min="143" max="143" width="6" customWidth="1"/>
    <col min="144" max="144" width="9" customWidth="1"/>
    <col min="145" max="145" width="3" customWidth="1"/>
    <col min="146" max="146" width="7" customWidth="1"/>
    <col min="147" max="148" width="12" customWidth="1"/>
    <col min="149" max="151" width="7" customWidth="1"/>
    <col min="152" max="152" width="9" customWidth="1"/>
    <col min="153" max="155" width="7" customWidth="1"/>
    <col min="156" max="156" width="12" customWidth="1"/>
    <col min="157" max="157" width="7" customWidth="1"/>
    <col min="158" max="161" width="12" customWidth="1"/>
    <col min="162" max="162" width="7" customWidth="1"/>
    <col min="163" max="163" width="9" customWidth="1"/>
    <col min="164" max="164" width="12" customWidth="1"/>
    <col min="165" max="166" width="8" customWidth="1"/>
    <col min="167" max="167" width="7" customWidth="1"/>
    <col min="168" max="168" width="12" customWidth="1"/>
    <col min="169" max="172" width="7" customWidth="1"/>
    <col min="173" max="173" width="6" customWidth="1"/>
    <col min="174" max="174" width="7" customWidth="1"/>
    <col min="175" max="177" width="12" customWidth="1"/>
    <col min="178" max="178" width="7" customWidth="1"/>
    <col min="179" max="179" width="9" customWidth="1"/>
    <col min="180" max="181" width="12" customWidth="1"/>
    <col min="182" max="182" width="4" customWidth="1"/>
    <col min="183" max="183" width="12" customWidth="1"/>
    <col min="184" max="184" width="8" customWidth="1"/>
    <col min="185" max="185" width="3.77734375" customWidth="1"/>
    <col min="186" max="186" width="7.21875" customWidth="1"/>
    <col min="187" max="187" width="11.77734375" customWidth="1"/>
    <col min="188" max="188" width="8" customWidth="1"/>
    <col min="189" max="189" width="10.77734375" customWidth="1"/>
    <col min="190" max="190" width="9" customWidth="1"/>
    <col min="191" max="191" width="11.77734375" customWidth="1"/>
    <col min="192" max="192" width="9" customWidth="1"/>
    <col min="193" max="193" width="11.77734375" customWidth="1"/>
    <col min="194" max="194" width="9" customWidth="1"/>
    <col min="195" max="195" width="11.77734375" customWidth="1"/>
    <col min="196" max="196" width="8" customWidth="1"/>
    <col min="197" max="197" width="10.77734375" customWidth="1"/>
    <col min="198" max="198" width="10" customWidth="1"/>
    <col min="199" max="199" width="12.77734375" customWidth="1"/>
    <col min="200" max="200" width="10" customWidth="1"/>
    <col min="201" max="201" width="12.77734375" customWidth="1"/>
    <col min="202" max="202" width="8" customWidth="1"/>
    <col min="203" max="203" width="10.77734375" customWidth="1"/>
    <col min="204" max="204" width="7" customWidth="1"/>
    <col min="205" max="205" width="9.77734375" customWidth="1"/>
    <col min="206" max="206" width="14" customWidth="1"/>
    <col min="207" max="207" width="21" customWidth="1"/>
    <col min="208" max="208" width="8" customWidth="1"/>
    <col min="209" max="209" width="10.77734375" customWidth="1"/>
    <col min="210" max="210" width="8" customWidth="1"/>
    <col min="211" max="211" width="10.77734375" customWidth="1"/>
    <col min="212" max="212" width="6" customWidth="1"/>
    <col min="213" max="213" width="8.77734375" customWidth="1"/>
    <col min="214" max="214" width="8" customWidth="1"/>
    <col min="215" max="215" width="10.77734375" customWidth="1"/>
    <col min="216" max="216" width="6" customWidth="1"/>
    <col min="217" max="217" width="8.77734375" customWidth="1"/>
    <col min="218" max="218" width="6" customWidth="1"/>
    <col min="219" max="219" width="8.77734375" customWidth="1"/>
    <col min="220" max="220" width="8" customWidth="1"/>
    <col min="221" max="221" width="10.77734375" customWidth="1"/>
    <col min="222" max="222" width="8" customWidth="1"/>
    <col min="223" max="223" width="10.77734375" customWidth="1"/>
    <col min="224" max="224" width="6" customWidth="1"/>
    <col min="225" max="225" width="8.77734375" customWidth="1"/>
    <col min="226" max="226" width="8" customWidth="1"/>
    <col min="227" max="227" width="10.77734375" customWidth="1"/>
    <col min="228" max="228" width="8" customWidth="1"/>
    <col min="229" max="229" width="10.77734375" customWidth="1"/>
    <col min="230" max="230" width="9" customWidth="1"/>
    <col min="231" max="231" width="11.77734375" customWidth="1"/>
    <col min="232" max="232" width="4" customWidth="1"/>
    <col min="233" max="233" width="7.21875" customWidth="1"/>
    <col min="234" max="234" width="8" customWidth="1"/>
    <col min="235" max="235" width="10.77734375" customWidth="1"/>
    <col min="236" max="236" width="4" customWidth="1"/>
    <col min="237" max="237" width="7.21875" customWidth="1"/>
    <col min="238" max="238" width="8" customWidth="1"/>
    <col min="239" max="239" width="10.77734375" customWidth="1"/>
    <col min="240" max="240" width="9" customWidth="1"/>
    <col min="241" max="241" width="11.77734375" customWidth="1"/>
    <col min="242" max="242" width="8" customWidth="1"/>
    <col min="243" max="243" width="10.77734375" customWidth="1"/>
    <col min="244" max="244" width="8" customWidth="1"/>
    <col min="245" max="245" width="10.77734375" customWidth="1"/>
    <col min="246" max="246" width="14" customWidth="1"/>
    <col min="247" max="247" width="22.21875" customWidth="1"/>
    <col min="248" max="248" width="5" customWidth="1"/>
    <col min="249" max="249" width="8.21875" customWidth="1"/>
    <col min="250" max="250" width="12" customWidth="1"/>
    <col min="251" max="251" width="14.77734375" customWidth="1"/>
    <col min="252" max="252" width="14" customWidth="1"/>
    <col min="253" max="253" width="22.21875" customWidth="1"/>
    <col min="254" max="254" width="9" customWidth="1"/>
    <col min="255" max="255" width="11.77734375" customWidth="1"/>
    <col min="256" max="256" width="8" customWidth="1"/>
    <col min="257" max="257" width="10.77734375" customWidth="1"/>
    <col min="258" max="258" width="13" customWidth="1"/>
    <col min="259" max="259" width="22.21875" customWidth="1"/>
    <col min="260" max="260" width="9" customWidth="1"/>
    <col min="261" max="261" width="11.77734375" customWidth="1"/>
    <col min="262" max="262" width="14" customWidth="1"/>
    <col min="263" max="263" width="22.21875" customWidth="1"/>
    <col min="264" max="264" width="9" customWidth="1"/>
    <col min="265" max="265" width="11.77734375" customWidth="1"/>
    <col min="266" max="266" width="14" customWidth="1"/>
    <col min="267" max="267" width="22.21875" customWidth="1"/>
    <col min="268" max="268" width="7" customWidth="1"/>
    <col min="269" max="269" width="9.77734375" customWidth="1"/>
    <col min="270" max="270" width="7" customWidth="1"/>
    <col min="271" max="271" width="9.77734375" customWidth="1"/>
    <col min="272" max="272" width="14" customWidth="1"/>
    <col min="273" max="273" width="22.21875" customWidth="1"/>
    <col min="274" max="274" width="9" customWidth="1"/>
    <col min="275" max="275" width="11.77734375" customWidth="1"/>
    <col min="276" max="276" width="9" customWidth="1"/>
    <col min="277" max="277" width="11.77734375" customWidth="1"/>
    <col min="278" max="278" width="13" customWidth="1"/>
    <col min="279" max="279" width="22.21875" customWidth="1"/>
    <col min="280" max="280" width="14" customWidth="1"/>
    <col min="281" max="281" width="22.21875" customWidth="1"/>
    <col min="282" max="282" width="9" customWidth="1"/>
    <col min="283" max="283" width="11.77734375" customWidth="1"/>
    <col min="284" max="284" width="9" customWidth="1"/>
    <col min="285" max="285" width="11.77734375" customWidth="1"/>
    <col min="286" max="286" width="9" customWidth="1"/>
    <col min="287" max="287" width="11.77734375" customWidth="1"/>
    <col min="288" max="288" width="11" customWidth="1"/>
    <col min="289" max="289" width="13.77734375" customWidth="1"/>
    <col min="290" max="290" width="14" customWidth="1"/>
    <col min="291" max="291" width="22.21875" customWidth="1"/>
    <col min="292" max="292" width="9" customWidth="1"/>
    <col min="293" max="293" width="11.77734375" customWidth="1"/>
    <col min="294" max="294" width="11" customWidth="1"/>
    <col min="295" max="295" width="13.77734375" customWidth="1"/>
    <col min="296" max="296" width="5" customWidth="1"/>
    <col min="297" max="297" width="8.21875" customWidth="1"/>
    <col min="298" max="298" width="9" customWidth="1"/>
    <col min="299" max="299" width="11.77734375" customWidth="1"/>
    <col min="300" max="300" width="14" customWidth="1"/>
    <col min="301" max="301" width="22.21875" customWidth="1"/>
    <col min="302" max="302" width="14" customWidth="1"/>
    <col min="303" max="303" width="22.21875" customWidth="1"/>
    <col min="304" max="304" width="9" customWidth="1"/>
    <col min="305" max="305" width="11.77734375" customWidth="1"/>
    <col min="306" max="306" width="9" customWidth="1"/>
    <col min="307" max="307" width="11.77734375" customWidth="1"/>
    <col min="308" max="308" width="9" customWidth="1"/>
    <col min="309" max="309" width="11.77734375" customWidth="1"/>
    <col min="310" max="310" width="11" customWidth="1"/>
    <col min="311" max="311" width="13.77734375" customWidth="1"/>
    <col min="312" max="312" width="9" customWidth="1"/>
    <col min="313" max="313" width="11.77734375" customWidth="1"/>
    <col min="314" max="314" width="9" customWidth="1"/>
    <col min="315" max="315" width="11.77734375" customWidth="1"/>
    <col min="316" max="316" width="14" customWidth="1"/>
    <col min="317" max="317" width="22.21875" customWidth="1"/>
    <col min="318" max="318" width="9" customWidth="1"/>
    <col min="319" max="319" width="11.77734375" customWidth="1"/>
    <col min="320" max="320" width="13" customWidth="1"/>
    <col min="321" max="321" width="22.21875" customWidth="1"/>
    <col min="322" max="322" width="14" customWidth="1"/>
    <col min="323" max="323" width="22.21875" customWidth="1"/>
    <col min="324" max="324" width="14" customWidth="1"/>
    <col min="325" max="325" width="22.21875" customWidth="1"/>
    <col min="326" max="326" width="14" customWidth="1"/>
    <col min="327" max="327" width="22.21875" customWidth="1"/>
    <col min="328" max="328" width="9" customWidth="1"/>
    <col min="329" max="329" width="11.77734375" customWidth="1"/>
    <col min="330" max="330" width="11" customWidth="1"/>
    <col min="331" max="331" width="13.77734375" customWidth="1"/>
    <col min="332" max="332" width="9" customWidth="1"/>
    <col min="333" max="333" width="11.77734375" customWidth="1"/>
    <col min="334" max="334" width="14" customWidth="1"/>
    <col min="335" max="335" width="22.21875" customWidth="1"/>
    <col min="336" max="336" width="10" customWidth="1"/>
    <col min="337" max="337" width="12.77734375" customWidth="1"/>
    <col min="338" max="338" width="9" customWidth="1"/>
    <col min="339" max="339" width="11.77734375" customWidth="1"/>
    <col min="340" max="340" width="9" customWidth="1"/>
    <col min="341" max="341" width="11.77734375" customWidth="1"/>
    <col min="342" max="342" width="9" customWidth="1"/>
    <col min="343" max="343" width="11.77734375" customWidth="1"/>
    <col min="344" max="344" width="10" customWidth="1"/>
    <col min="345" max="345" width="12.77734375" customWidth="1"/>
    <col min="346" max="346" width="14" customWidth="1"/>
    <col min="347" max="347" width="22.21875" customWidth="1"/>
    <col min="348" max="348" width="9" customWidth="1"/>
    <col min="349" max="349" width="11.77734375" customWidth="1"/>
    <col min="350" max="350" width="9" customWidth="1"/>
    <col min="351" max="351" width="11.77734375" customWidth="1"/>
    <col min="352" max="352" width="8" customWidth="1"/>
    <col min="353" max="353" width="10.77734375" customWidth="1"/>
    <col min="354" max="354" width="9" customWidth="1"/>
    <col min="355" max="355" width="11.77734375" customWidth="1"/>
    <col min="356" max="356" width="14" customWidth="1"/>
    <col min="357" max="357" width="22.21875" customWidth="1"/>
    <col min="358" max="358" width="14" customWidth="1"/>
    <col min="359" max="359" width="22.21875" customWidth="1"/>
    <col min="360" max="360" width="14" customWidth="1"/>
    <col min="361" max="361" width="22.21875" customWidth="1"/>
    <col min="362" max="362" width="9" customWidth="1"/>
    <col min="363" max="363" width="11.77734375" customWidth="1"/>
    <col min="364" max="364" width="11" customWidth="1"/>
    <col min="365" max="365" width="13.77734375" customWidth="1"/>
    <col min="366" max="366" width="14" customWidth="1"/>
    <col min="367" max="367" width="22.21875" customWidth="1"/>
    <col min="368" max="368" width="14" customWidth="1"/>
    <col min="369" max="369" width="22.21875" customWidth="1"/>
    <col min="370" max="370" width="6" customWidth="1"/>
    <col min="371" max="371" width="9.21875" customWidth="1"/>
    <col min="372" max="372" width="14" customWidth="1"/>
    <col min="373" max="373" width="22.21875" customWidth="1"/>
    <col min="374" max="374" width="10" customWidth="1"/>
    <col min="375" max="375" width="12.77734375" customWidth="1"/>
    <col min="376" max="376" width="5.77734375" customWidth="1"/>
    <col min="377" max="377" width="9" customWidth="1"/>
    <col min="378" max="378" width="9.21875" customWidth="1"/>
    <col min="379" max="379" width="12.21875" customWidth="1"/>
    <col min="380" max="380" width="11.77734375" customWidth="1"/>
    <col min="381" max="381" width="5" customWidth="1"/>
    <col min="382" max="383" width="8.21875" customWidth="1"/>
    <col min="384" max="384" width="9" customWidth="1"/>
    <col min="385" max="386" width="11.77734375" customWidth="1"/>
    <col min="387" max="387" width="12" customWidth="1"/>
    <col min="388" max="389" width="14.77734375" customWidth="1"/>
    <col min="390" max="390" width="14" customWidth="1"/>
    <col min="391" max="392" width="22.21875" customWidth="1"/>
    <col min="393" max="393" width="9" customWidth="1"/>
    <col min="394" max="395" width="11.77734375" customWidth="1"/>
    <col min="396" max="396" width="8" customWidth="1"/>
    <col min="397" max="398" width="10.77734375" customWidth="1"/>
    <col min="399" max="399" width="13" customWidth="1"/>
    <col min="400" max="401" width="22.21875" customWidth="1"/>
    <col min="402" max="402" width="14" customWidth="1"/>
    <col min="403" max="404" width="22.21875" customWidth="1"/>
    <col min="405" max="405" width="9" customWidth="1"/>
    <col min="406" max="406" width="10.77734375" customWidth="1"/>
    <col min="407" max="407" width="11.77734375" customWidth="1"/>
    <col min="408" max="408" width="9" customWidth="1"/>
    <col min="409" max="410" width="11.77734375" customWidth="1"/>
    <col min="411" max="411" width="14" customWidth="1"/>
    <col min="412" max="413" width="22.21875" customWidth="1"/>
    <col min="414" max="414" width="7" customWidth="1"/>
    <col min="415" max="416" width="9.77734375" customWidth="1"/>
    <col min="417" max="417" width="14" customWidth="1"/>
    <col min="418" max="419" width="22.21875" customWidth="1"/>
    <col min="420" max="420" width="7" customWidth="1"/>
    <col min="421" max="421" width="9.77734375" customWidth="1"/>
    <col min="422" max="422" width="8.21875" customWidth="1"/>
    <col min="423" max="423" width="14" customWidth="1"/>
    <col min="424" max="425" width="22.21875" customWidth="1"/>
    <col min="426" max="426" width="9" customWidth="1"/>
    <col min="427" max="428" width="11.77734375" customWidth="1"/>
    <col min="429" max="429" width="14" customWidth="1"/>
    <col min="430" max="431" width="22.21875" customWidth="1"/>
    <col min="432" max="432" width="9" customWidth="1"/>
    <col min="433" max="434" width="11.77734375" customWidth="1"/>
    <col min="435" max="435" width="9" customWidth="1"/>
    <col min="436" max="437" width="11.77734375" customWidth="1"/>
    <col min="438" max="438" width="9" customWidth="1"/>
    <col min="439" max="440" width="11.77734375" customWidth="1"/>
    <col min="441" max="441" width="9" customWidth="1"/>
    <col min="442" max="443" width="11.77734375" customWidth="1"/>
    <col min="444" max="444" width="11" customWidth="1"/>
    <col min="445" max="446" width="13.77734375" customWidth="1"/>
    <col min="447" max="447" width="14" customWidth="1"/>
    <col min="448" max="449" width="22.21875" customWidth="1"/>
    <col min="450" max="450" width="9" customWidth="1"/>
    <col min="451" max="451" width="11.77734375" customWidth="1"/>
    <col min="452" max="452" width="10.77734375" customWidth="1"/>
    <col min="453" max="453" width="11" customWidth="1"/>
    <col min="454" max="455" width="13.77734375" customWidth="1"/>
    <col min="456" max="456" width="5" customWidth="1"/>
    <col min="457" max="458" width="8.21875" customWidth="1"/>
    <col min="459" max="459" width="9" customWidth="1"/>
    <col min="460" max="461" width="11.77734375" customWidth="1"/>
    <col min="462" max="462" width="14" customWidth="1"/>
    <col min="463" max="464" width="22.21875" customWidth="1"/>
    <col min="465" max="465" width="14" customWidth="1"/>
    <col min="466" max="467" width="22.21875" customWidth="1"/>
    <col min="468" max="468" width="9" customWidth="1"/>
    <col min="469" max="470" width="11.77734375" customWidth="1"/>
    <col min="471" max="471" width="9" customWidth="1"/>
    <col min="472" max="473" width="11.77734375" customWidth="1"/>
    <col min="474" max="474" width="9" customWidth="1"/>
    <col min="475" max="476" width="11.77734375" customWidth="1"/>
    <col min="477" max="477" width="9" customWidth="1"/>
    <col min="478" max="479" width="11.77734375" customWidth="1"/>
    <col min="480" max="480" width="9" customWidth="1"/>
    <col min="481" max="482" width="11.77734375" customWidth="1"/>
    <col min="483" max="483" width="11" customWidth="1"/>
    <col min="484" max="485" width="13.77734375" customWidth="1"/>
    <col min="486" max="486" width="9" customWidth="1"/>
    <col min="487" max="488" width="11.77734375" customWidth="1"/>
    <col min="489" max="489" width="14" customWidth="1"/>
    <col min="490" max="491" width="22.21875" customWidth="1"/>
    <col min="492" max="492" width="9" customWidth="1"/>
    <col min="493" max="494" width="11.77734375" customWidth="1"/>
    <col min="495" max="495" width="14" customWidth="1"/>
    <col min="496" max="497" width="22.21875" customWidth="1"/>
    <col min="498" max="498" width="14" customWidth="1"/>
    <col min="499" max="500" width="22.21875" customWidth="1"/>
    <col min="501" max="501" width="14" customWidth="1"/>
    <col min="502" max="503" width="22.21875" customWidth="1"/>
    <col min="504" max="504" width="14" customWidth="1"/>
    <col min="505" max="506" width="22.21875" customWidth="1"/>
    <col min="507" max="507" width="9" customWidth="1"/>
    <col min="508" max="509" width="11.77734375" customWidth="1"/>
    <col min="510" max="510" width="11" customWidth="1"/>
    <col min="511" max="512" width="13.77734375" customWidth="1"/>
    <col min="513" max="513" width="14" customWidth="1"/>
    <col min="514" max="515" width="22.21875" customWidth="1"/>
    <col min="516" max="516" width="10" customWidth="1"/>
    <col min="517" max="518" width="12.77734375" customWidth="1"/>
    <col min="519" max="519" width="10" customWidth="1"/>
    <col min="520" max="521" width="12.77734375" customWidth="1"/>
    <col min="522" max="522" width="9" customWidth="1"/>
    <col min="523" max="524" width="11.77734375" customWidth="1"/>
    <col min="525" max="525" width="9" customWidth="1"/>
    <col min="526" max="527" width="11.77734375" customWidth="1"/>
    <col min="528" max="528" width="9" customWidth="1"/>
    <col min="529" max="530" width="11.77734375" customWidth="1"/>
    <col min="531" max="531" width="14" customWidth="1"/>
    <col min="532" max="533" width="22.21875" customWidth="1"/>
    <col min="534" max="534" width="9" customWidth="1"/>
    <col min="535" max="536" width="11.77734375" customWidth="1"/>
    <col min="537" max="537" width="9" customWidth="1"/>
    <col min="538" max="539" width="11.77734375" customWidth="1"/>
    <col min="540" max="540" width="8" customWidth="1"/>
    <col min="541" max="542" width="10.77734375" customWidth="1"/>
    <col min="543" max="543" width="14" customWidth="1"/>
    <col min="544" max="545" width="22.21875" customWidth="1"/>
    <col min="546" max="546" width="9" customWidth="1"/>
    <col min="547" max="548" width="11.77734375" customWidth="1"/>
    <col min="549" max="549" width="14" customWidth="1"/>
    <col min="550" max="551" width="22.21875" customWidth="1"/>
    <col min="552" max="552" width="14" customWidth="1"/>
    <col min="553" max="554" width="22.21875" customWidth="1"/>
    <col min="555" max="555" width="9" customWidth="1"/>
    <col min="556" max="557" width="11.77734375" customWidth="1"/>
    <col min="558" max="558" width="11" customWidth="1"/>
    <col min="559" max="560" width="13.77734375" customWidth="1"/>
    <col min="561" max="561" width="14" customWidth="1"/>
    <col min="562" max="563" width="22.21875" customWidth="1"/>
    <col min="564" max="564" width="14" customWidth="1"/>
    <col min="565" max="566" width="22.21875" customWidth="1"/>
    <col min="567" max="567" width="6" customWidth="1"/>
    <col min="568" max="569" width="9.21875" customWidth="1"/>
    <col min="570" max="570" width="14" customWidth="1"/>
    <col min="571" max="572" width="22.21875" customWidth="1"/>
    <col min="573" max="573" width="10" customWidth="1"/>
    <col min="574" max="575" width="12.77734375" customWidth="1"/>
    <col min="576" max="576" width="5.77734375" customWidth="1"/>
    <col min="577" max="578" width="9" customWidth="1"/>
    <col min="579" max="579" width="9.21875" customWidth="1"/>
    <col min="580" max="581" width="12.21875" customWidth="1"/>
    <col min="582" max="582" width="11.77734375" customWidth="1"/>
    <col min="583" max="583" width="22.21875" customWidth="1"/>
    <col min="584" max="584" width="14" customWidth="1"/>
    <col min="585" max="586" width="22.21875" customWidth="1"/>
    <col min="587" max="587" width="21" customWidth="1"/>
    <col min="588" max="588" width="9" customWidth="1"/>
    <col min="589" max="589" width="11.77734375" customWidth="1"/>
    <col min="590" max="590" width="10.77734375" customWidth="1"/>
    <col min="591" max="591" width="9.77734375" customWidth="1"/>
    <col min="592" max="592" width="9" customWidth="1"/>
    <col min="593" max="595" width="11.77734375" customWidth="1"/>
    <col min="596" max="596" width="9" customWidth="1"/>
    <col min="597" max="599" width="11.77734375" customWidth="1"/>
    <col min="600" max="600" width="9" customWidth="1"/>
    <col min="601" max="603" width="11.77734375" customWidth="1"/>
    <col min="604" max="604" width="11" customWidth="1"/>
    <col min="605" max="607" width="13.77734375" customWidth="1"/>
    <col min="608" max="608" width="9" customWidth="1"/>
    <col min="609" max="610" width="11.77734375" customWidth="1"/>
    <col min="611" max="611" width="10.77734375" customWidth="1"/>
    <col min="612" max="612" width="14" customWidth="1"/>
    <col min="613" max="615" width="22.21875" customWidth="1"/>
    <col min="616" max="616" width="9" customWidth="1"/>
    <col min="617" max="619" width="11.77734375" customWidth="1"/>
    <col min="620" max="620" width="14" customWidth="1"/>
    <col min="621" max="623" width="22.21875" customWidth="1"/>
    <col min="624" max="624" width="5" customWidth="1"/>
    <col min="625" max="627" width="8.21875" customWidth="1"/>
    <col min="628" max="628" width="9" customWidth="1"/>
    <col min="629" max="631" width="11.77734375" customWidth="1"/>
    <col min="632" max="632" width="11" customWidth="1"/>
    <col min="633" max="635" width="13.77734375" customWidth="1"/>
    <col min="636" max="636" width="14" customWidth="1"/>
    <col min="637" max="639" width="22.21875" customWidth="1"/>
    <col min="640" max="640" width="9" customWidth="1"/>
    <col min="641" max="642" width="11.77734375" customWidth="1"/>
    <col min="643" max="643" width="10.77734375" customWidth="1"/>
    <col min="644" max="644" width="9" customWidth="1"/>
    <col min="645" max="647" width="11.77734375" customWidth="1"/>
    <col min="648" max="648" width="10" customWidth="1"/>
    <col min="649" max="650" width="12.77734375" customWidth="1"/>
    <col min="651" max="651" width="11.77734375" customWidth="1"/>
    <col min="652" max="652" width="9" customWidth="1"/>
    <col min="653" max="655" width="11.77734375" customWidth="1"/>
    <col min="656" max="656" width="9" customWidth="1"/>
    <col min="657" max="659" width="11.77734375" customWidth="1"/>
    <col min="660" max="660" width="9" customWidth="1"/>
    <col min="661" max="663" width="11.77734375" customWidth="1"/>
    <col min="664" max="664" width="14" customWidth="1"/>
    <col min="665" max="667" width="22.21875" customWidth="1"/>
    <col min="668" max="668" width="11" customWidth="1"/>
    <col min="669" max="671" width="13.77734375" customWidth="1"/>
    <col min="672" max="672" width="9" customWidth="1"/>
    <col min="673" max="675" width="11.77734375" customWidth="1"/>
    <col min="676" max="676" width="14" customWidth="1"/>
    <col min="677" max="679" width="22.21875" customWidth="1"/>
    <col min="680" max="680" width="14" customWidth="1"/>
    <col min="681" max="683" width="22.21875" customWidth="1"/>
    <col min="684" max="684" width="14" customWidth="1"/>
    <col min="685" max="687" width="22.21875" customWidth="1"/>
    <col min="688" max="688" width="14" customWidth="1"/>
    <col min="689" max="691" width="22.21875" customWidth="1"/>
    <col min="692" max="692" width="9" customWidth="1"/>
    <col min="693" max="695" width="11.77734375" customWidth="1"/>
    <col min="696" max="696" width="11" customWidth="1"/>
    <col min="697" max="699" width="13.77734375" customWidth="1"/>
    <col min="700" max="700" width="14" customWidth="1"/>
    <col min="701" max="703" width="22.21875" customWidth="1"/>
    <col min="704" max="704" width="9" customWidth="1"/>
    <col min="705" max="707" width="11.77734375" customWidth="1"/>
    <col min="708" max="708" width="10" customWidth="1"/>
    <col min="709" max="711" width="12.77734375" customWidth="1"/>
    <col min="712" max="712" width="9" customWidth="1"/>
    <col min="713" max="715" width="11.77734375" customWidth="1"/>
    <col min="716" max="716" width="14" customWidth="1"/>
    <col min="717" max="719" width="22.21875" customWidth="1"/>
    <col min="720" max="720" width="9" customWidth="1"/>
    <col min="721" max="723" width="11.77734375" customWidth="1"/>
    <col min="724" max="724" width="9" customWidth="1"/>
    <col min="725" max="727" width="11.77734375" customWidth="1"/>
    <col min="728" max="728" width="8" customWidth="1"/>
    <col min="729" max="731" width="10.77734375" customWidth="1"/>
    <col min="732" max="732" width="9" customWidth="1"/>
    <col min="733" max="735" width="11.77734375" customWidth="1"/>
    <col min="736" max="736" width="14" customWidth="1"/>
    <col min="737" max="739" width="22.21875" customWidth="1"/>
    <col min="740" max="740" width="9" customWidth="1"/>
    <col min="741" max="743" width="11.77734375" customWidth="1"/>
    <col min="744" max="744" width="14" customWidth="1"/>
    <col min="745" max="747" width="22.21875" customWidth="1"/>
    <col min="748" max="748" width="9" customWidth="1"/>
    <col min="749" max="751" width="11.77734375" customWidth="1"/>
    <col min="752" max="752" width="14" customWidth="1"/>
    <col min="753" max="755" width="22.21875" customWidth="1"/>
    <col min="756" max="756" width="11" customWidth="1"/>
    <col min="757" max="759" width="13.77734375" customWidth="1"/>
    <col min="760" max="760" width="14" customWidth="1"/>
    <col min="761" max="762" width="22.21875" customWidth="1"/>
    <col min="763" max="763" width="21" customWidth="1"/>
    <col min="764" max="764" width="14" customWidth="1"/>
    <col min="765" max="767" width="22.21875" customWidth="1"/>
    <col min="768" max="768" width="6" customWidth="1"/>
    <col min="769" max="771" width="9.21875" customWidth="1"/>
    <col min="772" max="772" width="14" customWidth="1"/>
    <col min="773" max="775" width="22.21875" customWidth="1"/>
    <col min="776" max="776" width="10" customWidth="1"/>
    <col min="777" max="779" width="12.77734375" customWidth="1"/>
    <col min="780" max="780" width="5.77734375" customWidth="1"/>
    <col min="781" max="783" width="9" customWidth="1"/>
    <col min="784" max="784" width="9.21875" customWidth="1"/>
    <col min="785" max="787" width="12.21875" customWidth="1"/>
    <col min="788" max="788" width="11.77734375" customWidth="1"/>
    <col min="789" max="789" width="22.21875" customWidth="1"/>
    <col min="790" max="790" width="5" customWidth="1"/>
    <col min="791" max="794" width="8.21875" customWidth="1"/>
    <col min="795" max="795" width="11" customWidth="1"/>
    <col min="796" max="798" width="13.77734375" customWidth="1"/>
    <col min="799" max="799" width="12.77734375" customWidth="1"/>
    <col min="800" max="800" width="14" customWidth="1"/>
    <col min="801" max="804" width="22.21875" customWidth="1"/>
    <col min="805" max="805" width="9" customWidth="1"/>
    <col min="806" max="809" width="11.77734375" customWidth="1"/>
    <col min="810" max="810" width="9" customWidth="1"/>
    <col min="811" max="814" width="11.77734375" customWidth="1"/>
    <col min="815" max="815" width="9" customWidth="1"/>
    <col min="816" max="817" width="11.77734375" customWidth="1"/>
    <col min="818" max="819" width="10.77734375" customWidth="1"/>
    <col min="820" max="820" width="9" customWidth="1"/>
    <col min="821" max="824" width="11.77734375" customWidth="1"/>
    <col min="825" max="825" width="14" customWidth="1"/>
    <col min="826" max="829" width="22.21875" customWidth="1"/>
    <col min="830" max="830" width="11" customWidth="1"/>
    <col min="831" max="833" width="13.77734375" customWidth="1"/>
    <col min="834" max="834" width="11.77734375" customWidth="1"/>
    <col min="835" max="835" width="9" customWidth="1"/>
    <col min="836" max="839" width="11.77734375" customWidth="1"/>
    <col min="840" max="840" width="9" customWidth="1"/>
    <col min="841" max="844" width="11.77734375" customWidth="1"/>
    <col min="845" max="845" width="9" customWidth="1"/>
    <col min="846" max="849" width="11.77734375" customWidth="1"/>
    <col min="850" max="850" width="9" customWidth="1"/>
    <col min="851" max="854" width="11.77734375" customWidth="1"/>
    <col min="855" max="855" width="14" customWidth="1"/>
    <col min="856" max="859" width="22.21875" customWidth="1"/>
    <col min="860" max="860" width="14" customWidth="1"/>
    <col min="861" max="864" width="22.21875" customWidth="1"/>
    <col min="865" max="865" width="14" customWidth="1"/>
    <col min="866" max="869" width="22.21875" customWidth="1"/>
    <col min="870" max="870" width="14" customWidth="1"/>
    <col min="871" max="873" width="22.21875" customWidth="1"/>
    <col min="874" max="874" width="21" customWidth="1"/>
    <col min="875" max="875" width="9" customWidth="1"/>
    <col min="876" max="879" width="11.77734375" customWidth="1"/>
    <col min="880" max="880" width="11" customWidth="1"/>
    <col min="881" max="883" width="13.77734375" customWidth="1"/>
    <col min="884" max="884" width="12.77734375" customWidth="1"/>
    <col min="885" max="885" width="10" customWidth="1"/>
    <col min="886" max="887" width="12.77734375" customWidth="1"/>
    <col min="888" max="888" width="11.77734375" customWidth="1"/>
    <col min="889" max="889" width="12.77734375" customWidth="1"/>
    <col min="890" max="890" width="14" customWidth="1"/>
    <col min="891" max="894" width="22.21875" customWidth="1"/>
    <col min="895" max="895" width="10" customWidth="1"/>
    <col min="896" max="899" width="12.77734375" customWidth="1"/>
    <col min="900" max="900" width="9" customWidth="1"/>
    <col min="901" max="903" width="11.77734375" customWidth="1"/>
    <col min="904" max="904" width="10.77734375" customWidth="1"/>
    <col min="905" max="905" width="9" customWidth="1"/>
    <col min="906" max="909" width="11.77734375" customWidth="1"/>
    <col min="910" max="910" width="14" customWidth="1"/>
    <col min="911" max="914" width="22.21875" customWidth="1"/>
    <col min="915" max="915" width="9" customWidth="1"/>
    <col min="916" max="919" width="11.77734375" customWidth="1"/>
    <col min="920" max="920" width="9" customWidth="1"/>
    <col min="921" max="924" width="11.77734375" customWidth="1"/>
    <col min="925" max="925" width="8" customWidth="1"/>
    <col min="926" max="929" width="10.77734375" customWidth="1"/>
    <col min="930" max="930" width="14" customWidth="1"/>
    <col min="931" max="934" width="22.21875" customWidth="1"/>
    <col min="935" max="935" width="9" customWidth="1"/>
    <col min="936" max="938" width="11.77734375" customWidth="1"/>
    <col min="939" max="939" width="10.77734375" customWidth="1"/>
    <col min="940" max="940" width="14" customWidth="1"/>
    <col min="941" max="944" width="22.21875" customWidth="1"/>
    <col min="945" max="945" width="14" customWidth="1"/>
    <col min="946" max="949" width="22.21875" customWidth="1"/>
    <col min="950" max="950" width="9" customWidth="1"/>
    <col min="951" max="954" width="11.77734375" customWidth="1"/>
    <col min="955" max="955" width="11" customWidth="1"/>
    <col min="956" max="958" width="13.77734375" customWidth="1"/>
    <col min="959" max="959" width="12.77734375" customWidth="1"/>
    <col min="960" max="960" width="9" customWidth="1"/>
    <col min="961" max="964" width="11.77734375" customWidth="1"/>
    <col min="965" max="965" width="14" customWidth="1"/>
    <col min="966" max="967" width="22.21875" customWidth="1"/>
    <col min="968" max="968" width="21" customWidth="1"/>
    <col min="969" max="969" width="22.21875" customWidth="1"/>
    <col min="970" max="970" width="14" customWidth="1"/>
    <col min="971" max="974" width="22.21875" customWidth="1"/>
    <col min="975" max="975" width="6" customWidth="1"/>
    <col min="976" max="979" width="9.21875" customWidth="1"/>
    <col min="980" max="980" width="14" customWidth="1"/>
    <col min="981" max="984" width="22.21875" customWidth="1"/>
    <col min="985" max="985" width="10" customWidth="1"/>
    <col min="986" max="988" width="12.77734375" customWidth="1"/>
    <col min="989" max="989" width="11.77734375" customWidth="1"/>
    <col min="990" max="990" width="5.77734375" customWidth="1"/>
    <col min="991" max="994" width="9" customWidth="1"/>
    <col min="995" max="995" width="9.21875" customWidth="1"/>
    <col min="996" max="999" width="12.21875" customWidth="1"/>
    <col min="1000" max="1000" width="11.77734375" customWidth="1"/>
    <col min="1001" max="1001" width="12.77734375" customWidth="1"/>
    <col min="1002" max="1002" width="11.77734375" customWidth="1"/>
    <col min="1003" max="1003" width="14" customWidth="1"/>
    <col min="1004" max="1008" width="22.21875" customWidth="1"/>
    <col min="1009" max="1009" width="9" customWidth="1"/>
    <col min="1010" max="1014" width="11.77734375" customWidth="1"/>
    <col min="1015" max="1015" width="14" customWidth="1"/>
    <col min="1016" max="1016" width="22.21875" customWidth="1"/>
    <col min="1017" max="1018" width="22.21875" bestFit="1" customWidth="1"/>
    <col min="1019" max="1020" width="22.21875" customWidth="1"/>
    <col min="1021" max="1021" width="5" customWidth="1"/>
    <col min="1022" max="1026" width="8.21875" customWidth="1"/>
    <col min="1027" max="1027" width="11" customWidth="1"/>
    <col min="1028" max="1029" width="13.77734375" bestFit="1" customWidth="1"/>
    <col min="1030" max="1030" width="13.77734375" customWidth="1"/>
    <col min="1031" max="1031" width="12.77734375" customWidth="1"/>
    <col min="1032" max="1032" width="13.77734375" customWidth="1"/>
    <col min="1033" max="1033" width="14" customWidth="1"/>
    <col min="1034" max="1037" width="22.21875" customWidth="1"/>
    <col min="1038" max="1038" width="21" customWidth="1"/>
    <col min="1039" max="1039" width="9" customWidth="1"/>
    <col min="1040" max="1041" width="11.77734375" customWidth="1"/>
    <col min="1042" max="1043" width="10.77734375" customWidth="1"/>
    <col min="1044" max="1044" width="11.77734375" customWidth="1"/>
    <col min="1045" max="1045" width="9" customWidth="1"/>
    <col min="1046" max="1049" width="8.77734375" customWidth="1"/>
    <col min="1050" max="1050" width="11.77734375" customWidth="1"/>
    <col min="1051" max="1051" width="9" customWidth="1"/>
    <col min="1052" max="1056" width="11.77734375" customWidth="1"/>
    <col min="1057" max="1057" width="9" customWidth="1"/>
    <col min="1058" max="1062" width="11.77734375" customWidth="1"/>
    <col min="1063" max="1063" width="14" bestFit="1" customWidth="1"/>
    <col min="1064" max="1066" width="22.21875" customWidth="1"/>
    <col min="1067" max="1067" width="22.21875" bestFit="1" customWidth="1"/>
    <col min="1068" max="1068" width="22.21875" customWidth="1"/>
    <col min="1069" max="1069" width="11" customWidth="1"/>
    <col min="1070" max="1070" width="13.77734375" bestFit="1" customWidth="1"/>
    <col min="1071" max="1072" width="13.77734375" customWidth="1"/>
    <col min="1073" max="1073" width="11.77734375" customWidth="1"/>
    <col min="1074" max="1074" width="13.77734375" customWidth="1"/>
    <col min="1075" max="1075" width="10" customWidth="1"/>
    <col min="1076" max="1079" width="12.77734375" customWidth="1"/>
    <col min="1080" max="1080" width="12.77734375" bestFit="1" customWidth="1"/>
    <col min="1081" max="1081" width="9" customWidth="1"/>
    <col min="1082" max="1086" width="11.77734375" customWidth="1"/>
    <col min="1087" max="1087" width="14" customWidth="1"/>
    <col min="1088" max="1088" width="22.21875" customWidth="1"/>
    <col min="1089" max="1090" width="22.21875" bestFit="1" customWidth="1"/>
    <col min="1091" max="1092" width="22.21875" customWidth="1"/>
    <col min="1093" max="1093" width="9" customWidth="1"/>
    <col min="1094" max="1098" width="11.77734375" customWidth="1"/>
    <col min="1099" max="1099" width="9" customWidth="1"/>
    <col min="1100" max="1104" width="11.77734375" customWidth="1"/>
    <col min="1105" max="1105" width="14" customWidth="1"/>
    <col min="1106" max="1107" width="22.21875" customWidth="1"/>
    <col min="1108" max="1108" width="22.21875" bestFit="1" customWidth="1"/>
    <col min="1109" max="1109" width="21" bestFit="1" customWidth="1"/>
    <col min="1110" max="1110" width="22.21875" customWidth="1"/>
    <col min="1111" max="1111" width="9" customWidth="1"/>
    <col min="1112" max="1116" width="11.77734375" customWidth="1"/>
    <col min="1117" max="1117" width="14" customWidth="1"/>
    <col min="1118" max="1119" width="22.21875" bestFit="1" customWidth="1"/>
    <col min="1120" max="1122" width="22.21875" customWidth="1"/>
    <col min="1123" max="1123" width="11" customWidth="1"/>
    <col min="1124" max="1126" width="13.77734375" customWidth="1"/>
    <col min="1127" max="1127" width="12.77734375" customWidth="1"/>
    <col min="1128" max="1128" width="13.77734375" customWidth="1"/>
    <col min="1129" max="1129" width="14" customWidth="1"/>
    <col min="1130" max="1130" width="22.21875" bestFit="1" customWidth="1"/>
    <col min="1131" max="1134" width="22.21875" customWidth="1"/>
    <col min="1135" max="1135" width="10" customWidth="1"/>
    <col min="1136" max="1136" width="12.77734375" customWidth="1"/>
    <col min="1137" max="1137" width="12.77734375" bestFit="1" customWidth="1"/>
    <col min="1138" max="1138" width="11.77734375" customWidth="1"/>
    <col min="1139" max="1140" width="12.77734375" customWidth="1"/>
    <col min="1141" max="1141" width="14" customWidth="1"/>
    <col min="1142" max="1144" width="22.21875" bestFit="1" customWidth="1"/>
    <col min="1145" max="1146" width="22.21875" customWidth="1"/>
    <col min="1147" max="1147" width="9" customWidth="1"/>
    <col min="1148" max="1150" width="11.77734375" customWidth="1"/>
    <col min="1151" max="1151" width="10.77734375" customWidth="1"/>
    <col min="1152" max="1152" width="11.77734375" customWidth="1"/>
    <col min="1153" max="1153" width="9" customWidth="1"/>
    <col min="1154" max="1158" width="11.77734375" customWidth="1"/>
    <col min="1159" max="1159" width="9" customWidth="1"/>
    <col min="1160" max="1163" width="11.77734375" customWidth="1"/>
    <col min="1164" max="1164" width="10.77734375" customWidth="1"/>
    <col min="1165" max="1165" width="9" customWidth="1"/>
    <col min="1166" max="1170" width="11.77734375" customWidth="1"/>
    <col min="1171" max="1171" width="9" customWidth="1"/>
    <col min="1172" max="1174" width="11.77734375" customWidth="1"/>
    <col min="1175" max="1175" width="10.77734375" customWidth="1"/>
    <col min="1176" max="1176" width="11.77734375" customWidth="1"/>
    <col min="1177" max="1177" width="14" bestFit="1" customWidth="1"/>
    <col min="1178" max="1178" width="22.21875" bestFit="1" customWidth="1"/>
    <col min="1179" max="1179" width="22.21875" customWidth="1"/>
    <col min="1180" max="1181" width="22.21875" bestFit="1" customWidth="1"/>
    <col min="1182" max="1182" width="22.21875" customWidth="1"/>
    <col min="1183" max="1183" width="14" customWidth="1"/>
    <col min="1184" max="1186" width="22.21875" bestFit="1" customWidth="1"/>
    <col min="1187" max="1188" width="22.21875" customWidth="1"/>
    <col min="1189" max="1189" width="9" customWidth="1"/>
    <col min="1190" max="1194" width="11.77734375" customWidth="1"/>
    <col min="1195" max="1195" width="9" customWidth="1"/>
    <col min="1196" max="1200" width="11.77734375" customWidth="1"/>
    <col min="1201" max="1201" width="14" customWidth="1"/>
    <col min="1202" max="1203" width="22.21875" bestFit="1" customWidth="1"/>
    <col min="1204" max="1204" width="21" bestFit="1" customWidth="1"/>
    <col min="1205" max="1205" width="22.21875" bestFit="1" customWidth="1"/>
    <col min="1206" max="1206" width="20" customWidth="1"/>
    <col min="1207" max="1207" width="14" bestFit="1" customWidth="1"/>
    <col min="1208" max="1211" width="22.21875" bestFit="1" customWidth="1"/>
    <col min="1212" max="1212" width="22.21875" customWidth="1"/>
    <col min="1213" max="1213" width="11" customWidth="1"/>
    <col min="1214" max="1215" width="13.77734375" customWidth="1"/>
    <col min="1216" max="1216" width="13.77734375" bestFit="1" customWidth="1"/>
    <col min="1217" max="1217" width="12.77734375" bestFit="1" customWidth="1"/>
    <col min="1218" max="1218" width="13.77734375" customWidth="1"/>
    <col min="1219" max="1219" width="14" customWidth="1"/>
    <col min="1220" max="1224" width="22.21875" customWidth="1"/>
    <col min="1225" max="1225" width="8" customWidth="1"/>
    <col min="1226" max="1230" width="10.77734375" customWidth="1"/>
    <col min="1231" max="1231" width="6" customWidth="1"/>
    <col min="1232" max="1236" width="9.21875" customWidth="1"/>
    <col min="1237" max="1237" width="14" customWidth="1"/>
    <col min="1238" max="1242" width="22.21875" bestFit="1" customWidth="1"/>
    <col min="1243" max="1243" width="10" customWidth="1"/>
    <col min="1244" max="1246" width="12.77734375" customWidth="1"/>
    <col min="1247" max="1247" width="11.77734375" customWidth="1"/>
    <col min="1248" max="1248" width="12.77734375" customWidth="1"/>
    <col min="1249" max="1249" width="9.21875" customWidth="1"/>
    <col min="1250" max="1253" width="8.77734375" customWidth="1"/>
    <col min="1254" max="1254" width="9.21875" customWidth="1"/>
    <col min="1255" max="1256" width="12.21875" bestFit="1" customWidth="1"/>
    <col min="1257" max="1259" width="12.21875" customWidth="1"/>
    <col min="1260" max="1260" width="11.77734375" customWidth="1"/>
    <col min="1261" max="1263" width="22.21875" bestFit="1" customWidth="1"/>
    <col min="1264" max="1264" width="11" customWidth="1"/>
    <col min="1265" max="1267" width="13.77734375" bestFit="1" customWidth="1"/>
    <col min="1268" max="1268" width="12.77734375" customWidth="1"/>
    <col min="1269" max="1270" width="13.77734375" bestFit="1" customWidth="1"/>
    <col min="1271" max="1271" width="11" customWidth="1"/>
    <col min="1272" max="1274" width="13.77734375" customWidth="1"/>
    <col min="1275" max="1275" width="12.77734375" customWidth="1"/>
    <col min="1276" max="1277" width="13.77734375" customWidth="1"/>
    <col min="1278" max="1278" width="14" customWidth="1"/>
    <col min="1279" max="1282" width="22.21875" bestFit="1" customWidth="1"/>
    <col min="1283" max="1284" width="22.21875" customWidth="1"/>
    <col min="1285" max="1285" width="14" bestFit="1" customWidth="1"/>
    <col min="1286" max="1289" width="22.21875" bestFit="1" customWidth="1"/>
    <col min="1290" max="1290" width="21" bestFit="1" customWidth="1"/>
    <col min="1291" max="1291" width="22.21875" bestFit="1" customWidth="1"/>
    <col min="1292" max="1292" width="9" customWidth="1"/>
    <col min="1293" max="1298" width="11.77734375" customWidth="1"/>
    <col min="1299" max="1299" width="5" customWidth="1"/>
    <col min="1300" max="1305" width="8.21875" customWidth="1"/>
    <col min="1306" max="1306" width="9" customWidth="1"/>
    <col min="1307" max="1307" width="11.77734375" customWidth="1"/>
    <col min="1308" max="1308" width="11.77734375" bestFit="1" customWidth="1"/>
    <col min="1309" max="1310" width="10.77734375" customWidth="1"/>
    <col min="1311" max="1311" width="11.77734375" bestFit="1" customWidth="1"/>
    <col min="1312" max="1312" width="11.77734375" customWidth="1"/>
    <col min="1313" max="1313" width="9" customWidth="1"/>
    <col min="1314" max="1319" width="11.77734375" customWidth="1"/>
    <col min="1320" max="1320" width="11" bestFit="1" customWidth="1"/>
    <col min="1321" max="1323" width="13.77734375" customWidth="1"/>
    <col min="1324" max="1324" width="11.77734375" customWidth="1"/>
    <col min="1325" max="1325" width="13.77734375" bestFit="1" customWidth="1"/>
    <col min="1326" max="1326" width="13.77734375" customWidth="1"/>
    <col min="1327" max="1327" width="9" customWidth="1"/>
    <col min="1328" max="1328" width="11.77734375" customWidth="1"/>
    <col min="1329" max="1329" width="11.77734375" bestFit="1" customWidth="1"/>
    <col min="1330" max="1333" width="11.77734375" customWidth="1"/>
    <col min="1334" max="1334" width="9" customWidth="1"/>
    <col min="1335" max="1337" width="11.77734375" bestFit="1" customWidth="1"/>
    <col min="1338" max="1338" width="10.77734375" bestFit="1" customWidth="1"/>
    <col min="1339" max="1340" width="11.77734375" bestFit="1" customWidth="1"/>
    <col min="1341" max="1341" width="9" customWidth="1"/>
    <col min="1342" max="1347" width="11.77734375" bestFit="1" customWidth="1"/>
    <col min="1348" max="1348" width="14" bestFit="1" customWidth="1"/>
    <col min="1349" max="1354" width="22.21875" bestFit="1" customWidth="1"/>
    <col min="1355" max="1355" width="9" customWidth="1"/>
    <col min="1356" max="1361" width="11.77734375" bestFit="1" customWidth="1"/>
    <col min="1362" max="1362" width="11" bestFit="1" customWidth="1"/>
    <col min="1363" max="1365" width="13.77734375" bestFit="1" customWidth="1"/>
    <col min="1366" max="1366" width="12.77734375" bestFit="1" customWidth="1"/>
    <col min="1367" max="1368" width="13.77734375" bestFit="1" customWidth="1"/>
    <col min="1369" max="1369" width="14" bestFit="1" customWidth="1"/>
    <col min="1370" max="1372" width="22.21875" bestFit="1" customWidth="1"/>
    <col min="1373" max="1373" width="21" bestFit="1" customWidth="1"/>
    <col min="1374" max="1375" width="22.21875" bestFit="1" customWidth="1"/>
    <col min="1376" max="1376" width="9" customWidth="1"/>
    <col min="1377" max="1382" width="11.77734375" bestFit="1" customWidth="1"/>
    <col min="1383" max="1383" width="9" customWidth="1"/>
    <col min="1384" max="1389" width="11.77734375" bestFit="1" customWidth="1"/>
    <col min="1390" max="1390" width="14" bestFit="1" customWidth="1"/>
    <col min="1391" max="1396" width="22.21875" bestFit="1" customWidth="1"/>
    <col min="1397" max="1397" width="14" bestFit="1" customWidth="1"/>
    <col min="1398" max="1403" width="22.21875" bestFit="1" customWidth="1"/>
    <col min="1404" max="1404" width="9" customWidth="1"/>
    <col min="1405" max="1410" width="11.77734375" bestFit="1" customWidth="1"/>
    <col min="1411" max="1411" width="9" customWidth="1"/>
    <col min="1412" max="1415" width="11.77734375" bestFit="1" customWidth="1"/>
    <col min="1416" max="1417" width="10.77734375" bestFit="1" customWidth="1"/>
    <col min="1418" max="1418" width="9" customWidth="1"/>
    <col min="1419" max="1423" width="11.77734375" bestFit="1" customWidth="1"/>
    <col min="1424" max="1424" width="10.77734375" bestFit="1" customWidth="1"/>
    <col min="1425" max="1425" width="14" bestFit="1" customWidth="1"/>
    <col min="1426" max="1431" width="22.21875" bestFit="1" customWidth="1"/>
    <col min="1432" max="1432" width="9" customWidth="1"/>
    <col min="1433" max="1438" width="11.77734375" bestFit="1" customWidth="1"/>
    <col min="1439" max="1439" width="14" bestFit="1" customWidth="1"/>
    <col min="1440" max="1445" width="22.21875" bestFit="1" customWidth="1"/>
    <col min="1446" max="1446" width="9" customWidth="1"/>
    <col min="1447" max="1449" width="11.77734375" bestFit="1" customWidth="1"/>
    <col min="1450" max="1450" width="10.77734375" bestFit="1" customWidth="1"/>
    <col min="1451" max="1451" width="11.77734375" bestFit="1" customWidth="1"/>
    <col min="1452" max="1452" width="10.77734375" bestFit="1" customWidth="1"/>
    <col min="1453" max="1453" width="14" bestFit="1" customWidth="1"/>
    <col min="1454" max="1455" width="22.21875" bestFit="1" customWidth="1"/>
    <col min="1456" max="1456" width="21" bestFit="1" customWidth="1"/>
    <col min="1457" max="1457" width="22.21875" bestFit="1" customWidth="1"/>
    <col min="1458" max="1458" width="20" bestFit="1" customWidth="1"/>
    <col min="1459" max="1459" width="22.21875" bestFit="1" customWidth="1"/>
    <col min="1460" max="1460" width="14" bestFit="1" customWidth="1"/>
    <col min="1461" max="1466" width="22.21875" bestFit="1" customWidth="1"/>
    <col min="1467" max="1467" width="9" customWidth="1"/>
    <col min="1468" max="1473" width="11.77734375" bestFit="1" customWidth="1"/>
    <col min="1474" max="1474" width="9" customWidth="1"/>
    <col min="1475" max="1480" width="11.77734375" bestFit="1" customWidth="1"/>
    <col min="1481" max="1481" width="11" bestFit="1" customWidth="1"/>
    <col min="1482" max="1484" width="13.77734375" bestFit="1" customWidth="1"/>
    <col min="1485" max="1485" width="12.77734375" bestFit="1" customWidth="1"/>
    <col min="1486" max="1487" width="13.77734375" bestFit="1" customWidth="1"/>
    <col min="1488" max="1488" width="14" bestFit="1" customWidth="1"/>
    <col min="1489" max="1493" width="22.21875" bestFit="1" customWidth="1"/>
    <col min="1494" max="1494" width="21" bestFit="1" customWidth="1"/>
    <col min="1495" max="1495" width="6" customWidth="1"/>
    <col min="1501" max="1501" width="8.21875" customWidth="1"/>
    <col min="1502" max="1502" width="8" customWidth="1"/>
    <col min="1503" max="1508" width="10.77734375" bestFit="1" customWidth="1"/>
    <col min="1509" max="1509" width="14" bestFit="1" customWidth="1"/>
    <col min="1510" max="1515" width="22.21875" bestFit="1" customWidth="1"/>
    <col min="1516" max="1516" width="6" customWidth="1"/>
    <col min="1517" max="1521" width="7.21875" customWidth="1"/>
    <col min="1523" max="1523" width="10" bestFit="1" customWidth="1"/>
    <col min="1524" max="1528" width="10.77734375" bestFit="1" customWidth="1"/>
    <col min="1529" max="1529" width="12.77734375" bestFit="1" customWidth="1"/>
    <col min="1530" max="1530" width="10" bestFit="1" customWidth="1"/>
    <col min="1531" max="1533" width="12.77734375" bestFit="1" customWidth="1"/>
    <col min="1534" max="1534" width="11.77734375" bestFit="1" customWidth="1"/>
    <col min="1535" max="1536" width="12.77734375" bestFit="1" customWidth="1"/>
    <col min="1537" max="1537" width="14" bestFit="1" customWidth="1"/>
    <col min="1538" max="1543" width="22.21875" bestFit="1" customWidth="1"/>
    <col min="1545" max="1547" width="8.21875" customWidth="1"/>
    <col min="1548" max="1548" width="8.77734375" customWidth="1"/>
    <col min="1549" max="1549" width="7.21875" customWidth="1"/>
    <col min="1551" max="1554" width="8.77734375" customWidth="1"/>
    <col min="1556" max="1561" width="12.21875" bestFit="1" customWidth="1"/>
    <col min="1562" max="1562" width="11.77734375" bestFit="1" customWidth="1"/>
  </cols>
  <sheetData>
    <row r="1" spans="1:14">
      <c r="A1" t="s">
        <v>551</v>
      </c>
      <c r="E1">
        <f>SUM(C9:I9)</f>
        <v>798.75482830064777</v>
      </c>
    </row>
    <row r="3" spans="1:14">
      <c r="A3" s="185" t="s">
        <v>540</v>
      </c>
      <c r="B3" s="185" t="s">
        <v>539</v>
      </c>
    </row>
    <row r="4" spans="1:14">
      <c r="A4" s="185" t="s">
        <v>537</v>
      </c>
      <c r="B4">
        <v>1</v>
      </c>
      <c r="C4">
        <v>2</v>
      </c>
      <c r="D4">
        <v>3</v>
      </c>
      <c r="E4">
        <v>4</v>
      </c>
      <c r="F4">
        <v>5</v>
      </c>
      <c r="G4">
        <v>6</v>
      </c>
      <c r="H4">
        <v>7</v>
      </c>
      <c r="I4">
        <v>8</v>
      </c>
      <c r="J4">
        <v>9</v>
      </c>
      <c r="K4">
        <v>10</v>
      </c>
      <c r="L4">
        <v>11</v>
      </c>
      <c r="M4">
        <v>14</v>
      </c>
      <c r="N4" t="s">
        <v>538</v>
      </c>
    </row>
    <row r="5" spans="1:14">
      <c r="A5" s="186" t="s">
        <v>129</v>
      </c>
      <c r="B5" s="187"/>
      <c r="C5" s="187"/>
      <c r="D5" s="187"/>
      <c r="E5" s="187"/>
      <c r="F5" s="187"/>
      <c r="G5" s="187"/>
      <c r="H5" s="187"/>
      <c r="I5" s="187"/>
      <c r="J5" s="187"/>
      <c r="K5" s="187"/>
      <c r="L5" s="187">
        <v>0.59399999999999997</v>
      </c>
      <c r="M5" s="187"/>
      <c r="N5" s="187">
        <v>0.59399999999999997</v>
      </c>
    </row>
    <row r="6" spans="1:14">
      <c r="A6" s="186" t="s">
        <v>522</v>
      </c>
      <c r="B6" s="187">
        <v>3.1630000000000003</v>
      </c>
      <c r="C6" s="187"/>
      <c r="D6" s="187">
        <v>3.1630000000000003</v>
      </c>
      <c r="E6" s="187"/>
      <c r="F6" s="187">
        <v>3.1630000000000003</v>
      </c>
      <c r="G6" s="187"/>
      <c r="H6" s="187"/>
      <c r="I6" s="187"/>
      <c r="J6" s="187"/>
      <c r="K6" s="187"/>
      <c r="L6" s="187"/>
      <c r="M6" s="187"/>
      <c r="N6" s="187">
        <v>9.4890000000000008</v>
      </c>
    </row>
    <row r="7" spans="1:14">
      <c r="A7" s="186" t="s">
        <v>521</v>
      </c>
      <c r="B7" s="187"/>
      <c r="C7" s="187"/>
      <c r="D7" s="187"/>
      <c r="E7" s="187"/>
      <c r="F7" s="187"/>
      <c r="G7" s="187"/>
      <c r="H7" s="187"/>
      <c r="I7" s="187"/>
      <c r="J7" s="187"/>
      <c r="K7" s="187"/>
      <c r="L7" s="187">
        <v>34.804850000000002</v>
      </c>
      <c r="M7" s="187"/>
      <c r="N7" s="187">
        <v>34.804850000000002</v>
      </c>
    </row>
    <row r="8" spans="1:14">
      <c r="A8" s="186" t="s">
        <v>46</v>
      </c>
      <c r="B8" s="187"/>
      <c r="C8" s="187"/>
      <c r="D8" s="187"/>
      <c r="E8" s="187"/>
      <c r="F8" s="187"/>
      <c r="G8" s="187"/>
      <c r="H8" s="187"/>
      <c r="I8" s="187"/>
      <c r="J8" s="187"/>
      <c r="K8" s="187"/>
      <c r="L8" s="187"/>
      <c r="M8" s="187">
        <v>76.573000000000008</v>
      </c>
      <c r="N8" s="187">
        <v>76.573000000000008</v>
      </c>
    </row>
    <row r="9" spans="1:14">
      <c r="A9" s="186" t="s">
        <v>394</v>
      </c>
      <c r="B9" s="187">
        <v>34.830472172637101</v>
      </c>
      <c r="C9" s="187">
        <v>7</v>
      </c>
      <c r="D9" s="187">
        <v>94.52</v>
      </c>
      <c r="E9" s="187">
        <v>49.207194435125132</v>
      </c>
      <c r="F9" s="187">
        <v>167.8778896529378</v>
      </c>
      <c r="G9" s="187">
        <v>385.26360053706526</v>
      </c>
      <c r="H9" s="187">
        <v>64.719240659369973</v>
      </c>
      <c r="I9" s="187">
        <v>30.166903016149647</v>
      </c>
      <c r="J9" s="187"/>
      <c r="K9" s="187">
        <v>0</v>
      </c>
      <c r="L9" s="187">
        <v>5.33012</v>
      </c>
      <c r="M9" s="187">
        <v>2.6770999999999998</v>
      </c>
      <c r="N9" s="187">
        <v>841.59252047328471</v>
      </c>
    </row>
    <row r="10" spans="1:14">
      <c r="A10" s="186" t="s">
        <v>393</v>
      </c>
      <c r="B10" s="187">
        <v>5.3739977128184977</v>
      </c>
      <c r="C10" s="187">
        <v>28.281000000000002</v>
      </c>
      <c r="D10" s="187"/>
      <c r="E10" s="187">
        <v>18.353404999999999</v>
      </c>
      <c r="F10" s="187"/>
      <c r="G10" s="187"/>
      <c r="H10" s="187"/>
      <c r="I10" s="187"/>
      <c r="J10" s="187"/>
      <c r="K10" s="187"/>
      <c r="L10" s="187"/>
      <c r="M10" s="187"/>
      <c r="N10" s="187">
        <v>52.008402712818494</v>
      </c>
    </row>
    <row r="11" spans="1:14">
      <c r="A11" s="186" t="s">
        <v>392</v>
      </c>
      <c r="B11" s="187"/>
      <c r="C11" s="187"/>
      <c r="D11" s="187"/>
      <c r="E11" s="187"/>
      <c r="F11" s="187"/>
      <c r="G11" s="187"/>
      <c r="H11" s="187"/>
      <c r="I11" s="187"/>
      <c r="J11" s="187"/>
      <c r="K11" s="187"/>
      <c r="L11" s="187">
        <v>22.540970999999999</v>
      </c>
      <c r="M11" s="187"/>
      <c r="N11" s="187">
        <v>22.540970999999999</v>
      </c>
    </row>
    <row r="12" spans="1:14">
      <c r="A12" s="186" t="s">
        <v>473</v>
      </c>
      <c r="B12" s="187"/>
      <c r="C12" s="187"/>
      <c r="D12" s="187"/>
      <c r="E12" s="187"/>
      <c r="F12" s="187"/>
      <c r="G12" s="187">
        <v>13.061</v>
      </c>
      <c r="H12" s="187"/>
      <c r="I12" s="187">
        <v>83.333000000000013</v>
      </c>
      <c r="J12" s="187"/>
      <c r="K12" s="187"/>
      <c r="L12" s="187">
        <v>0</v>
      </c>
      <c r="M12" s="187"/>
      <c r="N12" s="187">
        <v>96.394000000000005</v>
      </c>
    </row>
    <row r="13" spans="1:14">
      <c r="A13" s="186" t="s">
        <v>132</v>
      </c>
      <c r="B13" s="187">
        <v>2.5</v>
      </c>
      <c r="C13" s="187"/>
      <c r="D13" s="187">
        <v>31.065000000000001</v>
      </c>
      <c r="E13" s="187"/>
      <c r="F13" s="187"/>
      <c r="G13" s="187"/>
      <c r="H13" s="187">
        <v>9.609</v>
      </c>
      <c r="I13" s="187"/>
      <c r="J13" s="187">
        <v>16.082000000000001</v>
      </c>
      <c r="K13" s="187">
        <v>17.184610000000003</v>
      </c>
      <c r="L13" s="187">
        <v>2.2468499999999998</v>
      </c>
      <c r="M13" s="187"/>
      <c r="N13" s="187">
        <v>78.687460000000002</v>
      </c>
    </row>
    <row r="14" spans="1:14">
      <c r="A14" s="186" t="s">
        <v>133</v>
      </c>
      <c r="B14" s="187"/>
      <c r="C14" s="187"/>
      <c r="D14" s="187"/>
      <c r="E14" s="187"/>
      <c r="F14" s="187"/>
      <c r="G14" s="187"/>
      <c r="H14" s="187">
        <v>6.7480000000000002</v>
      </c>
      <c r="I14" s="187"/>
      <c r="J14" s="187"/>
      <c r="K14" s="187"/>
      <c r="L14" s="187">
        <v>4.7549999999999999</v>
      </c>
      <c r="M14" s="187"/>
      <c r="N14" s="187">
        <v>11.503</v>
      </c>
    </row>
    <row r="15" spans="1:14">
      <c r="A15" s="186" t="s">
        <v>134</v>
      </c>
      <c r="B15" s="187"/>
      <c r="C15" s="187"/>
      <c r="D15" s="187"/>
      <c r="E15" s="187"/>
      <c r="F15" s="187"/>
      <c r="G15" s="187"/>
      <c r="H15" s="187">
        <v>230.44499999999999</v>
      </c>
      <c r="I15" s="187"/>
      <c r="J15" s="187"/>
      <c r="K15" s="187"/>
      <c r="L15" s="187">
        <v>12.074999999999999</v>
      </c>
      <c r="M15" s="187"/>
      <c r="N15" s="187">
        <v>242.51999999999998</v>
      </c>
    </row>
    <row r="16" spans="1:14">
      <c r="A16" s="186" t="s">
        <v>538</v>
      </c>
      <c r="B16" s="187">
        <v>45.867469885455598</v>
      </c>
      <c r="C16" s="187">
        <v>35.281000000000006</v>
      </c>
      <c r="D16" s="187">
        <v>128.74799999999999</v>
      </c>
      <c r="E16" s="187">
        <v>67.560599435125127</v>
      </c>
      <c r="F16" s="187">
        <v>171.04088965293781</v>
      </c>
      <c r="G16" s="187">
        <v>398.32460053706524</v>
      </c>
      <c r="H16" s="187">
        <v>311.52124065936994</v>
      </c>
      <c r="I16" s="187">
        <v>113.49990301614966</v>
      </c>
      <c r="J16" s="187">
        <v>16.082000000000001</v>
      </c>
      <c r="K16" s="187">
        <v>17.184610000000003</v>
      </c>
      <c r="L16" s="187">
        <v>82.346790999999996</v>
      </c>
      <c r="M16" s="187">
        <v>79.250100000000003</v>
      </c>
      <c r="N16" s="187">
        <v>1466.7072041861031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zoomScaleNormal="100" zoomScaleSheetLayoutView="100" workbookViewId="0"/>
  </sheetViews>
  <sheetFormatPr defaultColWidth="9.21875" defaultRowHeight="14.4"/>
  <cols>
    <col min="1" max="1" width="218.5546875" style="84" customWidth="1"/>
    <col min="2" max="2" width="9.44140625" style="84" customWidth="1"/>
    <col min="3" max="8" width="9.21875" style="84" customWidth="1"/>
    <col min="9" max="16384" width="9.21875" style="84"/>
  </cols>
  <sheetData>
    <row r="1" spans="1:21" ht="18">
      <c r="A1" s="72" t="s">
        <v>245</v>
      </c>
    </row>
    <row r="3" spans="1:21" ht="15" customHeight="1">
      <c r="A3" s="47" t="s">
        <v>175</v>
      </c>
    </row>
    <row r="4" spans="1:21" ht="15" customHeight="1">
      <c r="A4" s="433" t="s">
        <v>891</v>
      </c>
    </row>
    <row r="5" spans="1:21" ht="15" customHeight="1">
      <c r="A5" s="394" t="s">
        <v>453</v>
      </c>
      <c r="B5" s="395"/>
      <c r="C5" s="395"/>
      <c r="D5" s="395"/>
      <c r="E5" s="395"/>
      <c r="F5" s="395"/>
      <c r="G5" s="395"/>
      <c r="H5" s="395"/>
    </row>
    <row r="6" spans="1:21" ht="15" customHeight="1">
      <c r="A6" s="137" t="s">
        <v>454</v>
      </c>
      <c r="B6" s="87"/>
      <c r="C6" s="87"/>
      <c r="D6" s="87"/>
      <c r="E6" s="87"/>
      <c r="F6" s="87"/>
      <c r="G6" s="87"/>
      <c r="H6" s="87"/>
    </row>
    <row r="7" spans="1:21" ht="15" customHeight="1">
      <c r="A7" s="396" t="s">
        <v>403</v>
      </c>
      <c r="B7" s="397"/>
      <c r="C7" s="397"/>
      <c r="D7" s="397"/>
      <c r="E7" s="397"/>
      <c r="F7" s="397"/>
      <c r="G7" s="397"/>
      <c r="H7" s="397"/>
    </row>
    <row r="8" spans="1:21" ht="15" customHeight="1">
      <c r="A8" s="398" t="s">
        <v>772</v>
      </c>
      <c r="B8" s="395"/>
      <c r="C8" s="395"/>
      <c r="D8" s="395"/>
      <c r="E8" s="395"/>
      <c r="F8" s="395"/>
      <c r="G8" s="395"/>
      <c r="H8" s="395"/>
    </row>
    <row r="9" spans="1:21" ht="15" customHeight="1">
      <c r="A9" s="316" t="s">
        <v>773</v>
      </c>
      <c r="B9" s="87"/>
      <c r="C9" s="87"/>
      <c r="D9" s="87"/>
      <c r="E9" s="87"/>
      <c r="F9" s="87"/>
      <c r="G9" s="87"/>
      <c r="H9" s="87"/>
    </row>
    <row r="10" spans="1:21" ht="15" customHeight="1"/>
    <row r="11" spans="1:21" ht="15" customHeight="1">
      <c r="A11" s="62" t="s">
        <v>177</v>
      </c>
      <c r="B11" s="2"/>
      <c r="C11" s="2"/>
      <c r="D11" s="2"/>
      <c r="E11" s="2"/>
      <c r="F11" s="2"/>
      <c r="G11" s="2"/>
      <c r="H11" s="2"/>
      <c r="I11" s="2"/>
      <c r="J11" s="2"/>
      <c r="K11" s="2"/>
      <c r="L11" s="2"/>
      <c r="M11" s="2"/>
      <c r="N11" s="2"/>
    </row>
    <row r="12" spans="1:21" ht="15" customHeight="1">
      <c r="A12" s="62"/>
      <c r="B12" s="2"/>
      <c r="C12" s="2"/>
      <c r="D12" s="2"/>
      <c r="E12" s="2"/>
      <c r="F12" s="2"/>
      <c r="G12" s="2"/>
      <c r="H12" s="2"/>
      <c r="I12" s="2"/>
      <c r="J12" s="2"/>
      <c r="K12" s="2"/>
      <c r="L12" s="2"/>
      <c r="M12" s="2"/>
      <c r="N12" s="2"/>
    </row>
    <row r="13" spans="1:21" ht="15" customHeight="1">
      <c r="A13" s="3" t="s">
        <v>163</v>
      </c>
      <c r="B13" s="2"/>
      <c r="C13" s="2"/>
      <c r="D13" s="2"/>
      <c r="E13" s="2"/>
      <c r="F13" s="2"/>
      <c r="G13" s="2"/>
      <c r="H13" s="2"/>
      <c r="I13" s="2"/>
      <c r="J13" s="2"/>
      <c r="K13" s="2"/>
      <c r="L13" s="2"/>
      <c r="M13" s="2"/>
      <c r="N13" s="2"/>
    </row>
    <row r="14" spans="1:21" ht="15" customHeight="1">
      <c r="A14" s="65" t="s">
        <v>408</v>
      </c>
      <c r="B14" s="89"/>
      <c r="C14" s="89"/>
      <c r="D14" s="89"/>
      <c r="E14" s="89"/>
      <c r="F14" s="89"/>
      <c r="G14" s="89"/>
      <c r="H14" s="89"/>
      <c r="I14" s="89"/>
      <c r="J14" s="89"/>
      <c r="K14" s="89"/>
      <c r="L14" s="89"/>
      <c r="M14" s="89"/>
      <c r="N14" s="89"/>
    </row>
    <row r="15" spans="1:21" ht="15" customHeight="1">
      <c r="A15" s="145" t="s">
        <v>409</v>
      </c>
      <c r="B15" s="89"/>
      <c r="C15" s="89"/>
      <c r="D15" s="89"/>
      <c r="E15" s="89"/>
      <c r="F15" s="89"/>
      <c r="G15" s="89"/>
      <c r="H15" s="89"/>
      <c r="I15" s="89"/>
      <c r="J15" s="89"/>
      <c r="K15" s="89"/>
      <c r="L15" s="89"/>
      <c r="M15" s="89"/>
      <c r="N15" s="89"/>
      <c r="O15" s="2"/>
      <c r="P15" s="2"/>
      <c r="Q15" s="2"/>
      <c r="R15" s="88"/>
      <c r="S15" s="44"/>
      <c r="T15" s="88"/>
      <c r="U15" s="88"/>
    </row>
    <row r="16" spans="1:21" ht="15" customHeight="1">
      <c r="A16" s="2" t="s">
        <v>164</v>
      </c>
      <c r="B16" s="2"/>
      <c r="C16" s="2"/>
      <c r="D16" s="2"/>
      <c r="E16" s="2"/>
      <c r="F16" s="2"/>
      <c r="G16" s="2"/>
      <c r="H16" s="2"/>
      <c r="I16" s="2"/>
      <c r="J16" s="2"/>
      <c r="K16" s="2"/>
      <c r="L16" s="2"/>
      <c r="M16" s="2"/>
      <c r="N16" s="2"/>
      <c r="O16" s="2"/>
      <c r="P16" s="2"/>
      <c r="Q16" s="2"/>
      <c r="R16" s="88"/>
      <c r="S16" s="44"/>
      <c r="T16" s="88"/>
      <c r="U16" s="88"/>
    </row>
    <row r="17" spans="1:21" ht="15" customHeight="1">
      <c r="A17" s="2"/>
      <c r="B17" s="2"/>
      <c r="C17" s="2"/>
      <c r="D17" s="2"/>
      <c r="E17" s="2"/>
      <c r="F17" s="2"/>
      <c r="G17" s="2"/>
      <c r="H17" s="2"/>
      <c r="I17" s="2"/>
      <c r="J17" s="2"/>
      <c r="K17" s="2"/>
      <c r="L17" s="2"/>
      <c r="M17" s="2"/>
      <c r="N17" s="2"/>
      <c r="O17" s="2"/>
      <c r="P17" s="2"/>
      <c r="Q17" s="2"/>
      <c r="R17" s="88"/>
      <c r="S17" s="44"/>
      <c r="T17" s="88"/>
      <c r="U17" s="88"/>
    </row>
    <row r="18" spans="1:21" ht="15" customHeight="1">
      <c r="A18" s="3" t="s">
        <v>176</v>
      </c>
      <c r="B18" s="2"/>
      <c r="C18" s="2"/>
      <c r="D18" s="2"/>
      <c r="E18" s="2"/>
      <c r="F18" s="2"/>
      <c r="G18" s="2"/>
      <c r="H18" s="2"/>
      <c r="I18" s="2"/>
      <c r="J18" s="2"/>
      <c r="K18" s="2"/>
      <c r="L18" s="2"/>
      <c r="M18" s="2"/>
      <c r="N18" s="2"/>
      <c r="O18" s="45"/>
      <c r="P18" s="45"/>
      <c r="Q18" s="45"/>
      <c r="R18" s="45"/>
      <c r="S18" s="46"/>
      <c r="T18" s="45"/>
      <c r="U18" s="45"/>
    </row>
    <row r="19" spans="1:21" ht="15" customHeight="1">
      <c r="A19" s="63" t="s">
        <v>165</v>
      </c>
      <c r="B19" s="2"/>
      <c r="C19" s="2"/>
      <c r="D19" s="2"/>
      <c r="E19" s="2"/>
      <c r="F19" s="2"/>
      <c r="G19" s="2"/>
      <c r="H19" s="2"/>
      <c r="I19" s="2"/>
      <c r="J19" s="2"/>
      <c r="K19" s="2"/>
      <c r="L19" s="2"/>
      <c r="M19" s="2"/>
      <c r="N19" s="2"/>
    </row>
    <row r="20" spans="1:21" ht="15" customHeight="1">
      <c r="A20" s="63" t="s">
        <v>166</v>
      </c>
      <c r="B20" s="2"/>
      <c r="C20" s="2"/>
      <c r="D20" s="2"/>
      <c r="E20" s="2"/>
      <c r="F20" s="2"/>
      <c r="G20" s="2"/>
      <c r="H20" s="2"/>
      <c r="I20" s="2"/>
      <c r="J20" s="2"/>
      <c r="K20" s="2"/>
      <c r="L20" s="2"/>
      <c r="M20" s="2"/>
      <c r="N20" s="2"/>
    </row>
    <row r="21" spans="1:21" ht="15" customHeight="1">
      <c r="A21" s="63" t="s">
        <v>275</v>
      </c>
      <c r="B21" s="2"/>
      <c r="C21" s="2"/>
      <c r="D21" s="2"/>
      <c r="E21" s="2"/>
      <c r="F21" s="2"/>
      <c r="G21" s="2"/>
      <c r="H21" s="2"/>
      <c r="I21" s="2"/>
      <c r="J21" s="2"/>
      <c r="K21" s="2"/>
      <c r="L21" s="2"/>
      <c r="M21" s="2"/>
      <c r="N21" s="2"/>
    </row>
    <row r="22" spans="1:21" ht="15" customHeight="1">
      <c r="A22" s="63" t="s">
        <v>276</v>
      </c>
      <c r="B22" s="2"/>
      <c r="C22" s="2"/>
      <c r="D22" s="2"/>
      <c r="E22" s="2"/>
      <c r="F22" s="2"/>
      <c r="G22" s="2"/>
      <c r="H22" s="2"/>
      <c r="I22" s="2"/>
      <c r="J22" s="2"/>
      <c r="K22" s="2"/>
      <c r="L22" s="2"/>
      <c r="M22" s="2"/>
      <c r="N22" s="2"/>
    </row>
    <row r="23" spans="1:21" ht="15" customHeight="1">
      <c r="A23" s="2"/>
      <c r="B23" s="2"/>
      <c r="C23" s="2"/>
      <c r="D23" s="2"/>
      <c r="E23" s="2"/>
      <c r="F23" s="2"/>
      <c r="G23" s="2"/>
      <c r="H23" s="2"/>
      <c r="I23" s="2"/>
      <c r="J23" s="2"/>
      <c r="K23" s="2"/>
      <c r="L23" s="2"/>
      <c r="M23" s="2"/>
      <c r="N23" s="2"/>
    </row>
    <row r="24" spans="1:21" ht="15" customHeight="1">
      <c r="A24" s="3" t="s">
        <v>167</v>
      </c>
      <c r="B24" s="2"/>
      <c r="C24" s="2"/>
      <c r="D24" s="2"/>
      <c r="E24" s="2"/>
      <c r="F24" s="2"/>
      <c r="G24" s="2"/>
      <c r="H24" s="2"/>
      <c r="I24" s="2"/>
      <c r="J24" s="2"/>
      <c r="K24" s="2"/>
      <c r="L24" s="2"/>
      <c r="M24" s="2"/>
      <c r="N24" s="2"/>
    </row>
    <row r="25" spans="1:21" ht="48.75" customHeight="1">
      <c r="A25" s="65" t="s">
        <v>168</v>
      </c>
      <c r="B25" s="90"/>
      <c r="C25" s="90"/>
      <c r="D25" s="90"/>
      <c r="E25" s="90"/>
      <c r="F25" s="90"/>
      <c r="G25" s="90"/>
      <c r="H25" s="90"/>
      <c r="I25" s="90"/>
      <c r="J25" s="90"/>
      <c r="K25" s="90"/>
      <c r="L25" s="90"/>
      <c r="M25" s="90"/>
      <c r="N25" s="90"/>
    </row>
    <row r="26" spans="1:21" ht="15" customHeight="1">
      <c r="A26" s="2"/>
      <c r="B26" s="2"/>
      <c r="C26" s="2"/>
      <c r="D26" s="2"/>
      <c r="E26" s="2"/>
      <c r="F26" s="2"/>
      <c r="G26" s="2"/>
      <c r="H26" s="2"/>
      <c r="I26" s="2"/>
      <c r="J26" s="2"/>
      <c r="K26" s="2"/>
      <c r="L26" s="2"/>
      <c r="M26" s="2"/>
      <c r="N26" s="2"/>
    </row>
    <row r="27" spans="1:21" ht="15" customHeight="1">
      <c r="A27" s="3" t="s">
        <v>169</v>
      </c>
      <c r="B27" s="2"/>
      <c r="C27" s="2"/>
      <c r="D27" s="2"/>
      <c r="E27" s="2"/>
      <c r="F27" s="2"/>
      <c r="G27" s="2"/>
      <c r="H27" s="2"/>
      <c r="I27" s="2"/>
      <c r="J27" s="2"/>
      <c r="K27" s="2"/>
      <c r="L27" s="2"/>
      <c r="M27" s="2"/>
      <c r="N27" s="2"/>
    </row>
    <row r="28" spans="1:21" ht="45" customHeight="1">
      <c r="A28" s="65" t="s">
        <v>274</v>
      </c>
      <c r="B28" s="90"/>
      <c r="C28" s="90"/>
      <c r="D28" s="90"/>
      <c r="E28" s="90"/>
      <c r="F28" s="90"/>
      <c r="G28" s="90"/>
      <c r="H28" s="90"/>
      <c r="I28" s="90"/>
      <c r="J28" s="90"/>
      <c r="K28" s="90"/>
      <c r="L28" s="90"/>
      <c r="M28" s="90"/>
      <c r="N28" s="90"/>
    </row>
    <row r="29" spans="1:21" ht="15" customHeight="1">
      <c r="A29" s="2"/>
      <c r="B29" s="2"/>
      <c r="C29" s="2"/>
      <c r="D29" s="2"/>
      <c r="E29" s="2"/>
      <c r="F29" s="2"/>
      <c r="G29" s="2"/>
      <c r="H29" s="2"/>
      <c r="I29" s="2"/>
      <c r="J29" s="2"/>
      <c r="K29" s="2"/>
      <c r="L29" s="2"/>
      <c r="M29" s="2"/>
      <c r="N29" s="2"/>
    </row>
    <row r="30" spans="1:21" ht="15" customHeight="1">
      <c r="A30" s="3" t="s">
        <v>170</v>
      </c>
      <c r="B30" s="2"/>
      <c r="C30" s="2"/>
      <c r="D30" s="2"/>
      <c r="E30" s="2"/>
      <c r="F30" s="2"/>
      <c r="G30" s="2"/>
      <c r="H30" s="2"/>
      <c r="I30" s="2"/>
      <c r="J30" s="2"/>
      <c r="K30" s="2"/>
      <c r="L30" s="2"/>
      <c r="M30" s="2"/>
      <c r="N30" s="2"/>
    </row>
    <row r="31" spans="1:21" ht="15" customHeight="1">
      <c r="A31" s="2" t="s">
        <v>171</v>
      </c>
      <c r="B31" s="2"/>
      <c r="C31" s="2"/>
      <c r="D31" s="2"/>
      <c r="E31" s="2"/>
      <c r="F31" s="2"/>
      <c r="G31" s="2"/>
      <c r="H31" s="2"/>
      <c r="I31" s="2"/>
      <c r="J31" s="2"/>
      <c r="K31" s="2"/>
      <c r="L31" s="2"/>
      <c r="M31" s="2"/>
      <c r="N31" s="2"/>
    </row>
    <row r="32" spans="1:21" ht="15" customHeight="1">
      <c r="A32" s="2"/>
      <c r="B32" s="2"/>
      <c r="C32" s="2"/>
      <c r="D32" s="2"/>
      <c r="E32" s="2"/>
      <c r="F32" s="2"/>
      <c r="G32" s="2"/>
      <c r="H32" s="2"/>
      <c r="I32" s="2"/>
      <c r="J32" s="2"/>
      <c r="K32" s="2"/>
      <c r="L32" s="2"/>
      <c r="M32" s="2"/>
      <c r="N32" s="2"/>
    </row>
    <row r="33" spans="1:14" ht="15" customHeight="1">
      <c r="A33" s="3" t="s">
        <v>172</v>
      </c>
      <c r="B33" s="2"/>
      <c r="C33" s="2"/>
      <c r="D33" s="2"/>
      <c r="E33" s="2"/>
      <c r="F33" s="2"/>
      <c r="G33" s="2"/>
      <c r="H33" s="2"/>
      <c r="I33" s="2"/>
      <c r="J33" s="2"/>
      <c r="K33" s="2"/>
      <c r="L33" s="2"/>
      <c r="M33" s="2"/>
      <c r="N33" s="2"/>
    </row>
    <row r="34" spans="1:14" ht="30" customHeight="1">
      <c r="A34" s="65" t="s">
        <v>173</v>
      </c>
      <c r="B34" s="90"/>
      <c r="C34" s="90"/>
      <c r="D34" s="90"/>
      <c r="E34" s="90"/>
      <c r="F34" s="90"/>
      <c r="G34" s="90"/>
      <c r="H34" s="90"/>
      <c r="I34" s="90"/>
      <c r="J34" s="90"/>
      <c r="K34" s="90"/>
      <c r="L34" s="90"/>
      <c r="M34" s="90"/>
      <c r="N34" s="90"/>
    </row>
    <row r="35" spans="1:14" ht="15" customHeight="1">
      <c r="A35" s="65"/>
      <c r="B35" s="90"/>
      <c r="C35" s="90"/>
      <c r="D35" s="90"/>
      <c r="E35" s="90"/>
      <c r="F35" s="90"/>
      <c r="G35" s="90"/>
      <c r="H35" s="90"/>
      <c r="I35" s="90"/>
      <c r="J35" s="90"/>
      <c r="K35" s="90"/>
      <c r="L35" s="90"/>
      <c r="M35" s="90"/>
      <c r="N35" s="90"/>
    </row>
    <row r="36" spans="1:14" ht="15" customHeight="1">
      <c r="A36" s="3" t="s">
        <v>174</v>
      </c>
      <c r="B36" s="2"/>
      <c r="C36" s="2"/>
      <c r="D36" s="2"/>
      <c r="E36" s="2"/>
      <c r="F36" s="2"/>
      <c r="G36" s="2"/>
      <c r="H36" s="2"/>
      <c r="I36" s="2"/>
      <c r="J36" s="2"/>
      <c r="K36" s="2"/>
      <c r="L36" s="2"/>
      <c r="M36" s="2"/>
      <c r="N36" s="2"/>
    </row>
    <row r="37" spans="1:14" ht="15" customHeight="1">
      <c r="A37" s="65" t="s">
        <v>211</v>
      </c>
      <c r="B37" s="90"/>
      <c r="C37" s="90"/>
      <c r="D37" s="90"/>
      <c r="E37" s="90"/>
      <c r="F37" s="90"/>
      <c r="G37" s="90"/>
      <c r="H37" s="90"/>
      <c r="I37" s="90"/>
      <c r="J37" s="90"/>
      <c r="K37" s="90"/>
      <c r="L37" s="90"/>
      <c r="M37" s="90"/>
      <c r="N37" s="90"/>
    </row>
    <row r="38" spans="1:14" ht="15" customHeight="1"/>
    <row r="39" spans="1:14" ht="15" customHeight="1">
      <c r="A39" s="3" t="s">
        <v>178</v>
      </c>
    </row>
    <row r="40" spans="1:14" ht="15" customHeight="1">
      <c r="A40" s="2" t="s">
        <v>179</v>
      </c>
    </row>
    <row r="41" spans="1:14" ht="15" customHeight="1">
      <c r="A41" s="2" t="s">
        <v>404</v>
      </c>
    </row>
    <row r="42" spans="1:14" ht="15" customHeight="1">
      <c r="A42" s="2" t="s">
        <v>405</v>
      </c>
    </row>
    <row r="43" spans="1:14" ht="15" customHeight="1">
      <c r="A43" s="63" t="s">
        <v>180</v>
      </c>
    </row>
    <row r="44" spans="1:14" ht="15" customHeight="1">
      <c r="A44" s="63" t="s">
        <v>181</v>
      </c>
    </row>
    <row r="45" spans="1:14" ht="15" customHeight="1">
      <c r="A45" s="63" t="s">
        <v>182</v>
      </c>
    </row>
    <row r="46" spans="1:14" ht="15" customHeight="1">
      <c r="A46" s="63" t="s">
        <v>183</v>
      </c>
    </row>
    <row r="47" spans="1:14" ht="15" customHeight="1"/>
    <row r="48" spans="1:14" ht="15" customHeight="1">
      <c r="A48" s="3" t="s">
        <v>184</v>
      </c>
    </row>
    <row r="49" spans="1:1" ht="15" customHeight="1">
      <c r="A49" s="2" t="s">
        <v>185</v>
      </c>
    </row>
    <row r="50" spans="1:1" ht="15" customHeight="1"/>
    <row r="51" spans="1:1" ht="15" customHeight="1">
      <c r="A51" s="3" t="s">
        <v>186</v>
      </c>
    </row>
    <row r="52" spans="1:1" ht="15" customHeight="1">
      <c r="A52" s="2" t="s">
        <v>187</v>
      </c>
    </row>
    <row r="53" spans="1:1" ht="15" customHeight="1">
      <c r="A53" s="2" t="s">
        <v>406</v>
      </c>
    </row>
    <row r="54" spans="1:1" ht="15" customHeight="1">
      <c r="A54" s="2" t="s">
        <v>407</v>
      </c>
    </row>
    <row r="55" spans="1:1" ht="15" customHeight="1">
      <c r="A55" s="2"/>
    </row>
  </sheetData>
  <mergeCells count="3">
    <mergeCell ref="A5:H5"/>
    <mergeCell ref="A7:H7"/>
    <mergeCell ref="A8:H8"/>
  </mergeCells>
  <pageMargins left="0.70866141732283472" right="0.70866141732283472" top="0.74803149606299213" bottom="0.74803149606299213" header="0.31496062992125984" footer="0.31496062992125984"/>
  <pageSetup paperSize="9" scale="99" orientation="landscape" r:id="rId1"/>
  <headerFooter>
    <oddFooter>&amp;L&amp;Z&amp;F</oddFooter>
  </headerFooter>
  <rowBreaks count="1" manualBreakCount="1">
    <brk id="2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zoomScaleNormal="100" zoomScaleSheetLayoutView="100" workbookViewId="0"/>
  </sheetViews>
  <sheetFormatPr defaultColWidth="9.21875" defaultRowHeight="13.8"/>
  <cols>
    <col min="1" max="1" width="5.5546875" style="82" customWidth="1"/>
    <col min="2" max="2" width="54.77734375" style="82" customWidth="1"/>
    <col min="3" max="3" width="9.44140625" style="82" bestFit="1" customWidth="1"/>
    <col min="4" max="4" width="9.21875" style="82"/>
    <col min="5" max="5" width="11.77734375" style="82" customWidth="1"/>
    <col min="6" max="9" width="9.44140625" style="82" bestFit="1" customWidth="1"/>
    <col min="10" max="16384" width="9.21875" style="82"/>
  </cols>
  <sheetData>
    <row r="1" spans="1:16" ht="18">
      <c r="B1" s="69" t="s">
        <v>771</v>
      </c>
      <c r="C1" s="4"/>
      <c r="D1" s="4"/>
      <c r="E1" s="4"/>
      <c r="F1" s="4"/>
      <c r="G1" s="4"/>
      <c r="H1" s="4"/>
      <c r="I1" s="4"/>
    </row>
    <row r="2" spans="1:16" ht="15.6">
      <c r="B2" s="19"/>
      <c r="C2" s="4"/>
      <c r="D2" s="142"/>
      <c r="E2" s="142"/>
      <c r="F2" s="142"/>
      <c r="G2" s="142"/>
      <c r="H2" s="4"/>
      <c r="I2" s="4"/>
      <c r="J2" s="388"/>
      <c r="K2" s="135"/>
      <c r="L2" s="135"/>
      <c r="M2" s="135"/>
      <c r="N2" s="135"/>
    </row>
    <row r="3" spans="1:16" ht="14.4">
      <c r="B3" s="68" t="s">
        <v>240</v>
      </c>
      <c r="C3" s="151">
        <v>2021</v>
      </c>
      <c r="D3" s="151">
        <v>2022</v>
      </c>
      <c r="E3" s="151">
        <v>2023</v>
      </c>
      <c r="F3" s="151">
        <v>2024</v>
      </c>
      <c r="G3" s="151">
        <v>2025</v>
      </c>
      <c r="H3" s="151">
        <v>2026</v>
      </c>
      <c r="I3" s="151">
        <v>2027</v>
      </c>
      <c r="J3" s="35"/>
      <c r="K3" s="304"/>
      <c r="L3" s="399"/>
      <c r="M3" s="399"/>
      <c r="N3" s="135"/>
    </row>
    <row r="4" spans="1:16" s="84" customFormat="1" ht="14.4">
      <c r="A4" s="84" t="s">
        <v>232</v>
      </c>
      <c r="B4" s="291" t="s">
        <v>136</v>
      </c>
      <c r="C4" s="348">
        <f>'R&amp;D'!C273</f>
        <v>6847.0641661142872</v>
      </c>
      <c r="D4" s="263">
        <f>'R&amp;D'!D273</f>
        <v>7766.5633075262876</v>
      </c>
      <c r="E4" s="427">
        <f>'R&amp;D'!E273</f>
        <v>8869.5237741863202</v>
      </c>
      <c r="F4" s="427">
        <f>'R&amp;D'!F273</f>
        <v>8994.2118678116803</v>
      </c>
      <c r="G4" s="427">
        <f>'R&amp;D'!G273</f>
        <v>8850.1566594277792</v>
      </c>
      <c r="H4" s="427">
        <f>'R&amp;D'!H273</f>
        <v>8589.4213995339887</v>
      </c>
      <c r="I4" s="427">
        <f>'R&amp;D'!I273</f>
        <v>8361.4684158237433</v>
      </c>
      <c r="J4" s="315"/>
      <c r="K4" s="393"/>
      <c r="L4" s="391"/>
      <c r="M4" s="392"/>
      <c r="N4" s="342"/>
      <c r="O4" s="390"/>
      <c r="P4" s="391"/>
    </row>
    <row r="5" spans="1:16" s="48" customFormat="1" ht="14.4">
      <c r="B5" s="343" t="s">
        <v>138</v>
      </c>
      <c r="C5" s="349">
        <f>'R&amp;D'!Q257</f>
        <v>1314.9775103999998</v>
      </c>
      <c r="D5" s="264">
        <f>'R&amp;D'!R257</f>
        <v>1555.5556939000001</v>
      </c>
      <c r="E5" s="428">
        <f>'R&amp;D'!S257</f>
        <v>2486.0598884999995</v>
      </c>
      <c r="F5" s="428">
        <f>'R&amp;D'!T257</f>
        <v>2773.044449</v>
      </c>
      <c r="G5" s="428">
        <f>'R&amp;D'!U257</f>
        <v>2738.7572115000003</v>
      </c>
      <c r="H5" s="428">
        <f>'R&amp;D'!V257</f>
        <v>2527.9966680000002</v>
      </c>
      <c r="I5" s="428">
        <f>'R&amp;D'!W257</f>
        <v>2319.3163454999999</v>
      </c>
      <c r="J5" s="383"/>
      <c r="K5" s="305"/>
      <c r="L5" s="306"/>
      <c r="M5" s="248"/>
      <c r="N5" s="249"/>
    </row>
    <row r="6" spans="1:16" s="84" customFormat="1" ht="14.4">
      <c r="A6" s="84" t="s">
        <v>233</v>
      </c>
      <c r="B6" s="170" t="s">
        <v>139</v>
      </c>
      <c r="C6" s="348">
        <f>Innovatie!C128</f>
        <v>447.26637999999997</v>
      </c>
      <c r="D6" s="263">
        <f>Innovatie!D128</f>
        <v>671.72974999999997</v>
      </c>
      <c r="E6" s="427">
        <f>Innovatie!E128</f>
        <v>1478.4386599999998</v>
      </c>
      <c r="F6" s="427">
        <f>Innovatie!F128</f>
        <v>1645.107015</v>
      </c>
      <c r="G6" s="427">
        <f>Innovatie!G128</f>
        <v>1697.8030950000002</v>
      </c>
      <c r="H6" s="427">
        <f>Innovatie!H128</f>
        <v>1462.46057</v>
      </c>
      <c r="I6" s="427">
        <f>Innovatie!I128</f>
        <v>1187.3915899999997</v>
      </c>
      <c r="J6" s="383"/>
      <c r="K6" s="314"/>
      <c r="L6" s="387"/>
      <c r="M6" s="251"/>
      <c r="N6" s="389"/>
    </row>
    <row r="7" spans="1:16" s="84" customFormat="1" ht="14.4">
      <c r="A7" s="84" t="s">
        <v>234</v>
      </c>
      <c r="B7" s="213" t="s">
        <v>135</v>
      </c>
      <c r="C7" s="348">
        <f>Fiscaal!B15</f>
        <v>1565</v>
      </c>
      <c r="D7" s="263">
        <f>Fiscaal!C15</f>
        <v>1480</v>
      </c>
      <c r="E7" s="263">
        <f>Fiscaal!D15</f>
        <v>1544</v>
      </c>
      <c r="F7" s="263">
        <f>Fiscaal!E15</f>
        <v>1455</v>
      </c>
      <c r="G7" s="263">
        <f>Fiscaal!F15</f>
        <v>1455</v>
      </c>
      <c r="H7" s="263">
        <f>Fiscaal!G15</f>
        <v>1425</v>
      </c>
      <c r="I7" s="263">
        <f>Fiscaal!H15</f>
        <v>1425</v>
      </c>
      <c r="J7" s="315"/>
      <c r="K7" s="305"/>
      <c r="L7" s="306"/>
      <c r="M7" s="251"/>
      <c r="N7" s="252"/>
    </row>
    <row r="8" spans="1:16" s="48" customFormat="1" ht="14.4">
      <c r="B8" s="343" t="s">
        <v>478</v>
      </c>
      <c r="C8" s="264">
        <f>Fiscaal!B13</f>
        <v>149</v>
      </c>
      <c r="D8" s="264">
        <f>Fiscaal!C13</f>
        <v>139</v>
      </c>
      <c r="E8" s="264">
        <f>Fiscaal!D13</f>
        <v>169</v>
      </c>
      <c r="F8" s="264">
        <f>Fiscaal!E13</f>
        <v>169</v>
      </c>
      <c r="G8" s="264">
        <f>Fiscaal!F13</f>
        <v>169</v>
      </c>
      <c r="H8" s="264">
        <f>Fiscaal!G13</f>
        <v>139</v>
      </c>
      <c r="I8" s="264">
        <f>Fiscaal!H13</f>
        <v>139</v>
      </c>
      <c r="J8" s="315"/>
      <c r="K8" s="305"/>
      <c r="L8" s="306"/>
      <c r="M8" s="251"/>
      <c r="N8" s="249"/>
    </row>
    <row r="9" spans="1:16" s="49" customFormat="1" ht="15.6">
      <c r="B9" s="344" t="s">
        <v>127</v>
      </c>
      <c r="C9" s="265">
        <f>+C4+C6+C7</f>
        <v>8859.3305461142882</v>
      </c>
      <c r="D9" s="265">
        <f t="shared" ref="D9:I9" si="0">+D4+D6+D7</f>
        <v>9918.2930575262872</v>
      </c>
      <c r="E9" s="429">
        <f>+E4+E6+E7</f>
        <v>11891.96243418632</v>
      </c>
      <c r="F9" s="429">
        <f t="shared" si="0"/>
        <v>12094.31888281168</v>
      </c>
      <c r="G9" s="429">
        <f t="shared" si="0"/>
        <v>12002.959754427779</v>
      </c>
      <c r="H9" s="429">
        <f t="shared" si="0"/>
        <v>11476.881969533988</v>
      </c>
      <c r="I9" s="429">
        <f t="shared" si="0"/>
        <v>10973.860005823743</v>
      </c>
      <c r="J9" s="315"/>
      <c r="K9" s="305"/>
      <c r="L9" s="306"/>
      <c r="M9" s="251"/>
      <c r="N9" s="253"/>
    </row>
    <row r="10" spans="1:16" s="48" customFormat="1" ht="14.4">
      <c r="B10" s="343" t="s">
        <v>332</v>
      </c>
      <c r="C10" s="264">
        <f t="shared" ref="C10:I10" si="1">+C5+C6+C7</f>
        <v>3327.2438904000001</v>
      </c>
      <c r="D10" s="264">
        <f>+D5+D6+D7</f>
        <v>3707.2854439000002</v>
      </c>
      <c r="E10" s="264">
        <f t="shared" si="1"/>
        <v>5508.4985484999997</v>
      </c>
      <c r="F10" s="264">
        <f t="shared" si="1"/>
        <v>5873.1514640000005</v>
      </c>
      <c r="G10" s="264">
        <f t="shared" si="1"/>
        <v>5891.5603065000005</v>
      </c>
      <c r="H10" s="264">
        <f t="shared" si="1"/>
        <v>5415.457238</v>
      </c>
      <c r="I10" s="264">
        <f t="shared" si="1"/>
        <v>4931.7079354999996</v>
      </c>
      <c r="J10" s="384"/>
      <c r="K10" s="305"/>
      <c r="L10" s="306"/>
      <c r="M10" s="251"/>
      <c r="N10" s="249"/>
    </row>
    <row r="11" spans="1:16" s="71" customFormat="1" ht="14.4">
      <c r="B11" s="343" t="s">
        <v>206</v>
      </c>
      <c r="C11" s="266">
        <f>+C10/C9*100</f>
        <v>37.556380508449735</v>
      </c>
      <c r="D11" s="266">
        <f t="shared" ref="D11:I11" si="2">+D10/D9*100</f>
        <v>37.378260779326389</v>
      </c>
      <c r="E11" s="266">
        <f t="shared" si="2"/>
        <v>46.321190291221313</v>
      </c>
      <c r="F11" s="266">
        <f t="shared" si="2"/>
        <v>48.561242025351767</v>
      </c>
      <c r="G11" s="266">
        <f t="shared" si="2"/>
        <v>49.084229448712932</v>
      </c>
      <c r="H11" s="266">
        <f t="shared" si="2"/>
        <v>47.185788373319753</v>
      </c>
      <c r="I11" s="266">
        <f t="shared" si="2"/>
        <v>44.940503458972323</v>
      </c>
      <c r="K11" s="254"/>
      <c r="L11" s="250"/>
      <c r="M11" s="251"/>
      <c r="N11" s="255"/>
    </row>
    <row r="12" spans="1:16" s="84" customFormat="1" ht="14.4">
      <c r="B12" s="291"/>
      <c r="C12" s="345"/>
      <c r="D12" s="345"/>
      <c r="E12" s="385"/>
      <c r="F12" s="345"/>
      <c r="G12" s="345"/>
      <c r="H12" s="345"/>
      <c r="I12" s="345"/>
      <c r="K12" s="256"/>
      <c r="L12" s="247"/>
      <c r="M12" s="247"/>
      <c r="N12" s="252"/>
    </row>
    <row r="13" spans="1:16" ht="14.4">
      <c r="B13" s="151" t="s">
        <v>239</v>
      </c>
      <c r="C13" s="151">
        <f>C3</f>
        <v>2021</v>
      </c>
      <c r="D13" s="151">
        <f t="shared" ref="D13:I13" si="3">D3</f>
        <v>2022</v>
      </c>
      <c r="E13" s="151">
        <f t="shared" si="3"/>
        <v>2023</v>
      </c>
      <c r="F13" s="151">
        <f t="shared" si="3"/>
        <v>2024</v>
      </c>
      <c r="G13" s="151">
        <f t="shared" si="3"/>
        <v>2025</v>
      </c>
      <c r="H13" s="151">
        <f t="shared" si="3"/>
        <v>2026</v>
      </c>
      <c r="I13" s="151">
        <f t="shared" si="3"/>
        <v>2027</v>
      </c>
      <c r="K13" s="135"/>
      <c r="L13" s="135"/>
      <c r="M13" s="135"/>
      <c r="N13" s="135"/>
    </row>
    <row r="14" spans="1:16" s="84" customFormat="1" ht="14.4">
      <c r="A14" s="84" t="s">
        <v>232</v>
      </c>
      <c r="B14" s="170" t="s">
        <v>235</v>
      </c>
      <c r="C14" s="308">
        <f>+C4/C20/10</f>
        <v>0.79951706750517126</v>
      </c>
      <c r="D14" s="308">
        <f>+D4/D20/10</f>
        <v>0.82333969124629358</v>
      </c>
      <c r="E14" s="430">
        <f>+E4/E20/10</f>
        <v>0.87144073238222841</v>
      </c>
      <c r="F14" s="430">
        <f t="shared" ref="F14:H14" si="4">+F4/F20/10</f>
        <v>0.87153215773368997</v>
      </c>
      <c r="G14" s="430">
        <f t="shared" si="4"/>
        <v>0.84828492853712056</v>
      </c>
      <c r="H14" s="430">
        <f t="shared" si="4"/>
        <v>0.81424034501222753</v>
      </c>
      <c r="I14" s="430">
        <f>+I4/I20/10</f>
        <v>0.78401016557184655</v>
      </c>
      <c r="K14" s="257"/>
      <c r="L14" s="252"/>
      <c r="M14" s="252"/>
      <c r="N14" s="252"/>
    </row>
    <row r="15" spans="1:16" s="84" customFormat="1" ht="14.4">
      <c r="A15" s="84" t="s">
        <v>233</v>
      </c>
      <c r="B15" s="170" t="s">
        <v>236</v>
      </c>
      <c r="C15" s="308">
        <f>+C6/C20/10</f>
        <v>5.2226340495095745E-2</v>
      </c>
      <c r="D15" s="308">
        <f>+D6/D20/10</f>
        <v>7.1210616982932268E-2</v>
      </c>
      <c r="E15" s="430">
        <f>+E6/E20/10</f>
        <v>0.14525826881509135</v>
      </c>
      <c r="F15" s="430">
        <f t="shared" ref="F15:I15" si="5">+F6/F20/10</f>
        <v>0.15940959447674419</v>
      </c>
      <c r="G15" s="430">
        <f t="shared" si="5"/>
        <v>0.16273393031726255</v>
      </c>
      <c r="H15" s="430">
        <f t="shared" si="5"/>
        <v>0.1386349957341928</v>
      </c>
      <c r="I15" s="430">
        <f t="shared" si="5"/>
        <v>0.11133535771214249</v>
      </c>
      <c r="K15" s="252"/>
      <c r="L15" s="252"/>
      <c r="M15" s="252"/>
      <c r="N15" s="252"/>
    </row>
    <row r="16" spans="1:16" s="84" customFormat="1" ht="14.4">
      <c r="A16" s="84" t="s">
        <v>234</v>
      </c>
      <c r="B16" s="170" t="s">
        <v>238</v>
      </c>
      <c r="C16" s="308">
        <f>+C7/C20/10</f>
        <v>0.18274170948155069</v>
      </c>
      <c r="D16" s="308">
        <f>+D7/D20/10</f>
        <v>0.15689600339234602</v>
      </c>
      <c r="E16" s="308">
        <f>+E7/E20/10</f>
        <v>0.15169974454706231</v>
      </c>
      <c r="F16" s="308">
        <f t="shared" ref="F16:I16" si="6">+F7/F20/10</f>
        <v>0.14098837209302326</v>
      </c>
      <c r="G16" s="308">
        <f t="shared" si="6"/>
        <v>0.13946132464295985</v>
      </c>
      <c r="H16" s="308">
        <f t="shared" si="6"/>
        <v>0.13508389420798178</v>
      </c>
      <c r="I16" s="308">
        <f t="shared" si="6"/>
        <v>0.13361462728551338</v>
      </c>
      <c r="K16" s="252"/>
      <c r="L16" s="252"/>
      <c r="M16" s="252"/>
      <c r="N16" s="252"/>
    </row>
    <row r="17" spans="2:14" s="84" customFormat="1" ht="14.4">
      <c r="B17" s="68" t="s">
        <v>237</v>
      </c>
      <c r="C17" s="309">
        <f>+C9/C20/10</f>
        <v>1.0344851174818179</v>
      </c>
      <c r="D17" s="309">
        <f>+D9/D20/10</f>
        <v>1.051446311621572</v>
      </c>
      <c r="E17" s="431">
        <f>+E9/E20/10</f>
        <v>1.1683987457443821</v>
      </c>
      <c r="F17" s="431">
        <f t="shared" ref="F17:I17" si="7">+F9/F20/10</f>
        <v>1.1719301243034574</v>
      </c>
      <c r="G17" s="431">
        <f t="shared" si="7"/>
        <v>1.150480183497343</v>
      </c>
      <c r="H17" s="431">
        <f t="shared" si="7"/>
        <v>1.0879592349544021</v>
      </c>
      <c r="I17" s="431">
        <f t="shared" si="7"/>
        <v>1.0289601505695023</v>
      </c>
      <c r="K17" s="252"/>
      <c r="L17" s="252"/>
      <c r="M17" s="252"/>
      <c r="N17" s="252"/>
    </row>
    <row r="18" spans="2:14" ht="14.4">
      <c r="B18" s="346" t="s">
        <v>333</v>
      </c>
      <c r="C18" s="310">
        <f>+C10/C20/10</f>
        <v>0.3885151670247548</v>
      </c>
      <c r="D18" s="310">
        <f>+D10/D20/10</f>
        <v>0.39301234431251991</v>
      </c>
      <c r="E18" s="432">
        <f>+E10/E20/10</f>
        <v>0.54121620637649825</v>
      </c>
      <c r="F18" s="432">
        <f t="shared" ref="F18:I18" si="8">+F10/F20/10</f>
        <v>0.56910382403100779</v>
      </c>
      <c r="G18" s="432">
        <f t="shared" si="8"/>
        <v>0.56470433302980927</v>
      </c>
      <c r="H18" s="432">
        <f t="shared" si="8"/>
        <v>0.51336214219357279</v>
      </c>
      <c r="I18" s="432">
        <f t="shared" si="8"/>
        <v>0.46241987205813401</v>
      </c>
      <c r="K18" s="258"/>
      <c r="L18" s="135"/>
      <c r="M18" s="135"/>
      <c r="N18" s="135"/>
    </row>
    <row r="19" spans="2:14" ht="14.4">
      <c r="B19" s="347"/>
      <c r="C19" s="7"/>
      <c r="D19" s="7"/>
      <c r="E19" s="7"/>
      <c r="F19" s="307"/>
      <c r="G19" s="172"/>
      <c r="H19" s="172"/>
      <c r="I19" s="172"/>
      <c r="J19" s="115"/>
      <c r="K19" s="259"/>
    </row>
    <row r="20" spans="2:14" s="101" customFormat="1" ht="14.4">
      <c r="B20" s="170" t="s">
        <v>160</v>
      </c>
      <c r="C20" s="307">
        <v>856.4</v>
      </c>
      <c r="D20" s="335">
        <v>943.3</v>
      </c>
      <c r="E20" s="307">
        <v>1017.8</v>
      </c>
      <c r="F20" s="338">
        <v>1032</v>
      </c>
      <c r="G20" s="338">
        <v>1043.3</v>
      </c>
      <c r="H20" s="338">
        <v>1054.9000000000001</v>
      </c>
      <c r="I20" s="338">
        <v>1066.5</v>
      </c>
      <c r="K20" s="167"/>
    </row>
    <row r="21" spans="2:14" s="130" customFormat="1" ht="14.4">
      <c r="B21" s="170" t="s">
        <v>738</v>
      </c>
      <c r="C21" s="336"/>
      <c r="D21" s="336"/>
      <c r="E21" s="336"/>
      <c r="F21" s="338">
        <v>2</v>
      </c>
      <c r="G21" s="338">
        <v>1.7</v>
      </c>
      <c r="H21" s="338">
        <v>1.4</v>
      </c>
      <c r="I21" s="338">
        <v>1.4</v>
      </c>
      <c r="J21" s="136"/>
    </row>
    <row r="22" spans="2:14">
      <c r="B22" s="7"/>
      <c r="C22" s="335"/>
      <c r="D22" s="335"/>
      <c r="E22" s="335"/>
      <c r="F22" s="335"/>
      <c r="G22" s="335"/>
      <c r="H22" s="335"/>
      <c r="I22" s="337"/>
    </row>
    <row r="23" spans="2:14">
      <c r="B23" s="7" t="s">
        <v>836</v>
      </c>
      <c r="C23" s="7"/>
      <c r="D23" s="259"/>
      <c r="E23" s="115"/>
      <c r="F23" s="115"/>
      <c r="G23" s="115"/>
      <c r="H23" s="115"/>
      <c r="I23" s="115"/>
      <c r="J23" s="115"/>
      <c r="K23" s="115"/>
    </row>
    <row r="24" spans="2:14">
      <c r="B24" s="7" t="s">
        <v>838</v>
      </c>
      <c r="C24" s="7"/>
      <c r="D24" s="115"/>
      <c r="E24" s="115"/>
      <c r="F24" s="115"/>
      <c r="G24" s="115"/>
      <c r="H24" s="115"/>
      <c r="I24" s="115"/>
      <c r="J24" s="115"/>
      <c r="K24" s="115"/>
    </row>
    <row r="25" spans="2:14">
      <c r="B25" s="7" t="s">
        <v>739</v>
      </c>
      <c r="C25" s="7"/>
      <c r="D25" s="115"/>
      <c r="E25" s="115"/>
      <c r="F25" s="115"/>
      <c r="G25" s="115"/>
      <c r="H25" s="115"/>
      <c r="I25" s="115"/>
      <c r="J25" s="115"/>
      <c r="K25" s="115"/>
    </row>
    <row r="26" spans="2:14">
      <c r="B26" s="219"/>
      <c r="C26" s="115"/>
      <c r="D26" s="115"/>
      <c r="E26" s="115"/>
      <c r="F26" s="313"/>
      <c r="G26" s="311"/>
      <c r="H26" s="313"/>
      <c r="I26" s="311"/>
      <c r="J26" s="115"/>
      <c r="K26" s="115"/>
    </row>
    <row r="27" spans="2:14" ht="14.4">
      <c r="B27" s="213"/>
      <c r="C27" s="115"/>
      <c r="D27" s="115"/>
      <c r="E27" s="115"/>
      <c r="F27" s="115"/>
      <c r="G27" s="115"/>
      <c r="H27" s="115"/>
      <c r="I27" s="115"/>
      <c r="J27" s="115"/>
      <c r="K27" s="115"/>
    </row>
    <row r="28" spans="2:14" ht="14.4">
      <c r="B28" s="219"/>
      <c r="C28" s="307"/>
      <c r="D28" s="307"/>
      <c r="E28" s="307"/>
      <c r="F28" s="307"/>
      <c r="G28" s="115"/>
      <c r="H28" s="115"/>
      <c r="I28" s="311"/>
      <c r="J28" s="115"/>
      <c r="K28" s="115"/>
    </row>
    <row r="29" spans="2:14" ht="14.4">
      <c r="B29" s="115"/>
      <c r="C29" s="115"/>
      <c r="D29" s="115"/>
      <c r="E29" s="115"/>
      <c r="F29" s="115"/>
      <c r="G29" s="312"/>
      <c r="H29" s="312"/>
      <c r="I29" s="312"/>
      <c r="J29" s="115"/>
      <c r="K29" s="115"/>
    </row>
    <row r="30" spans="2:14">
      <c r="B30" s="115"/>
      <c r="C30" s="115"/>
      <c r="D30" s="115"/>
      <c r="E30" s="115"/>
      <c r="F30" s="115"/>
      <c r="G30" s="115"/>
      <c r="H30" s="115"/>
      <c r="I30" s="115"/>
      <c r="J30" s="115"/>
      <c r="K30" s="115"/>
    </row>
    <row r="31" spans="2:14">
      <c r="B31" s="115"/>
      <c r="C31" s="115"/>
      <c r="D31" s="115"/>
      <c r="E31" s="115"/>
      <c r="F31" s="115"/>
      <c r="G31" s="115"/>
      <c r="H31" s="115"/>
      <c r="I31" s="115"/>
      <c r="J31" s="115"/>
      <c r="K31" s="115"/>
    </row>
    <row r="32" spans="2:14">
      <c r="B32" s="115"/>
      <c r="C32" s="115"/>
      <c r="D32" s="115"/>
      <c r="E32" s="115"/>
      <c r="F32" s="115"/>
      <c r="G32" s="115"/>
      <c r="H32" s="115"/>
      <c r="I32" s="115"/>
      <c r="J32" s="115"/>
      <c r="K32" s="115"/>
    </row>
    <row r="43" spans="3:5">
      <c r="C43" s="340"/>
      <c r="D43" s="340"/>
      <c r="E43" s="340"/>
    </row>
  </sheetData>
  <mergeCells count="1">
    <mergeCell ref="L3:M3"/>
  </mergeCells>
  <hyperlinks>
    <hyperlink ref="B36" r:id="rId1" display="website"/>
  </hyperlinks>
  <pageMargins left="0.70866141732283472" right="0.70866141732283472" top="0.74803149606299213" bottom="0.74803149606299213" header="0.31496062992125984" footer="0.31496062992125984"/>
  <pageSetup paperSize="9" scale="98" orientation="landscape" r:id="rId2"/>
  <headerFooter>
    <oddFooter>&amp;L&amp;Z&amp;F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0"/>
  <sheetViews>
    <sheetView view="pageBreakPreview" zoomScaleNormal="100" zoomScaleSheetLayoutView="100" workbookViewId="0"/>
  </sheetViews>
  <sheetFormatPr defaultColWidth="9.21875" defaultRowHeight="13.8"/>
  <cols>
    <col min="1" max="1" width="16.44140625" style="4" customWidth="1"/>
    <col min="2" max="2" width="45.5546875" style="4" customWidth="1"/>
    <col min="3" max="3" width="12.44140625" style="4" customWidth="1"/>
    <col min="4" max="5" width="13.44140625" style="4" customWidth="1"/>
    <col min="6" max="6" width="13.77734375" style="4" customWidth="1"/>
    <col min="7" max="7" width="12.77734375" style="4" customWidth="1"/>
    <col min="8" max="8" width="12.21875" style="4" customWidth="1"/>
    <col min="9" max="9" width="14.21875" style="4" customWidth="1"/>
    <col min="10" max="10" width="6" style="4" customWidth="1"/>
    <col min="11" max="11" width="9.21875" style="4"/>
    <col min="12" max="12" width="6.5546875" style="4" customWidth="1"/>
    <col min="13" max="13" width="12" style="410" customWidth="1"/>
    <col min="14" max="14" width="12" style="4" customWidth="1"/>
    <col min="15" max="15" width="19.21875" style="4" customWidth="1"/>
    <col min="16" max="16" width="10.5546875" style="13" bestFit="1" customWidth="1"/>
    <col min="17" max="23" width="13.21875" style="5" customWidth="1"/>
    <col min="24" max="16384" width="9.21875" style="4"/>
  </cols>
  <sheetData>
    <row r="1" spans="1:23" ht="18">
      <c r="A1" s="24" t="s">
        <v>741</v>
      </c>
      <c r="B1" s="123"/>
      <c r="C1" s="123"/>
      <c r="D1" s="123"/>
      <c r="E1" s="123"/>
      <c r="F1" s="123"/>
      <c r="G1" s="123"/>
      <c r="H1" s="123"/>
      <c r="I1" s="123"/>
      <c r="J1" s="123"/>
      <c r="K1" s="123"/>
      <c r="L1" s="81"/>
      <c r="M1" s="400"/>
      <c r="N1" s="123"/>
      <c r="O1" s="123"/>
    </row>
    <row r="3" spans="1:23">
      <c r="A3" s="23" t="s">
        <v>58</v>
      </c>
      <c r="B3" s="21" t="s">
        <v>59</v>
      </c>
      <c r="C3" s="1" t="s">
        <v>205</v>
      </c>
      <c r="D3" s="21" t="s">
        <v>60</v>
      </c>
      <c r="E3" s="21" t="s">
        <v>61</v>
      </c>
      <c r="F3" s="21" t="s">
        <v>62</v>
      </c>
      <c r="G3" s="21"/>
      <c r="H3" s="21"/>
      <c r="I3" s="21"/>
      <c r="J3" s="21" t="s">
        <v>338</v>
      </c>
      <c r="K3" s="22" t="s">
        <v>63</v>
      </c>
      <c r="L3" s="21" t="s">
        <v>43</v>
      </c>
      <c r="M3" s="401" t="s">
        <v>174</v>
      </c>
      <c r="N3" s="21"/>
      <c r="O3" s="21" t="s">
        <v>0</v>
      </c>
      <c r="P3" s="59" t="s">
        <v>212</v>
      </c>
      <c r="Q3" s="5" t="s">
        <v>410</v>
      </c>
    </row>
    <row r="4" spans="1:23">
      <c r="A4" s="23"/>
      <c r="B4" s="21"/>
      <c r="C4" s="1">
        <f>Totaal!C3</f>
        <v>2021</v>
      </c>
      <c r="D4" s="1">
        <f>Totaal!D3</f>
        <v>2022</v>
      </c>
      <c r="E4" s="1">
        <f>Totaal!E3</f>
        <v>2023</v>
      </c>
      <c r="F4" s="1">
        <f>Totaal!F3</f>
        <v>2024</v>
      </c>
      <c r="G4" s="1">
        <f>Totaal!G3</f>
        <v>2025</v>
      </c>
      <c r="H4" s="1">
        <f>Totaal!H3</f>
        <v>2026</v>
      </c>
      <c r="I4" s="1">
        <f>Totaal!I3</f>
        <v>2027</v>
      </c>
      <c r="J4" s="21"/>
      <c r="K4" s="22"/>
      <c r="L4" s="21"/>
      <c r="M4" s="401"/>
      <c r="N4" s="21"/>
      <c r="O4" s="21"/>
      <c r="P4" s="59" t="s">
        <v>213</v>
      </c>
      <c r="Q4" s="1">
        <f t="shared" ref="Q4:W4" si="0">C4</f>
        <v>2021</v>
      </c>
      <c r="R4" s="1">
        <f t="shared" si="0"/>
        <v>2022</v>
      </c>
      <c r="S4" s="1">
        <f t="shared" si="0"/>
        <v>2023</v>
      </c>
      <c r="T4" s="1">
        <f t="shared" si="0"/>
        <v>2024</v>
      </c>
      <c r="U4" s="1">
        <f t="shared" si="0"/>
        <v>2025</v>
      </c>
      <c r="V4" s="1">
        <f t="shared" si="0"/>
        <v>2026</v>
      </c>
      <c r="W4" s="1">
        <f t="shared" si="0"/>
        <v>2027</v>
      </c>
    </row>
    <row r="5" spans="1:23" s="1" customFormat="1">
      <c r="M5" s="402"/>
      <c r="P5" s="59"/>
      <c r="Q5" s="57"/>
      <c r="R5" s="57"/>
      <c r="S5" s="57"/>
      <c r="T5" s="57"/>
      <c r="U5" s="57"/>
      <c r="V5" s="57"/>
      <c r="W5" s="57"/>
    </row>
    <row r="6" spans="1:23" s="15" customFormat="1" ht="14.4">
      <c r="B6" s="15" t="s">
        <v>35</v>
      </c>
      <c r="L6" s="14"/>
      <c r="M6" s="403"/>
      <c r="P6" s="15" t="s">
        <v>35</v>
      </c>
      <c r="Q6" s="272"/>
      <c r="R6" s="272"/>
      <c r="S6" s="272"/>
      <c r="T6" s="272"/>
      <c r="U6" s="272"/>
      <c r="V6" s="272"/>
      <c r="W6" s="272"/>
    </row>
    <row r="7" spans="1:23" s="7" customFormat="1">
      <c r="A7" s="7" t="s">
        <v>552</v>
      </c>
      <c r="B7" s="169" t="s">
        <v>553</v>
      </c>
      <c r="C7" s="95">
        <v>0.72</v>
      </c>
      <c r="D7" s="92">
        <v>0.59399999999999997</v>
      </c>
      <c r="E7" s="92">
        <v>0.59399999999999997</v>
      </c>
      <c r="F7" s="92">
        <v>0.59399999999999997</v>
      </c>
      <c r="G7" s="92">
        <v>0.59399999999999997</v>
      </c>
      <c r="H7" s="92">
        <v>0.59399999999999997</v>
      </c>
      <c r="I7" s="92">
        <v>0.59399999999999997</v>
      </c>
      <c r="J7" s="7">
        <v>80</v>
      </c>
      <c r="K7" s="7">
        <v>11</v>
      </c>
      <c r="L7" s="92" t="s">
        <v>48</v>
      </c>
      <c r="M7" s="404" t="s">
        <v>6</v>
      </c>
      <c r="O7" s="7" t="s">
        <v>33</v>
      </c>
      <c r="P7" s="61">
        <v>0</v>
      </c>
      <c r="Q7" s="58"/>
      <c r="R7" s="58"/>
      <c r="S7" s="58"/>
      <c r="T7" s="58"/>
      <c r="U7" s="58"/>
      <c r="V7" s="58"/>
      <c r="W7" s="58"/>
    </row>
    <row r="8" spans="1:23" s="68" customFormat="1" ht="14.4">
      <c r="B8" s="243" t="s">
        <v>49</v>
      </c>
      <c r="C8" s="98">
        <f t="shared" ref="C8:I8" si="1">C7</f>
        <v>0.72</v>
      </c>
      <c r="D8" s="98">
        <f t="shared" si="1"/>
        <v>0.59399999999999997</v>
      </c>
      <c r="E8" s="98">
        <f t="shared" si="1"/>
        <v>0.59399999999999997</v>
      </c>
      <c r="F8" s="98">
        <f t="shared" si="1"/>
        <v>0.59399999999999997</v>
      </c>
      <c r="G8" s="98">
        <f t="shared" si="1"/>
        <v>0.59399999999999997</v>
      </c>
      <c r="H8" s="98">
        <f t="shared" si="1"/>
        <v>0.59399999999999997</v>
      </c>
      <c r="I8" s="98">
        <f t="shared" si="1"/>
        <v>0.59399999999999997</v>
      </c>
      <c r="J8" s="20"/>
      <c r="K8" s="20"/>
      <c r="L8" s="350"/>
      <c r="M8" s="405"/>
      <c r="N8" s="20"/>
      <c r="O8" s="20"/>
      <c r="P8" s="154"/>
      <c r="Q8" s="97"/>
      <c r="R8" s="97"/>
      <c r="S8" s="97"/>
      <c r="T8" s="97"/>
      <c r="U8" s="97"/>
      <c r="V8" s="97"/>
      <c r="W8" s="97"/>
    </row>
    <row r="9" spans="1:23" s="1" customFormat="1">
      <c r="C9" s="50"/>
      <c r="D9" s="50"/>
      <c r="E9" s="50"/>
      <c r="F9" s="50"/>
      <c r="G9" s="50"/>
      <c r="H9" s="50"/>
      <c r="I9" s="50"/>
      <c r="M9" s="402"/>
      <c r="P9" s="59"/>
      <c r="Q9" s="57"/>
      <c r="R9" s="57"/>
      <c r="S9" s="57"/>
      <c r="T9" s="57"/>
      <c r="U9" s="57"/>
      <c r="V9" s="57"/>
      <c r="W9" s="57"/>
    </row>
    <row r="10" spans="1:23" s="15" customFormat="1" ht="14.4">
      <c r="B10" s="15" t="s">
        <v>36</v>
      </c>
      <c r="C10" s="271"/>
      <c r="D10" s="51"/>
      <c r="E10" s="51"/>
      <c r="F10" s="51"/>
      <c r="G10" s="51"/>
      <c r="H10" s="51"/>
      <c r="I10" s="51"/>
      <c r="L10" s="14"/>
      <c r="M10" s="403"/>
      <c r="P10" s="15" t="s">
        <v>36</v>
      </c>
      <c r="Q10" s="272"/>
      <c r="R10" s="272"/>
      <c r="S10" s="272"/>
      <c r="T10" s="272"/>
      <c r="U10" s="272"/>
      <c r="V10" s="272"/>
      <c r="W10" s="272"/>
    </row>
    <row r="11" spans="1:23" s="7" customFormat="1">
      <c r="A11" s="7">
        <v>5</v>
      </c>
      <c r="B11" s="7" t="s">
        <v>140</v>
      </c>
      <c r="C11" s="55">
        <v>0.34</v>
      </c>
      <c r="D11" s="55">
        <v>0.28100000000000003</v>
      </c>
      <c r="E11" s="55">
        <v>0.28000000000000003</v>
      </c>
      <c r="F11" s="55">
        <v>0.28000000000000003</v>
      </c>
      <c r="G11" s="55">
        <v>0.28000000000000003</v>
      </c>
      <c r="H11" s="55">
        <v>0.28000000000000003</v>
      </c>
      <c r="I11" s="55">
        <v>0.28000000000000003</v>
      </c>
      <c r="J11" s="7">
        <v>10</v>
      </c>
      <c r="K11" s="92">
        <v>11</v>
      </c>
      <c r="L11" s="92" t="s">
        <v>48</v>
      </c>
      <c r="M11" s="404" t="s">
        <v>4</v>
      </c>
      <c r="O11" s="7" t="s">
        <v>32</v>
      </c>
      <c r="P11" s="61">
        <v>0</v>
      </c>
      <c r="Q11" s="58"/>
      <c r="R11" s="58"/>
      <c r="S11" s="58"/>
      <c r="T11" s="58"/>
      <c r="U11" s="58"/>
      <c r="V11" s="58"/>
      <c r="W11" s="58"/>
    </row>
    <row r="12" spans="1:23" s="7" customFormat="1">
      <c r="A12" s="7">
        <v>17</v>
      </c>
      <c r="B12" s="7" t="s">
        <v>141</v>
      </c>
      <c r="C12" s="55">
        <v>1.425</v>
      </c>
      <c r="D12" s="55">
        <v>1.5</v>
      </c>
      <c r="E12" s="55">
        <v>3.5</v>
      </c>
      <c r="F12" s="55">
        <v>3.5</v>
      </c>
      <c r="G12" s="55">
        <v>3.5</v>
      </c>
      <c r="H12" s="55">
        <v>3.5</v>
      </c>
      <c r="I12" s="55">
        <v>3.5</v>
      </c>
      <c r="J12" s="7">
        <v>100</v>
      </c>
      <c r="K12" s="92">
        <v>11</v>
      </c>
      <c r="L12" s="92" t="s">
        <v>48</v>
      </c>
      <c r="M12" s="404" t="s">
        <v>7</v>
      </c>
      <c r="O12" s="7" t="s">
        <v>33</v>
      </c>
      <c r="P12" s="61">
        <v>0</v>
      </c>
      <c r="Q12" s="58"/>
      <c r="R12" s="58"/>
      <c r="S12" s="58"/>
      <c r="T12" s="58"/>
      <c r="U12" s="58"/>
      <c r="V12" s="58"/>
      <c r="W12" s="58"/>
    </row>
    <row r="13" spans="1:23" s="7" customFormat="1">
      <c r="A13" s="7">
        <v>17</v>
      </c>
      <c r="B13" s="7" t="s">
        <v>780</v>
      </c>
      <c r="C13" s="55">
        <v>0</v>
      </c>
      <c r="D13" s="55">
        <v>0</v>
      </c>
      <c r="E13" s="55">
        <v>0</v>
      </c>
      <c r="F13" s="55">
        <v>0</v>
      </c>
      <c r="G13" s="55">
        <v>0</v>
      </c>
      <c r="H13" s="55">
        <v>0</v>
      </c>
      <c r="I13" s="55">
        <v>0</v>
      </c>
      <c r="J13" s="7">
        <v>25</v>
      </c>
      <c r="K13" s="92"/>
      <c r="L13" s="92"/>
      <c r="M13" s="404"/>
      <c r="P13" s="61"/>
      <c r="Q13" s="58"/>
      <c r="R13" s="58"/>
      <c r="S13" s="58"/>
      <c r="T13" s="58"/>
      <c r="U13" s="58"/>
      <c r="V13" s="58"/>
      <c r="W13" s="58"/>
    </row>
    <row r="14" spans="1:23" s="7" customFormat="1">
      <c r="A14" s="7">
        <v>17</v>
      </c>
      <c r="B14" s="7" t="s">
        <v>226</v>
      </c>
      <c r="C14" s="55">
        <v>22.763999999999999</v>
      </c>
      <c r="D14" s="55">
        <v>26.76</v>
      </c>
      <c r="E14" s="55">
        <v>25.541</v>
      </c>
      <c r="F14" s="55">
        <v>24.739000000000001</v>
      </c>
      <c r="G14" s="55">
        <v>24.459</v>
      </c>
      <c r="H14" s="55">
        <v>24.219000000000001</v>
      </c>
      <c r="I14" s="55">
        <v>24.219000000000001</v>
      </c>
      <c r="J14" s="7">
        <v>5</v>
      </c>
      <c r="K14" s="92">
        <v>11</v>
      </c>
      <c r="L14" s="92" t="s">
        <v>48</v>
      </c>
      <c r="M14" s="404" t="s">
        <v>7</v>
      </c>
      <c r="O14" s="7" t="s">
        <v>33</v>
      </c>
      <c r="P14" s="61">
        <v>0</v>
      </c>
      <c r="Q14" s="58"/>
      <c r="R14" s="58"/>
      <c r="S14" s="58"/>
      <c r="T14" s="58"/>
      <c r="U14" s="58"/>
      <c r="V14" s="58"/>
      <c r="W14" s="58"/>
    </row>
    <row r="15" spans="1:23" s="7" customFormat="1">
      <c r="A15" s="7">
        <v>17</v>
      </c>
      <c r="B15" s="7" t="s">
        <v>227</v>
      </c>
      <c r="C15" s="83">
        <v>4.8109999999999999</v>
      </c>
      <c r="D15" s="83">
        <v>5.25</v>
      </c>
      <c r="E15" s="83">
        <v>4.758</v>
      </c>
      <c r="F15" s="83">
        <v>4.923</v>
      </c>
      <c r="G15" s="83">
        <v>5.1779999999999999</v>
      </c>
      <c r="H15" s="83">
        <v>5.16</v>
      </c>
      <c r="I15" s="83">
        <v>5.16</v>
      </c>
      <c r="J15" s="7">
        <v>5</v>
      </c>
      <c r="K15" s="92">
        <v>11</v>
      </c>
      <c r="L15" s="92" t="s">
        <v>48</v>
      </c>
      <c r="M15" s="404" t="s">
        <v>7</v>
      </c>
      <c r="O15" s="7" t="s">
        <v>33</v>
      </c>
      <c r="P15" s="61">
        <v>0</v>
      </c>
      <c r="Q15" s="58"/>
      <c r="R15" s="58"/>
      <c r="S15" s="58"/>
      <c r="T15" s="58"/>
      <c r="U15" s="58"/>
      <c r="V15" s="58"/>
      <c r="W15" s="58"/>
    </row>
    <row r="16" spans="1:23" s="7" customFormat="1">
      <c r="A16" s="7" t="s">
        <v>614</v>
      </c>
      <c r="B16" s="7" t="s">
        <v>613</v>
      </c>
      <c r="C16" s="83">
        <v>6.5019999999999998</v>
      </c>
      <c r="D16" s="83">
        <v>75.016999999999996</v>
      </c>
      <c r="E16" s="83">
        <v>3.2</v>
      </c>
      <c r="F16" s="83">
        <v>1</v>
      </c>
      <c r="G16" s="83">
        <v>0</v>
      </c>
      <c r="H16" s="83">
        <v>0</v>
      </c>
      <c r="I16" s="83">
        <v>0</v>
      </c>
      <c r="J16" s="7">
        <v>5</v>
      </c>
      <c r="K16" s="92">
        <v>11</v>
      </c>
      <c r="L16" s="92" t="s">
        <v>48</v>
      </c>
      <c r="M16" s="404" t="s">
        <v>816</v>
      </c>
      <c r="O16" s="7" t="s">
        <v>33</v>
      </c>
      <c r="P16" s="61">
        <v>0</v>
      </c>
      <c r="Q16" s="58"/>
      <c r="R16" s="58"/>
      <c r="S16" s="58"/>
      <c r="T16" s="58"/>
      <c r="U16" s="58"/>
      <c r="V16" s="58"/>
      <c r="W16" s="58"/>
    </row>
    <row r="17" spans="1:23" s="7" customFormat="1">
      <c r="A17" s="7">
        <v>17</v>
      </c>
      <c r="B17" s="7" t="s">
        <v>228</v>
      </c>
      <c r="C17" s="83">
        <v>10.35</v>
      </c>
      <c r="D17" s="83">
        <v>10.052</v>
      </c>
      <c r="E17" s="83">
        <v>7.7880000000000003</v>
      </c>
      <c r="F17" s="83">
        <v>7.5380000000000003</v>
      </c>
      <c r="G17" s="83">
        <v>7.8680000000000003</v>
      </c>
      <c r="H17" s="83">
        <v>7.8680000000000003</v>
      </c>
      <c r="I17" s="83">
        <v>7.8680000000000003</v>
      </c>
      <c r="J17" s="7">
        <v>5</v>
      </c>
      <c r="K17" s="92">
        <v>11</v>
      </c>
      <c r="L17" s="92" t="s">
        <v>48</v>
      </c>
      <c r="M17" s="404" t="s">
        <v>7</v>
      </c>
      <c r="O17" s="7" t="s">
        <v>33</v>
      </c>
      <c r="P17" s="61">
        <v>0</v>
      </c>
      <c r="Q17" s="58"/>
      <c r="R17" s="58"/>
      <c r="S17" s="58"/>
      <c r="T17" s="58"/>
      <c r="U17" s="58"/>
      <c r="V17" s="58"/>
      <c r="W17" s="58"/>
    </row>
    <row r="18" spans="1:23" s="3" customFormat="1" ht="14.4">
      <c r="B18" s="68" t="s">
        <v>50</v>
      </c>
      <c r="C18" s="12">
        <f>SUM(C11:C17)</f>
        <v>46.192</v>
      </c>
      <c r="D18" s="12">
        <f t="shared" ref="D18:I18" si="2">SUM(D11:D17)</f>
        <v>118.85999999999999</v>
      </c>
      <c r="E18" s="12">
        <f t="shared" si="2"/>
        <v>45.067000000000007</v>
      </c>
      <c r="F18" s="12">
        <f t="shared" si="2"/>
        <v>41.980000000000004</v>
      </c>
      <c r="G18" s="12">
        <f t="shared" si="2"/>
        <v>41.285000000000004</v>
      </c>
      <c r="H18" s="12">
        <f t="shared" si="2"/>
        <v>41.027000000000008</v>
      </c>
      <c r="I18" s="12">
        <f t="shared" si="2"/>
        <v>41.027000000000008</v>
      </c>
      <c r="M18" s="149"/>
      <c r="P18" s="60"/>
      <c r="Q18" s="6"/>
      <c r="R18" s="6"/>
      <c r="S18" s="6"/>
      <c r="T18" s="6"/>
      <c r="U18" s="6"/>
      <c r="V18" s="6"/>
      <c r="W18" s="6"/>
    </row>
    <row r="19" spans="1:23" s="1" customFormat="1">
      <c r="B19" s="20"/>
      <c r="C19" s="50"/>
      <c r="D19" s="50"/>
      <c r="E19" s="50"/>
      <c r="F19" s="50"/>
      <c r="G19" s="50"/>
      <c r="H19" s="50"/>
      <c r="I19" s="50"/>
      <c r="M19" s="402"/>
      <c r="P19" s="59"/>
      <c r="Q19" s="57"/>
      <c r="R19" s="57"/>
      <c r="S19" s="57"/>
      <c r="T19" s="57"/>
      <c r="U19" s="57"/>
      <c r="V19" s="57"/>
      <c r="W19" s="57"/>
    </row>
    <row r="20" spans="1:23" s="14" customFormat="1" ht="14.4">
      <c r="B20" s="15" t="s">
        <v>398</v>
      </c>
      <c r="C20" s="273"/>
      <c r="D20" s="52"/>
      <c r="E20" s="52"/>
      <c r="F20" s="52"/>
      <c r="G20" s="52"/>
      <c r="H20" s="52"/>
      <c r="I20" s="52"/>
      <c r="M20" s="406"/>
      <c r="P20" s="15" t="s">
        <v>398</v>
      </c>
      <c r="Q20" s="183"/>
      <c r="R20" s="183"/>
      <c r="S20" s="183"/>
      <c r="T20" s="183"/>
      <c r="U20" s="183"/>
      <c r="V20" s="183"/>
      <c r="W20" s="183"/>
    </row>
    <row r="21" spans="1:23" s="7" customFormat="1">
      <c r="A21" s="92"/>
      <c r="B21" s="92" t="s">
        <v>480</v>
      </c>
      <c r="C21" s="95">
        <v>2.5059999999999998</v>
      </c>
      <c r="D21" s="95">
        <v>2.7549999999999999</v>
      </c>
      <c r="E21" s="95">
        <v>2.6890000000000001</v>
      </c>
      <c r="F21" s="95">
        <v>2.6880000000000002</v>
      </c>
      <c r="G21" s="95">
        <v>2.6560000000000001</v>
      </c>
      <c r="H21" s="95">
        <v>2.657</v>
      </c>
      <c r="I21" s="95">
        <v>2.6520000000000001</v>
      </c>
      <c r="J21" s="92">
        <v>10</v>
      </c>
      <c r="K21" s="92">
        <v>11</v>
      </c>
      <c r="L21" s="92" t="s">
        <v>48</v>
      </c>
      <c r="M21" s="407" t="s">
        <v>56</v>
      </c>
      <c r="N21" s="92"/>
      <c r="O21" s="7" t="s">
        <v>33</v>
      </c>
      <c r="P21" s="61">
        <v>0</v>
      </c>
      <c r="Q21" s="58"/>
      <c r="R21" s="58"/>
      <c r="S21" s="58"/>
      <c r="T21" s="58"/>
      <c r="U21" s="58"/>
      <c r="V21" s="58"/>
      <c r="W21" s="58"/>
    </row>
    <row r="22" spans="1:23" s="7" customFormat="1">
      <c r="A22" s="92"/>
      <c r="B22" s="92" t="s">
        <v>481</v>
      </c>
      <c r="C22" s="95">
        <v>2.5059999999999998</v>
      </c>
      <c r="D22" s="95">
        <v>2.7559999999999998</v>
      </c>
      <c r="E22" s="95">
        <v>2.6890000000000001</v>
      </c>
      <c r="F22" s="95">
        <v>2.6880000000000002</v>
      </c>
      <c r="G22" s="95">
        <v>2.657</v>
      </c>
      <c r="H22" s="95">
        <v>2.657</v>
      </c>
      <c r="I22" s="95">
        <v>2.6520000000000001</v>
      </c>
      <c r="J22" s="92">
        <v>10</v>
      </c>
      <c r="K22" s="92">
        <v>11</v>
      </c>
      <c r="L22" s="92" t="s">
        <v>48</v>
      </c>
      <c r="M22" s="407" t="s">
        <v>4</v>
      </c>
      <c r="N22" s="92"/>
      <c r="O22" s="7" t="s">
        <v>33</v>
      </c>
      <c r="P22" s="61">
        <v>0</v>
      </c>
      <c r="Q22" s="58"/>
      <c r="R22" s="58"/>
      <c r="S22" s="58"/>
      <c r="T22" s="58"/>
      <c r="U22" s="58"/>
      <c r="V22" s="58"/>
      <c r="W22" s="58"/>
    </row>
    <row r="23" spans="1:23" s="7" customFormat="1">
      <c r="A23" s="92"/>
      <c r="B23" s="92" t="s">
        <v>479</v>
      </c>
      <c r="C23" s="95">
        <v>6.9969999999999999</v>
      </c>
      <c r="D23" s="95">
        <v>7.4</v>
      </c>
      <c r="E23" s="95">
        <v>7.4</v>
      </c>
      <c r="F23" s="95">
        <v>7.4</v>
      </c>
      <c r="G23" s="95">
        <v>7.4</v>
      </c>
      <c r="H23" s="95">
        <v>7.4</v>
      </c>
      <c r="I23" s="95">
        <v>7.4</v>
      </c>
      <c r="J23" s="92">
        <v>15</v>
      </c>
      <c r="K23" s="92">
        <v>11</v>
      </c>
      <c r="L23" s="92" t="s">
        <v>48</v>
      </c>
      <c r="M23" s="407" t="s">
        <v>6</v>
      </c>
      <c r="N23" s="92"/>
      <c r="O23" s="92" t="s">
        <v>33</v>
      </c>
      <c r="P23" s="61">
        <v>0</v>
      </c>
      <c r="Q23" s="58"/>
      <c r="R23" s="58"/>
      <c r="S23" s="58"/>
      <c r="T23" s="58"/>
      <c r="U23" s="58"/>
      <c r="V23" s="58"/>
      <c r="W23" s="58"/>
    </row>
    <row r="24" spans="1:23" s="7" customFormat="1">
      <c r="A24" s="92" t="s">
        <v>339</v>
      </c>
      <c r="B24" s="92" t="s">
        <v>559</v>
      </c>
      <c r="C24" s="95">
        <v>12.019049999999998</v>
      </c>
      <c r="D24" s="95">
        <v>11.869499999999999</v>
      </c>
      <c r="E24" s="95">
        <v>13.004849999999999</v>
      </c>
      <c r="F24" s="95">
        <v>13.110900000000001</v>
      </c>
      <c r="G24" s="95">
        <v>12.521249999999998</v>
      </c>
      <c r="H24" s="95">
        <v>12.386099999999999</v>
      </c>
      <c r="I24" s="95">
        <v>12.381599999999999</v>
      </c>
      <c r="J24" s="117">
        <v>15</v>
      </c>
      <c r="K24" s="92">
        <v>11</v>
      </c>
      <c r="L24" s="92" t="s">
        <v>48</v>
      </c>
      <c r="M24" s="407" t="s">
        <v>6</v>
      </c>
      <c r="N24" s="92"/>
      <c r="O24" s="92" t="s">
        <v>33</v>
      </c>
      <c r="P24" s="61">
        <v>33</v>
      </c>
      <c r="Q24" s="58">
        <f t="shared" ref="Q24:W24" si="3">+$P24/100*C24</f>
        <v>3.9662864999999998</v>
      </c>
      <c r="R24" s="58">
        <f t="shared" si="3"/>
        <v>3.9169349999999996</v>
      </c>
      <c r="S24" s="58">
        <f t="shared" si="3"/>
        <v>4.2916005000000004</v>
      </c>
      <c r="T24" s="58">
        <f t="shared" si="3"/>
        <v>4.3265970000000005</v>
      </c>
      <c r="U24" s="58">
        <f t="shared" si="3"/>
        <v>4.1320125000000001</v>
      </c>
      <c r="V24" s="58">
        <f t="shared" si="3"/>
        <v>4.0874129999999997</v>
      </c>
      <c r="W24" s="58">
        <f t="shared" si="3"/>
        <v>4.085928</v>
      </c>
    </row>
    <row r="25" spans="1:23" s="68" customFormat="1" ht="14.4">
      <c r="B25" s="68" t="s">
        <v>51</v>
      </c>
      <c r="C25" s="98">
        <f>SUM(C21:C24)</f>
        <v>24.02805</v>
      </c>
      <c r="D25" s="98">
        <f t="shared" ref="D25:I25" si="4">SUM(D21:D24)</f>
        <v>24.780499999999996</v>
      </c>
      <c r="E25" s="98">
        <f t="shared" si="4"/>
        <v>25.78285</v>
      </c>
      <c r="F25" s="98">
        <f t="shared" si="4"/>
        <v>25.886900000000001</v>
      </c>
      <c r="G25" s="98">
        <f t="shared" si="4"/>
        <v>25.234249999999999</v>
      </c>
      <c r="H25" s="98">
        <f t="shared" si="4"/>
        <v>25.100099999999998</v>
      </c>
      <c r="I25" s="98">
        <f t="shared" si="4"/>
        <v>25.085599999999999</v>
      </c>
      <c r="L25" s="20"/>
      <c r="M25" s="408"/>
      <c r="P25" s="99"/>
      <c r="Q25" s="97">
        <f t="shared" ref="Q25:W25" si="5">SUM(Q21:Q24)</f>
        <v>3.9662864999999998</v>
      </c>
      <c r="R25" s="97">
        <f t="shared" si="5"/>
        <v>3.9169349999999996</v>
      </c>
      <c r="S25" s="97">
        <f t="shared" si="5"/>
        <v>4.2916005000000004</v>
      </c>
      <c r="T25" s="97">
        <f t="shared" si="5"/>
        <v>4.3265970000000005</v>
      </c>
      <c r="U25" s="97">
        <f t="shared" si="5"/>
        <v>4.1320125000000001</v>
      </c>
      <c r="V25" s="97">
        <f t="shared" si="5"/>
        <v>4.0874129999999997</v>
      </c>
      <c r="W25" s="97">
        <f t="shared" si="5"/>
        <v>4.085928</v>
      </c>
    </row>
    <row r="26" spans="1:23" s="3" customFormat="1" ht="14.4">
      <c r="C26" s="12"/>
      <c r="D26" s="12"/>
      <c r="E26" s="12"/>
      <c r="F26" s="12"/>
      <c r="G26" s="12"/>
      <c r="H26" s="12"/>
      <c r="I26" s="12"/>
      <c r="L26" s="1"/>
      <c r="M26" s="149"/>
      <c r="P26" s="60"/>
      <c r="Q26" s="6"/>
      <c r="R26" s="6"/>
      <c r="S26" s="6"/>
      <c r="T26" s="6"/>
      <c r="U26" s="6"/>
      <c r="V26" s="6"/>
      <c r="W26" s="6"/>
    </row>
    <row r="27" spans="1:23" s="15" customFormat="1" ht="14.4">
      <c r="B27" s="15" t="s">
        <v>53</v>
      </c>
      <c r="C27" s="51"/>
      <c r="D27" s="51"/>
      <c r="E27" s="51"/>
      <c r="F27" s="51"/>
      <c r="G27" s="51"/>
      <c r="H27" s="51"/>
      <c r="I27" s="51"/>
      <c r="L27" s="14"/>
      <c r="M27" s="403"/>
      <c r="P27" s="15" t="s">
        <v>53</v>
      </c>
      <c r="Q27" s="272"/>
      <c r="R27" s="272"/>
      <c r="S27" s="272"/>
      <c r="T27" s="272"/>
      <c r="U27" s="272"/>
      <c r="V27" s="272"/>
      <c r="W27" s="272"/>
    </row>
    <row r="28" spans="1:23" s="20" customFormat="1" ht="14.4">
      <c r="A28" s="92" t="s">
        <v>554</v>
      </c>
      <c r="B28" s="92" t="s">
        <v>555</v>
      </c>
      <c r="C28" s="95">
        <v>3.121</v>
      </c>
      <c r="D28" s="95">
        <v>3.26</v>
      </c>
      <c r="E28" s="95">
        <v>2.8540000000000001</v>
      </c>
      <c r="F28" s="95">
        <v>2.762</v>
      </c>
      <c r="G28" s="95">
        <v>2.7480000000000002</v>
      </c>
      <c r="H28" s="95">
        <v>2.7890000000000001</v>
      </c>
      <c r="I28" s="95">
        <v>2.7890000000000001</v>
      </c>
      <c r="J28" s="92">
        <v>80</v>
      </c>
      <c r="K28" s="100" t="s">
        <v>556</v>
      </c>
      <c r="L28" s="92"/>
      <c r="M28" s="404" t="s">
        <v>740</v>
      </c>
      <c r="N28" s="93"/>
      <c r="O28" s="92" t="s">
        <v>33</v>
      </c>
      <c r="P28" s="170">
        <v>10</v>
      </c>
      <c r="Q28" s="58">
        <f t="shared" ref="Q28:W30" si="6">+$P28/100*C28</f>
        <v>0.31210000000000004</v>
      </c>
      <c r="R28" s="58">
        <f t="shared" si="6"/>
        <v>0.32600000000000001</v>
      </c>
      <c r="S28" s="58">
        <f t="shared" si="6"/>
        <v>0.28540000000000004</v>
      </c>
      <c r="T28" s="58">
        <f t="shared" si="6"/>
        <v>0.2762</v>
      </c>
      <c r="U28" s="58">
        <f t="shared" si="6"/>
        <v>0.27480000000000004</v>
      </c>
      <c r="V28" s="58">
        <f t="shared" si="6"/>
        <v>0.27890000000000004</v>
      </c>
      <c r="W28" s="58">
        <f t="shared" si="6"/>
        <v>0.27890000000000004</v>
      </c>
    </row>
    <row r="29" spans="1:23" s="20" customFormat="1" ht="14.4">
      <c r="A29" s="92" t="s">
        <v>554</v>
      </c>
      <c r="B29" s="92" t="s">
        <v>555</v>
      </c>
      <c r="C29" s="95">
        <v>0.223</v>
      </c>
      <c r="D29" s="95">
        <v>0.23300000000000001</v>
      </c>
      <c r="E29" s="95">
        <v>0.20399999999999999</v>
      </c>
      <c r="F29" s="95">
        <v>0.19700000000000001</v>
      </c>
      <c r="G29" s="95">
        <v>0.19600000000000001</v>
      </c>
      <c r="H29" s="95">
        <v>0.19900000000000001</v>
      </c>
      <c r="I29" s="95">
        <v>0.19900000000000001</v>
      </c>
      <c r="J29" s="92">
        <v>80</v>
      </c>
      <c r="K29" s="100" t="s">
        <v>556</v>
      </c>
      <c r="L29" s="92"/>
      <c r="M29" s="407" t="s">
        <v>56</v>
      </c>
      <c r="N29" s="92"/>
      <c r="O29" s="92" t="s">
        <v>33</v>
      </c>
      <c r="P29" s="170">
        <v>10</v>
      </c>
      <c r="Q29" s="58">
        <f t="shared" si="6"/>
        <v>2.23E-2</v>
      </c>
      <c r="R29" s="58">
        <f t="shared" si="6"/>
        <v>2.3300000000000001E-2</v>
      </c>
      <c r="S29" s="58">
        <f t="shared" si="6"/>
        <v>2.0400000000000001E-2</v>
      </c>
      <c r="T29" s="58">
        <f t="shared" si="6"/>
        <v>1.9700000000000002E-2</v>
      </c>
      <c r="U29" s="58">
        <f t="shared" si="6"/>
        <v>1.9600000000000003E-2</v>
      </c>
      <c r="V29" s="58">
        <f t="shared" si="6"/>
        <v>1.9900000000000001E-2</v>
      </c>
      <c r="W29" s="58">
        <f t="shared" si="6"/>
        <v>1.9900000000000001E-2</v>
      </c>
    </row>
    <row r="30" spans="1:23" s="20" customFormat="1" ht="14.4">
      <c r="A30" s="92" t="s">
        <v>554</v>
      </c>
      <c r="B30" s="92" t="s">
        <v>555</v>
      </c>
      <c r="C30" s="95">
        <v>7.8040000000000003</v>
      </c>
      <c r="D30" s="95">
        <v>8.15</v>
      </c>
      <c r="E30" s="95">
        <v>7.1360000000000001</v>
      </c>
      <c r="F30" s="95">
        <v>6.9050000000000002</v>
      </c>
      <c r="G30" s="95">
        <v>6.87</v>
      </c>
      <c r="H30" s="95">
        <v>6.9729999999999999</v>
      </c>
      <c r="I30" s="95">
        <v>6.9729999999999999</v>
      </c>
      <c r="J30" s="92">
        <v>80</v>
      </c>
      <c r="K30" s="100" t="s">
        <v>556</v>
      </c>
      <c r="L30" s="92"/>
      <c r="M30" s="404" t="s">
        <v>8</v>
      </c>
      <c r="N30" s="93"/>
      <c r="O30" s="92" t="s">
        <v>33</v>
      </c>
      <c r="P30" s="170">
        <v>10</v>
      </c>
      <c r="Q30" s="58">
        <f t="shared" si="6"/>
        <v>0.78040000000000009</v>
      </c>
      <c r="R30" s="58">
        <f t="shared" si="6"/>
        <v>0.81500000000000006</v>
      </c>
      <c r="S30" s="58">
        <f t="shared" si="6"/>
        <v>0.71360000000000001</v>
      </c>
      <c r="T30" s="58">
        <f t="shared" si="6"/>
        <v>0.69050000000000011</v>
      </c>
      <c r="U30" s="58">
        <f t="shared" si="6"/>
        <v>0.68700000000000006</v>
      </c>
      <c r="V30" s="58">
        <f t="shared" si="6"/>
        <v>0.69730000000000003</v>
      </c>
      <c r="W30" s="58">
        <f t="shared" si="6"/>
        <v>0.69730000000000003</v>
      </c>
    </row>
    <row r="31" spans="1:23" s="68" customFormat="1" ht="14.4">
      <c r="B31" s="68" t="s">
        <v>54</v>
      </c>
      <c r="C31" s="97">
        <f>SUM(C28:C30)</f>
        <v>11.148</v>
      </c>
      <c r="D31" s="97">
        <f t="shared" ref="D31:I31" si="7">SUM(D28:D30)</f>
        <v>11.643000000000001</v>
      </c>
      <c r="E31" s="97">
        <f t="shared" si="7"/>
        <v>10.194000000000001</v>
      </c>
      <c r="F31" s="97">
        <f t="shared" si="7"/>
        <v>9.8640000000000008</v>
      </c>
      <c r="G31" s="97">
        <f t="shared" si="7"/>
        <v>9.8140000000000001</v>
      </c>
      <c r="H31" s="97">
        <f t="shared" si="7"/>
        <v>9.9610000000000003</v>
      </c>
      <c r="I31" s="97">
        <f t="shared" si="7"/>
        <v>9.9610000000000003</v>
      </c>
      <c r="L31" s="20"/>
      <c r="M31" s="408"/>
      <c r="P31" s="170"/>
      <c r="Q31" s="97">
        <f>SUM(Q28:Q30)</f>
        <v>1.1148000000000002</v>
      </c>
      <c r="R31" s="97">
        <f t="shared" ref="R31:W31" si="8">SUM(R28:R30)</f>
        <v>1.1643000000000001</v>
      </c>
      <c r="S31" s="97">
        <f t="shared" si="8"/>
        <v>1.0194000000000001</v>
      </c>
      <c r="T31" s="97">
        <f t="shared" si="8"/>
        <v>0.98640000000000017</v>
      </c>
      <c r="U31" s="97">
        <f t="shared" si="8"/>
        <v>0.98140000000000005</v>
      </c>
      <c r="V31" s="97">
        <f t="shared" si="8"/>
        <v>0.9961000000000001</v>
      </c>
      <c r="W31" s="97">
        <f t="shared" si="8"/>
        <v>0.9961000000000001</v>
      </c>
    </row>
    <row r="32" spans="1:23" s="1" customFormat="1">
      <c r="C32" s="341"/>
      <c r="D32" s="131"/>
      <c r="E32" s="131"/>
      <c r="F32" s="131"/>
      <c r="G32" s="131"/>
      <c r="H32" s="131"/>
      <c r="I32" s="134"/>
      <c r="J32" s="50"/>
      <c r="M32" s="402"/>
      <c r="P32" s="59"/>
      <c r="Q32" s="57"/>
      <c r="R32" s="57"/>
      <c r="S32" s="57"/>
      <c r="T32" s="57"/>
      <c r="U32" s="57"/>
      <c r="V32" s="57"/>
      <c r="W32" s="57"/>
    </row>
    <row r="33" spans="1:24" s="1" customFormat="1" ht="14.4">
      <c r="A33" s="14"/>
      <c r="B33" s="15" t="s">
        <v>37</v>
      </c>
      <c r="C33" s="52"/>
      <c r="D33" s="52"/>
      <c r="E33" s="52"/>
      <c r="F33" s="52"/>
      <c r="G33" s="52"/>
      <c r="H33" s="52"/>
      <c r="I33" s="52"/>
      <c r="J33" s="14"/>
      <c r="K33" s="14"/>
      <c r="L33" s="14"/>
      <c r="M33" s="406"/>
      <c r="N33" s="14"/>
      <c r="O33" s="14"/>
      <c r="P33" s="15" t="s">
        <v>37</v>
      </c>
      <c r="Q33" s="183"/>
      <c r="R33" s="183"/>
      <c r="S33" s="183"/>
      <c r="T33" s="183"/>
      <c r="U33" s="183"/>
      <c r="V33" s="183"/>
      <c r="W33" s="183"/>
    </row>
    <row r="34" spans="1:24" s="20" customFormat="1">
      <c r="A34" s="102">
        <v>7</v>
      </c>
      <c r="B34" s="103" t="s">
        <v>455</v>
      </c>
      <c r="C34" s="105">
        <v>3369.7326211411487</v>
      </c>
      <c r="D34" s="105">
        <v>3713.2526460041736</v>
      </c>
      <c r="E34" s="105">
        <v>3766.1889580381708</v>
      </c>
      <c r="F34" s="105">
        <v>3827.6018104475697</v>
      </c>
      <c r="G34" s="105">
        <v>3870.4830338870297</v>
      </c>
      <c r="H34" s="105">
        <v>3926.1808279052734</v>
      </c>
      <c r="I34" s="105">
        <v>3940.6579549362473</v>
      </c>
      <c r="J34" s="125">
        <v>59.7</v>
      </c>
      <c r="K34" s="104" t="s">
        <v>330</v>
      </c>
      <c r="L34" s="103" t="s">
        <v>411</v>
      </c>
      <c r="M34" s="409" t="s">
        <v>56</v>
      </c>
      <c r="N34" s="104"/>
      <c r="O34" s="103" t="s">
        <v>32</v>
      </c>
      <c r="P34" s="61">
        <v>0</v>
      </c>
      <c r="Q34" s="108"/>
      <c r="R34" s="108"/>
      <c r="S34" s="108"/>
      <c r="T34" s="108"/>
      <c r="U34" s="108"/>
      <c r="V34" s="108"/>
      <c r="W34" s="108"/>
    </row>
    <row r="35" spans="1:24" s="20" customFormat="1">
      <c r="A35" s="102">
        <v>7</v>
      </c>
      <c r="B35" s="103" t="s">
        <v>69</v>
      </c>
      <c r="C35" s="105">
        <v>241.38506699999999</v>
      </c>
      <c r="D35" s="105">
        <v>249.737763</v>
      </c>
      <c r="E35" s="105">
        <v>239.19258000000002</v>
      </c>
      <c r="F35" s="105">
        <v>239.671718</v>
      </c>
      <c r="G35" s="105">
        <v>240.14415700000001</v>
      </c>
      <c r="H35" s="105">
        <v>240.61117300000001</v>
      </c>
      <c r="I35" s="105">
        <v>241.06511000000003</v>
      </c>
      <c r="J35" s="125">
        <v>31.9</v>
      </c>
      <c r="K35" s="104" t="s">
        <v>191</v>
      </c>
      <c r="L35" s="103" t="s">
        <v>90</v>
      </c>
      <c r="M35" s="409" t="s">
        <v>162</v>
      </c>
      <c r="N35" s="104"/>
      <c r="O35" s="103" t="s">
        <v>32</v>
      </c>
      <c r="P35" s="61">
        <v>0</v>
      </c>
      <c r="Q35" s="108"/>
      <c r="R35" s="108"/>
      <c r="S35" s="108"/>
      <c r="T35" s="108"/>
      <c r="U35" s="108"/>
      <c r="V35" s="108"/>
      <c r="W35" s="108"/>
    </row>
    <row r="36" spans="1:24" s="20" customFormat="1">
      <c r="A36" s="102">
        <v>6</v>
      </c>
      <c r="B36" s="103" t="s">
        <v>449</v>
      </c>
      <c r="C36" s="105">
        <v>89.975999999999999</v>
      </c>
      <c r="D36" s="105">
        <v>122.854</v>
      </c>
      <c r="E36" s="105">
        <v>177.85400000000001</v>
      </c>
      <c r="F36" s="105">
        <v>177.85300000000001</v>
      </c>
      <c r="G36" s="105">
        <v>177.85400000000001</v>
      </c>
      <c r="H36" s="105">
        <v>177.85400000000001</v>
      </c>
      <c r="I36" s="105">
        <v>177.85499999999999</v>
      </c>
      <c r="J36" s="103">
        <v>100</v>
      </c>
      <c r="K36" s="104" t="s">
        <v>330</v>
      </c>
      <c r="L36" s="103" t="s">
        <v>411</v>
      </c>
      <c r="M36" s="409" t="s">
        <v>837</v>
      </c>
      <c r="N36" s="104"/>
      <c r="O36" s="103" t="s">
        <v>32</v>
      </c>
      <c r="P36" s="61">
        <v>0</v>
      </c>
      <c r="Q36" s="108"/>
      <c r="R36" s="108"/>
      <c r="S36" s="108"/>
      <c r="T36" s="108"/>
      <c r="U36" s="108"/>
      <c r="V36" s="108"/>
      <c r="W36" s="108"/>
    </row>
    <row r="37" spans="1:24" s="20" customFormat="1">
      <c r="A37" s="102">
        <v>6</v>
      </c>
      <c r="B37" s="359" t="s">
        <v>324</v>
      </c>
      <c r="C37" s="105">
        <v>63.075000000000003</v>
      </c>
      <c r="D37" s="105">
        <v>60.542000000000002</v>
      </c>
      <c r="E37" s="105">
        <v>57.076000000000001</v>
      </c>
      <c r="F37" s="105">
        <v>57.076000000000001</v>
      </c>
      <c r="G37" s="105">
        <v>55.01</v>
      </c>
      <c r="H37" s="105">
        <v>55.01</v>
      </c>
      <c r="I37" s="105">
        <v>55.01</v>
      </c>
      <c r="J37" s="103">
        <v>100</v>
      </c>
      <c r="K37" s="104" t="s">
        <v>330</v>
      </c>
      <c r="L37" s="103" t="s">
        <v>411</v>
      </c>
      <c r="M37" s="409" t="s">
        <v>837</v>
      </c>
      <c r="N37" s="104"/>
      <c r="O37" s="103" t="s">
        <v>33</v>
      </c>
      <c r="P37" s="351">
        <f>Q37/C37</f>
        <v>0.30757035275465711</v>
      </c>
      <c r="Q37" s="58">
        <v>19.399999999999999</v>
      </c>
      <c r="R37" s="58">
        <f>$Q37</f>
        <v>19.399999999999999</v>
      </c>
      <c r="S37" s="58">
        <f t="shared" ref="S37:W37" si="9">$Q37</f>
        <v>19.399999999999999</v>
      </c>
      <c r="T37" s="58">
        <f t="shared" si="9"/>
        <v>19.399999999999999</v>
      </c>
      <c r="U37" s="58">
        <f t="shared" si="9"/>
        <v>19.399999999999999</v>
      </c>
      <c r="V37" s="58">
        <f t="shared" si="9"/>
        <v>19.399999999999999</v>
      </c>
      <c r="W37" s="58">
        <f t="shared" si="9"/>
        <v>19.399999999999999</v>
      </c>
    </row>
    <row r="38" spans="1:24" s="20" customFormat="1" ht="27.6">
      <c r="A38" s="102">
        <v>6</v>
      </c>
      <c r="B38" s="359" t="s">
        <v>890</v>
      </c>
      <c r="C38" s="105"/>
      <c r="D38" s="105">
        <v>40</v>
      </c>
      <c r="E38" s="105">
        <v>127</v>
      </c>
      <c r="F38" s="105"/>
      <c r="G38" s="105"/>
      <c r="H38" s="105"/>
      <c r="I38" s="105"/>
      <c r="J38" s="103">
        <v>100</v>
      </c>
      <c r="K38" s="104">
        <v>9</v>
      </c>
      <c r="L38" s="103" t="s">
        <v>92</v>
      </c>
      <c r="M38" s="409" t="s">
        <v>837</v>
      </c>
      <c r="N38" s="104"/>
      <c r="O38" s="103" t="s">
        <v>33</v>
      </c>
      <c r="P38" s="61"/>
      <c r="Q38" s="108"/>
      <c r="R38" s="108"/>
      <c r="S38" s="108"/>
      <c r="T38" s="108"/>
      <c r="U38" s="108"/>
      <c r="V38" s="108"/>
      <c r="W38" s="108"/>
    </row>
    <row r="39" spans="1:24" s="20" customFormat="1">
      <c r="A39" s="102">
        <v>6</v>
      </c>
      <c r="B39" s="359" t="s">
        <v>754</v>
      </c>
      <c r="C39" s="105"/>
      <c r="D39" s="105">
        <v>10</v>
      </c>
      <c r="E39" s="105">
        <v>45</v>
      </c>
      <c r="F39" s="105">
        <v>45</v>
      </c>
      <c r="G39" s="105">
        <v>40</v>
      </c>
      <c r="H39" s="105"/>
      <c r="I39" s="105"/>
      <c r="J39" s="103">
        <v>100</v>
      </c>
      <c r="K39" s="104">
        <v>9</v>
      </c>
      <c r="L39" s="103" t="s">
        <v>92</v>
      </c>
      <c r="M39" s="409" t="s">
        <v>837</v>
      </c>
      <c r="N39" s="104"/>
      <c r="O39" s="103" t="s">
        <v>33</v>
      </c>
      <c r="P39" s="61"/>
      <c r="Q39" s="108"/>
      <c r="R39" s="108"/>
      <c r="S39" s="108"/>
      <c r="T39" s="108"/>
      <c r="U39" s="108"/>
      <c r="V39" s="108"/>
      <c r="W39" s="108"/>
    </row>
    <row r="40" spans="1:24" s="20" customFormat="1">
      <c r="A40" s="102">
        <v>7</v>
      </c>
      <c r="B40" s="103" t="s">
        <v>70</v>
      </c>
      <c r="C40" s="223">
        <v>2.09775</v>
      </c>
      <c r="D40" s="223">
        <v>1.9241999999999999</v>
      </c>
      <c r="E40" s="223">
        <v>1.6669499999999999</v>
      </c>
      <c r="F40" s="223">
        <v>1.5291000000000001</v>
      </c>
      <c r="G40" s="223">
        <v>1.5291000000000001</v>
      </c>
      <c r="H40" s="223">
        <v>1.5291000000000001</v>
      </c>
      <c r="I40" s="223">
        <v>1.5291000000000001</v>
      </c>
      <c r="J40" s="103">
        <v>15</v>
      </c>
      <c r="K40" s="104">
        <v>11</v>
      </c>
      <c r="L40" s="92" t="s">
        <v>48</v>
      </c>
      <c r="M40" s="409" t="s">
        <v>4</v>
      </c>
      <c r="N40" s="103"/>
      <c r="O40" s="103" t="s">
        <v>32</v>
      </c>
      <c r="P40" s="61"/>
      <c r="Q40" s="108"/>
      <c r="R40" s="108"/>
      <c r="S40" s="108"/>
      <c r="T40" s="108"/>
      <c r="U40" s="108"/>
      <c r="V40" s="108"/>
      <c r="W40" s="108"/>
    </row>
    <row r="41" spans="1:24" s="20" customFormat="1">
      <c r="A41" s="102">
        <v>7</v>
      </c>
      <c r="B41" s="103" t="s">
        <v>71</v>
      </c>
      <c r="C41" s="223">
        <v>0.77400000000000002</v>
      </c>
      <c r="D41" s="223">
        <v>0.7995000000000001</v>
      </c>
      <c r="E41" s="223">
        <v>0.7995000000000001</v>
      </c>
      <c r="F41" s="223">
        <v>0.7995000000000001</v>
      </c>
      <c r="G41" s="223">
        <v>0.7995000000000001</v>
      </c>
      <c r="H41" s="223">
        <v>0.7995000000000001</v>
      </c>
      <c r="I41" s="223">
        <v>0.7995000000000001</v>
      </c>
      <c r="J41" s="103">
        <v>75</v>
      </c>
      <c r="K41" s="104" t="s">
        <v>72</v>
      </c>
      <c r="L41" s="92" t="s">
        <v>73</v>
      </c>
      <c r="M41" s="409" t="s">
        <v>4</v>
      </c>
      <c r="N41" s="103"/>
      <c r="O41" s="103" t="s">
        <v>32</v>
      </c>
      <c r="P41" s="154"/>
      <c r="Q41" s="108"/>
      <c r="R41" s="108"/>
      <c r="S41" s="108"/>
      <c r="T41" s="108"/>
      <c r="U41" s="108"/>
      <c r="V41" s="108"/>
      <c r="W41" s="108"/>
    </row>
    <row r="42" spans="1:24" s="20" customFormat="1">
      <c r="A42" s="102">
        <v>16</v>
      </c>
      <c r="B42" s="103" t="s">
        <v>74</v>
      </c>
      <c r="C42" s="105">
        <v>73.454773000000003</v>
      </c>
      <c r="D42" s="105">
        <v>74.942322000000004</v>
      </c>
      <c r="E42" s="105">
        <v>73.288916999999998</v>
      </c>
      <c r="F42" s="105">
        <v>73.238923999999997</v>
      </c>
      <c r="G42" s="105">
        <v>72.790949999999995</v>
      </c>
      <c r="H42" s="105">
        <v>72.563063999999997</v>
      </c>
      <c r="I42" s="105">
        <v>72.870597000000004</v>
      </c>
      <c r="J42" s="103">
        <v>75</v>
      </c>
      <c r="K42" s="104">
        <v>13</v>
      </c>
      <c r="L42" s="92" t="s">
        <v>94</v>
      </c>
      <c r="M42" s="409" t="s">
        <v>74</v>
      </c>
      <c r="N42" s="103"/>
      <c r="O42" s="103" t="s">
        <v>32</v>
      </c>
      <c r="P42" s="351">
        <f>Q42/C42</f>
        <v>0.19059346899077612</v>
      </c>
      <c r="Q42" s="58">
        <v>14</v>
      </c>
      <c r="R42" s="58">
        <v>14</v>
      </c>
      <c r="S42" s="58">
        <v>14</v>
      </c>
      <c r="T42" s="58">
        <v>14</v>
      </c>
      <c r="U42" s="58">
        <v>14</v>
      </c>
      <c r="V42" s="58">
        <v>14</v>
      </c>
      <c r="W42" s="58">
        <v>14</v>
      </c>
    </row>
    <row r="43" spans="1:24" s="20" customFormat="1">
      <c r="A43" s="102">
        <v>16</v>
      </c>
      <c r="B43" s="103" t="s">
        <v>17</v>
      </c>
      <c r="C43" s="105">
        <v>447.50024675314137</v>
      </c>
      <c r="D43" s="105">
        <v>457.19351012412682</v>
      </c>
      <c r="E43" s="105">
        <v>479.76692496303536</v>
      </c>
      <c r="F43" s="105">
        <v>478.65020617899671</v>
      </c>
      <c r="G43" s="105">
        <v>479.51615935563416</v>
      </c>
      <c r="H43" s="105">
        <v>478.10898544359827</v>
      </c>
      <c r="I43" s="105">
        <v>477.9069297023828</v>
      </c>
      <c r="J43" s="125">
        <v>90.203455899734394</v>
      </c>
      <c r="K43" s="104">
        <v>13</v>
      </c>
      <c r="L43" s="92" t="s">
        <v>94</v>
      </c>
      <c r="M43" s="409" t="s">
        <v>17</v>
      </c>
      <c r="N43" s="103"/>
      <c r="O43" s="103" t="s">
        <v>214</v>
      </c>
      <c r="P43" s="351">
        <f>Q43/C43</f>
        <v>0.6145248008135753</v>
      </c>
      <c r="Q43" s="58">
        <v>275</v>
      </c>
      <c r="R43" s="58">
        <v>275</v>
      </c>
      <c r="S43" s="58">
        <v>275</v>
      </c>
      <c r="T43" s="58">
        <v>275</v>
      </c>
      <c r="U43" s="58">
        <v>275</v>
      </c>
      <c r="V43" s="58">
        <v>275</v>
      </c>
      <c r="W43" s="58">
        <v>275</v>
      </c>
      <c r="X43" s="7"/>
    </row>
    <row r="44" spans="1:24" s="20" customFormat="1">
      <c r="A44" s="102">
        <v>16</v>
      </c>
      <c r="B44" s="103" t="s">
        <v>475</v>
      </c>
      <c r="C44" s="105">
        <v>142.40299999999999</v>
      </c>
      <c r="D44" s="105">
        <v>133.364</v>
      </c>
      <c r="E44" s="105">
        <v>133.41399999999999</v>
      </c>
      <c r="F44" s="105">
        <v>130.81399999999999</v>
      </c>
      <c r="G44" s="105">
        <v>130.28800000000001</v>
      </c>
      <c r="H44" s="105">
        <v>130.095</v>
      </c>
      <c r="I44" s="105">
        <v>130</v>
      </c>
      <c r="J44" s="125">
        <v>100</v>
      </c>
      <c r="K44" s="104">
        <v>13</v>
      </c>
      <c r="L44" s="92" t="s">
        <v>94</v>
      </c>
      <c r="M44" s="409" t="s">
        <v>17</v>
      </c>
      <c r="N44" s="103"/>
      <c r="O44" s="103" t="s">
        <v>33</v>
      </c>
      <c r="P44" s="326"/>
      <c r="Q44" s="58"/>
      <c r="R44" s="58"/>
      <c r="S44" s="58"/>
      <c r="T44" s="58"/>
      <c r="U44" s="58"/>
      <c r="V44" s="58"/>
      <c r="W44" s="58"/>
      <c r="X44" s="7"/>
    </row>
    <row r="45" spans="1:24" s="20" customFormat="1">
      <c r="A45" s="102">
        <v>16</v>
      </c>
      <c r="B45" s="103" t="s">
        <v>383</v>
      </c>
      <c r="C45" s="105">
        <v>5.095600000000001</v>
      </c>
      <c r="D45" s="105">
        <v>5.2631000000000006</v>
      </c>
      <c r="E45" s="105">
        <v>5.4272</v>
      </c>
      <c r="F45" s="105">
        <v>5.4870000000000001</v>
      </c>
      <c r="G45" s="105">
        <v>5.6075000000000008</v>
      </c>
      <c r="H45" s="105">
        <v>5.6108000000000002</v>
      </c>
      <c r="I45" s="105">
        <v>5.6568000000000005</v>
      </c>
      <c r="J45" s="103">
        <v>10</v>
      </c>
      <c r="K45" s="104">
        <v>10</v>
      </c>
      <c r="L45" s="92" t="s">
        <v>55</v>
      </c>
      <c r="M45" s="409" t="s">
        <v>6</v>
      </c>
      <c r="N45" s="103"/>
      <c r="O45" s="103" t="s">
        <v>32</v>
      </c>
      <c r="P45" s="154"/>
      <c r="Q45" s="58"/>
      <c r="R45" s="108"/>
      <c r="S45" s="108"/>
      <c r="T45" s="108"/>
      <c r="U45" s="108"/>
      <c r="V45" s="108"/>
      <c r="W45" s="108"/>
    </row>
    <row r="46" spans="1:24" s="20" customFormat="1">
      <c r="A46" s="102">
        <v>16</v>
      </c>
      <c r="B46" s="103" t="s">
        <v>331</v>
      </c>
      <c r="C46" s="224">
        <v>169.56100000000001</v>
      </c>
      <c r="D46" s="224">
        <v>165.88499999999999</v>
      </c>
      <c r="E46" s="224">
        <v>165.88499999999999</v>
      </c>
      <c r="F46" s="224">
        <v>165.88499999999999</v>
      </c>
      <c r="G46" s="224">
        <v>165.88499999999999</v>
      </c>
      <c r="H46" s="224">
        <v>165.88499999999999</v>
      </c>
      <c r="I46" s="224">
        <v>165.88499999999999</v>
      </c>
      <c r="J46" s="103">
        <v>100</v>
      </c>
      <c r="K46" s="104">
        <v>13</v>
      </c>
      <c r="L46" s="92" t="s">
        <v>94</v>
      </c>
      <c r="M46" s="409" t="s">
        <v>17</v>
      </c>
      <c r="N46" s="103"/>
      <c r="O46" s="103" t="s">
        <v>33</v>
      </c>
      <c r="P46" s="154"/>
      <c r="Q46" s="58"/>
      <c r="R46" s="108"/>
      <c r="S46" s="108"/>
      <c r="T46" s="108"/>
      <c r="U46" s="108"/>
      <c r="V46" s="108"/>
      <c r="W46" s="108"/>
    </row>
    <row r="47" spans="1:24" s="20" customFormat="1">
      <c r="A47" s="102">
        <v>16</v>
      </c>
      <c r="B47" s="103" t="s">
        <v>215</v>
      </c>
      <c r="C47" s="224">
        <v>8.1769999999999996</v>
      </c>
      <c r="D47" s="224">
        <v>8</v>
      </c>
      <c r="E47" s="224">
        <v>8</v>
      </c>
      <c r="F47" s="224">
        <v>8</v>
      </c>
      <c r="G47" s="224">
        <v>8</v>
      </c>
      <c r="H47" s="224">
        <v>8</v>
      </c>
      <c r="I47" s="224">
        <v>8</v>
      </c>
      <c r="J47" s="103">
        <v>100</v>
      </c>
      <c r="K47" s="104" t="s">
        <v>87</v>
      </c>
      <c r="L47" s="92" t="s">
        <v>88</v>
      </c>
      <c r="M47" s="409" t="s">
        <v>93</v>
      </c>
      <c r="N47" s="103"/>
      <c r="O47" s="103" t="s">
        <v>33</v>
      </c>
      <c r="P47" s="61"/>
      <c r="Q47" s="58"/>
      <c r="R47" s="58"/>
      <c r="S47" s="58"/>
      <c r="T47" s="58"/>
      <c r="U47" s="58"/>
      <c r="V47" s="58"/>
      <c r="W47" s="58"/>
    </row>
    <row r="48" spans="1:24" s="20" customFormat="1">
      <c r="A48" s="102">
        <v>16</v>
      </c>
      <c r="B48" s="103" t="s">
        <v>216</v>
      </c>
      <c r="C48" s="224">
        <v>56.607999999999997</v>
      </c>
      <c r="D48" s="224">
        <v>55.38</v>
      </c>
      <c r="E48" s="224">
        <v>55.38</v>
      </c>
      <c r="F48" s="224">
        <v>55.38</v>
      </c>
      <c r="G48" s="224">
        <v>55.38</v>
      </c>
      <c r="H48" s="224">
        <v>55.38</v>
      </c>
      <c r="I48" s="224">
        <v>55.38</v>
      </c>
      <c r="J48" s="103">
        <v>100</v>
      </c>
      <c r="K48" s="104">
        <v>13</v>
      </c>
      <c r="L48" s="92" t="s">
        <v>94</v>
      </c>
      <c r="M48" s="409" t="s">
        <v>17</v>
      </c>
      <c r="N48" s="103"/>
      <c r="O48" s="103" t="s">
        <v>33</v>
      </c>
      <c r="P48" s="154"/>
      <c r="Q48" s="155"/>
      <c r="R48" s="108"/>
      <c r="S48" s="108"/>
      <c r="T48" s="108"/>
      <c r="U48" s="108"/>
      <c r="V48" s="108"/>
      <c r="W48" s="108"/>
    </row>
    <row r="49" spans="1:23" s="20" customFormat="1">
      <c r="A49" s="102">
        <v>16</v>
      </c>
      <c r="B49" s="103" t="s">
        <v>217</v>
      </c>
      <c r="C49" s="224">
        <v>41.7</v>
      </c>
      <c r="D49" s="224">
        <v>60.542000000000002</v>
      </c>
      <c r="E49" s="224">
        <v>57.076000000000001</v>
      </c>
      <c r="F49" s="224">
        <v>57.076000000000001</v>
      </c>
      <c r="G49" s="224">
        <v>55.01</v>
      </c>
      <c r="H49" s="224">
        <v>55.01</v>
      </c>
      <c r="I49" s="224">
        <v>55.01</v>
      </c>
      <c r="J49" s="103">
        <v>100</v>
      </c>
      <c r="K49" s="104">
        <v>9</v>
      </c>
      <c r="L49" s="92" t="s">
        <v>92</v>
      </c>
      <c r="M49" s="409" t="s">
        <v>17</v>
      </c>
      <c r="N49" s="103"/>
      <c r="O49" s="103" t="s">
        <v>33</v>
      </c>
      <c r="P49" s="155"/>
      <c r="Q49" s="108"/>
      <c r="R49" s="108"/>
      <c r="S49" s="108"/>
      <c r="T49" s="108"/>
      <c r="U49" s="108"/>
      <c r="V49" s="108"/>
      <c r="W49" s="108"/>
    </row>
    <row r="50" spans="1:23" s="20" customFormat="1">
      <c r="A50" s="102">
        <v>16</v>
      </c>
      <c r="B50" s="103" t="s">
        <v>327</v>
      </c>
      <c r="C50" s="105">
        <v>6.2935800000000004</v>
      </c>
      <c r="D50" s="105">
        <v>6.5467500000000003</v>
      </c>
      <c r="E50" s="105">
        <v>6.5154300000000003</v>
      </c>
      <c r="F50" s="105">
        <v>6.5154300000000003</v>
      </c>
      <c r="G50" s="105">
        <v>6.5154300000000003</v>
      </c>
      <c r="H50" s="105">
        <v>6.5154300000000003</v>
      </c>
      <c r="I50" s="105">
        <v>6.5154300000000003</v>
      </c>
      <c r="J50" s="103">
        <v>87</v>
      </c>
      <c r="K50" s="104" t="s">
        <v>75</v>
      </c>
      <c r="L50" s="92" t="s">
        <v>76</v>
      </c>
      <c r="M50" s="409" t="s">
        <v>77</v>
      </c>
      <c r="N50" s="103"/>
      <c r="O50" s="103" t="s">
        <v>32</v>
      </c>
      <c r="P50" s="154"/>
      <c r="Q50" s="108"/>
      <c r="R50" s="108"/>
      <c r="S50" s="108"/>
      <c r="T50" s="108"/>
      <c r="U50" s="108"/>
      <c r="V50" s="108"/>
      <c r="W50" s="108"/>
    </row>
    <row r="51" spans="1:23" s="20" customFormat="1">
      <c r="A51" s="102">
        <v>16</v>
      </c>
      <c r="B51" s="103" t="s">
        <v>84</v>
      </c>
      <c r="C51" s="105">
        <v>10.70454</v>
      </c>
      <c r="D51" s="105">
        <v>11.122999999999999</v>
      </c>
      <c r="E51" s="105">
        <v>11.0838</v>
      </c>
      <c r="F51" s="105">
        <v>11.0838</v>
      </c>
      <c r="G51" s="105">
        <v>11.0838</v>
      </c>
      <c r="H51" s="105">
        <v>11.0838</v>
      </c>
      <c r="I51" s="105">
        <v>11.0838</v>
      </c>
      <c r="J51" s="103">
        <v>98</v>
      </c>
      <c r="K51" s="104">
        <v>7</v>
      </c>
      <c r="L51" s="92" t="s">
        <v>85</v>
      </c>
      <c r="M51" s="409" t="s">
        <v>4</v>
      </c>
      <c r="N51" s="103"/>
      <c r="O51" s="103" t="s">
        <v>32</v>
      </c>
      <c r="P51" s="154"/>
      <c r="Q51" s="108"/>
      <c r="R51" s="108"/>
      <c r="S51" s="108"/>
      <c r="T51" s="108"/>
      <c r="U51" s="108"/>
      <c r="V51" s="108"/>
      <c r="W51" s="108"/>
    </row>
    <row r="52" spans="1:23" s="20" customFormat="1">
      <c r="A52" s="102">
        <v>16</v>
      </c>
      <c r="B52" s="103" t="s">
        <v>86</v>
      </c>
      <c r="C52" s="105">
        <v>0.23100000000000001</v>
      </c>
      <c r="D52" s="105">
        <v>0.23899999999999999</v>
      </c>
      <c r="E52" s="105">
        <v>0.23899999999999999</v>
      </c>
      <c r="F52" s="105">
        <v>0.23899999999999999</v>
      </c>
      <c r="G52" s="105">
        <v>0.23899999999999999</v>
      </c>
      <c r="H52" s="105">
        <v>0.23899999999999999</v>
      </c>
      <c r="I52" s="105">
        <v>0.23899999999999999</v>
      </c>
      <c r="J52" s="103">
        <v>100</v>
      </c>
      <c r="K52" s="104" t="s">
        <v>87</v>
      </c>
      <c r="L52" s="92" t="s">
        <v>88</v>
      </c>
      <c r="M52" s="409" t="s">
        <v>4</v>
      </c>
      <c r="N52" s="103"/>
      <c r="O52" s="103" t="s">
        <v>32</v>
      </c>
      <c r="P52" s="154"/>
      <c r="Q52" s="108"/>
      <c r="R52" s="108"/>
      <c r="S52" s="108"/>
      <c r="T52" s="108"/>
      <c r="U52" s="108"/>
      <c r="V52" s="108"/>
      <c r="W52" s="108"/>
    </row>
    <row r="53" spans="1:23" s="20" customFormat="1">
      <c r="A53" s="102">
        <v>16</v>
      </c>
      <c r="B53" s="103" t="s">
        <v>329</v>
      </c>
      <c r="C53" s="105">
        <v>2.5550000000000002</v>
      </c>
      <c r="D53" s="105">
        <v>2.5</v>
      </c>
      <c r="E53" s="105">
        <v>2.5</v>
      </c>
      <c r="F53" s="105">
        <v>2.5</v>
      </c>
      <c r="G53" s="105">
        <v>2.5</v>
      </c>
      <c r="H53" s="105">
        <v>2.5</v>
      </c>
      <c r="I53" s="105">
        <v>2.5</v>
      </c>
      <c r="J53" s="103">
        <v>100</v>
      </c>
      <c r="K53" s="104">
        <v>1</v>
      </c>
      <c r="L53" s="92" t="s">
        <v>95</v>
      </c>
      <c r="M53" s="409" t="s">
        <v>17</v>
      </c>
      <c r="N53" s="103"/>
      <c r="O53" s="103" t="s">
        <v>33</v>
      </c>
      <c r="P53" s="154"/>
      <c r="Q53" s="108"/>
      <c r="R53" s="108"/>
      <c r="S53" s="108"/>
      <c r="T53" s="108"/>
      <c r="U53" s="108"/>
      <c r="V53" s="108"/>
      <c r="W53" s="108"/>
    </row>
    <row r="54" spans="1:23" s="20" customFormat="1">
      <c r="A54" s="102">
        <v>16</v>
      </c>
      <c r="B54" s="103" t="s">
        <v>89</v>
      </c>
      <c r="C54" s="105">
        <v>3.2170000000000001</v>
      </c>
      <c r="D54" s="105">
        <v>3.1469999999999998</v>
      </c>
      <c r="E54" s="105">
        <v>3.1469999999999998</v>
      </c>
      <c r="F54" s="105">
        <v>1.5</v>
      </c>
      <c r="G54" s="105">
        <v>1.5</v>
      </c>
      <c r="H54" s="105">
        <v>1.5</v>
      </c>
      <c r="I54" s="105">
        <v>1.5</v>
      </c>
      <c r="J54" s="103">
        <v>100</v>
      </c>
      <c r="K54" s="104" t="s">
        <v>75</v>
      </c>
      <c r="L54" s="92" t="s">
        <v>76</v>
      </c>
      <c r="M54" s="409" t="s">
        <v>17</v>
      </c>
      <c r="N54" s="103"/>
      <c r="O54" s="103" t="s">
        <v>33</v>
      </c>
      <c r="P54" s="154"/>
      <c r="Q54" s="108"/>
      <c r="R54" s="108"/>
      <c r="S54" s="108"/>
      <c r="T54" s="108"/>
      <c r="U54" s="108"/>
      <c r="V54" s="108"/>
      <c r="W54" s="108"/>
    </row>
    <row r="55" spans="1:23" s="20" customFormat="1">
      <c r="A55" s="102">
        <v>16</v>
      </c>
      <c r="B55" s="103" t="s">
        <v>96</v>
      </c>
      <c r="C55" s="105">
        <v>0.371</v>
      </c>
      <c r="D55" s="105">
        <v>2.0345</v>
      </c>
      <c r="E55" s="105">
        <v>2.4990000000000001</v>
      </c>
      <c r="F55" s="105">
        <v>2.4849999999999999</v>
      </c>
      <c r="G55" s="105">
        <v>2.4474999999999998</v>
      </c>
      <c r="H55" s="105">
        <v>2.6934999999999998</v>
      </c>
      <c r="I55" s="105">
        <v>2.7749999999999999</v>
      </c>
      <c r="J55" s="103">
        <v>50</v>
      </c>
      <c r="K55" s="104">
        <v>13</v>
      </c>
      <c r="L55" s="92" t="s">
        <v>94</v>
      </c>
      <c r="M55" s="409" t="s">
        <v>33</v>
      </c>
      <c r="N55" s="103"/>
      <c r="O55" s="103" t="s">
        <v>33</v>
      </c>
      <c r="P55" s="154"/>
      <c r="Q55" s="108"/>
      <c r="R55" s="108"/>
      <c r="S55" s="108"/>
      <c r="T55" s="108"/>
      <c r="U55" s="108"/>
      <c r="V55" s="108"/>
      <c r="W55" s="108"/>
    </row>
    <row r="56" spans="1:23" s="20" customFormat="1">
      <c r="A56" s="102">
        <v>16</v>
      </c>
      <c r="B56" s="103" t="s">
        <v>78</v>
      </c>
      <c r="C56" s="105">
        <v>1.333</v>
      </c>
      <c r="D56" s="105">
        <v>1.3160000000000001</v>
      </c>
      <c r="E56" s="105">
        <v>1.3169999999999999</v>
      </c>
      <c r="F56" s="105">
        <v>1.397</v>
      </c>
      <c r="G56" s="105">
        <v>0.998</v>
      </c>
      <c r="H56" s="105">
        <v>0.998</v>
      </c>
      <c r="I56" s="105">
        <v>0.998</v>
      </c>
      <c r="J56" s="103">
        <v>100</v>
      </c>
      <c r="K56" s="104" t="s">
        <v>75</v>
      </c>
      <c r="L56" s="92" t="s">
        <v>76</v>
      </c>
      <c r="M56" s="409" t="s">
        <v>7</v>
      </c>
      <c r="N56" s="103"/>
      <c r="O56" s="103" t="s">
        <v>32</v>
      </c>
      <c r="P56" s="61"/>
      <c r="Q56" s="58"/>
      <c r="R56" s="58"/>
      <c r="S56" s="58"/>
      <c r="T56" s="58"/>
      <c r="U56" s="58"/>
      <c r="V56" s="58"/>
      <c r="W56" s="58"/>
    </row>
    <row r="57" spans="1:23" s="20" customFormat="1">
      <c r="A57" s="102">
        <v>16</v>
      </c>
      <c r="B57" s="103" t="s">
        <v>79</v>
      </c>
      <c r="C57" s="105">
        <v>5.3109999999999999</v>
      </c>
      <c r="D57" s="105">
        <v>5.7469999999999999</v>
      </c>
      <c r="E57" s="105">
        <v>6.1470000000000002</v>
      </c>
      <c r="F57" s="105">
        <v>6.5469999999999997</v>
      </c>
      <c r="G57" s="105">
        <v>7.1470000000000002</v>
      </c>
      <c r="H57" s="105">
        <v>7.7469999999999999</v>
      </c>
      <c r="I57" s="105">
        <v>7.7469999999999999</v>
      </c>
      <c r="J57" s="103">
        <v>100</v>
      </c>
      <c r="K57" s="104" t="s">
        <v>75</v>
      </c>
      <c r="L57" s="92" t="s">
        <v>76</v>
      </c>
      <c r="M57" s="409" t="s">
        <v>7</v>
      </c>
      <c r="N57" s="103"/>
      <c r="O57" s="103" t="s">
        <v>32</v>
      </c>
      <c r="P57" s="154"/>
      <c r="Q57" s="108"/>
      <c r="R57" s="108"/>
      <c r="S57" s="108"/>
      <c r="T57" s="108"/>
      <c r="U57" s="108"/>
      <c r="V57" s="108"/>
      <c r="W57" s="108"/>
    </row>
    <row r="58" spans="1:23" s="20" customFormat="1">
      <c r="A58" s="102">
        <v>16</v>
      </c>
      <c r="B58" s="103" t="s">
        <v>80</v>
      </c>
      <c r="C58" s="105">
        <v>33.387</v>
      </c>
      <c r="D58" s="105">
        <v>34.752000000000002</v>
      </c>
      <c r="E58" s="105">
        <v>34.752000000000002</v>
      </c>
      <c r="F58" s="105">
        <v>34.752000000000002</v>
      </c>
      <c r="G58" s="105">
        <v>34.752000000000002</v>
      </c>
      <c r="H58" s="105">
        <v>34.752000000000002</v>
      </c>
      <c r="I58" s="105">
        <v>34.752000000000002</v>
      </c>
      <c r="J58" s="103">
        <v>100</v>
      </c>
      <c r="K58" s="104">
        <v>3</v>
      </c>
      <c r="L58" s="92" t="s">
        <v>81</v>
      </c>
      <c r="M58" s="409" t="s">
        <v>7</v>
      </c>
      <c r="N58" s="103"/>
      <c r="O58" s="103" t="s">
        <v>33</v>
      </c>
      <c r="P58" s="154"/>
      <c r="Q58" s="108"/>
      <c r="R58" s="108"/>
      <c r="S58" s="108"/>
      <c r="T58" s="108"/>
      <c r="U58" s="108"/>
      <c r="V58" s="108"/>
      <c r="W58" s="108"/>
    </row>
    <row r="59" spans="1:23" s="20" customFormat="1">
      <c r="A59" s="102">
        <v>16</v>
      </c>
      <c r="B59" s="103" t="s">
        <v>82</v>
      </c>
      <c r="C59" s="105">
        <v>50.417999999999999</v>
      </c>
      <c r="D59" s="105">
        <v>55.918999999999997</v>
      </c>
      <c r="E59" s="105">
        <v>55.642000000000003</v>
      </c>
      <c r="F59" s="105">
        <v>55.595999999999997</v>
      </c>
      <c r="G59" s="105">
        <v>55.595999999999997</v>
      </c>
      <c r="H59" s="105">
        <v>55.595999999999997</v>
      </c>
      <c r="I59" s="105">
        <v>55.595999999999997</v>
      </c>
      <c r="J59" s="103">
        <v>100</v>
      </c>
      <c r="K59" s="104" t="s">
        <v>75</v>
      </c>
      <c r="L59" s="92" t="s">
        <v>76</v>
      </c>
      <c r="M59" s="409" t="s">
        <v>7</v>
      </c>
      <c r="N59" s="103"/>
      <c r="O59" s="103" t="s">
        <v>32</v>
      </c>
      <c r="P59" s="154"/>
      <c r="Q59" s="108"/>
      <c r="R59" s="108"/>
      <c r="S59" s="108"/>
      <c r="T59" s="108"/>
      <c r="U59" s="108"/>
      <c r="V59" s="108"/>
      <c r="W59" s="108"/>
    </row>
    <row r="60" spans="1:23" s="20" customFormat="1">
      <c r="A60" s="102">
        <v>16</v>
      </c>
      <c r="B60" s="103" t="s">
        <v>83</v>
      </c>
      <c r="C60" s="105">
        <v>9.6210000000000004</v>
      </c>
      <c r="D60" s="105">
        <v>16.518000000000001</v>
      </c>
      <c r="E60" s="105">
        <v>10.025</v>
      </c>
      <c r="F60" s="105">
        <v>10.025</v>
      </c>
      <c r="G60" s="105">
        <v>10.509</v>
      </c>
      <c r="H60" s="105">
        <v>10.509</v>
      </c>
      <c r="I60" s="105">
        <v>10.509</v>
      </c>
      <c r="J60" s="103">
        <v>100</v>
      </c>
      <c r="K60" s="104" t="s">
        <v>75</v>
      </c>
      <c r="L60" s="92" t="s">
        <v>76</v>
      </c>
      <c r="M60" s="409" t="s">
        <v>7</v>
      </c>
      <c r="N60" s="103"/>
      <c r="O60" s="103" t="s">
        <v>32</v>
      </c>
      <c r="P60" s="154"/>
      <c r="Q60" s="108"/>
      <c r="R60" s="108"/>
      <c r="S60" s="108"/>
      <c r="T60" s="108"/>
      <c r="U60" s="108"/>
      <c r="V60" s="108"/>
      <c r="W60" s="108"/>
    </row>
    <row r="61" spans="1:23" s="20" customFormat="1">
      <c r="A61" s="102">
        <v>95</v>
      </c>
      <c r="B61" s="103" t="s">
        <v>218</v>
      </c>
      <c r="C61" s="105">
        <v>10.774350000000002</v>
      </c>
      <c r="D61" s="105">
        <v>11.537100000000001</v>
      </c>
      <c r="E61" s="105">
        <v>10.583460000000001</v>
      </c>
      <c r="F61" s="105">
        <v>10.582380000000001</v>
      </c>
      <c r="G61" s="105">
        <v>11.513070000000001</v>
      </c>
      <c r="H61" s="105">
        <v>11.184210000000002</v>
      </c>
      <c r="I61" s="105">
        <v>11.181509999999999</v>
      </c>
      <c r="J61" s="103">
        <v>27</v>
      </c>
      <c r="K61" s="104">
        <v>10</v>
      </c>
      <c r="L61" s="92" t="s">
        <v>55</v>
      </c>
      <c r="M61" s="409" t="s">
        <v>6</v>
      </c>
      <c r="N61" s="103"/>
      <c r="O61" s="103" t="s">
        <v>32</v>
      </c>
      <c r="P61" s="154"/>
      <c r="Q61" s="108"/>
      <c r="R61" s="108"/>
      <c r="S61" s="108"/>
      <c r="T61" s="108"/>
      <c r="U61" s="108"/>
      <c r="V61" s="108"/>
      <c r="W61" s="108"/>
    </row>
    <row r="62" spans="1:23" s="20" customFormat="1">
      <c r="A62" s="102" t="s">
        <v>97</v>
      </c>
      <c r="B62" s="103" t="s">
        <v>98</v>
      </c>
      <c r="C62" s="105">
        <v>0.36551999999999996</v>
      </c>
      <c r="D62" s="105">
        <v>0.36647999999999997</v>
      </c>
      <c r="E62" s="105">
        <v>0.36647999999999997</v>
      </c>
      <c r="F62" s="105">
        <v>0.36647999999999997</v>
      </c>
      <c r="G62" s="105">
        <v>0.36647999999999997</v>
      </c>
      <c r="H62" s="105">
        <v>0.36647999999999997</v>
      </c>
      <c r="I62" s="157">
        <v>0.36647999999999997</v>
      </c>
      <c r="J62" s="103">
        <v>6</v>
      </c>
      <c r="K62" s="104">
        <v>10</v>
      </c>
      <c r="L62" s="92" t="s">
        <v>55</v>
      </c>
      <c r="M62" s="409" t="s">
        <v>6</v>
      </c>
      <c r="N62" s="103"/>
      <c r="O62" s="103" t="s">
        <v>32</v>
      </c>
      <c r="P62" s="154"/>
      <c r="Q62" s="108"/>
      <c r="R62" s="108"/>
      <c r="S62" s="108"/>
      <c r="T62" s="108"/>
      <c r="U62" s="108"/>
      <c r="V62" s="108"/>
      <c r="W62" s="108"/>
    </row>
    <row r="63" spans="1:23" s="20" customFormat="1">
      <c r="A63" s="102" t="s">
        <v>97</v>
      </c>
      <c r="B63" s="103" t="s">
        <v>99</v>
      </c>
      <c r="C63" s="105">
        <v>0.92</v>
      </c>
      <c r="D63" s="105">
        <v>1.6739999999999999</v>
      </c>
      <c r="E63" s="105">
        <v>1.9670000000000001</v>
      </c>
      <c r="F63" s="105">
        <v>2.012</v>
      </c>
      <c r="G63" s="105">
        <v>2.012</v>
      </c>
      <c r="H63" s="105">
        <v>2.012</v>
      </c>
      <c r="I63" s="157">
        <v>2.012</v>
      </c>
      <c r="J63" s="103">
        <v>100</v>
      </c>
      <c r="K63" s="104">
        <v>10</v>
      </c>
      <c r="L63" s="92" t="s">
        <v>55</v>
      </c>
      <c r="M63" s="409" t="s">
        <v>33</v>
      </c>
      <c r="N63" s="103"/>
      <c r="O63" s="103" t="s">
        <v>33</v>
      </c>
      <c r="P63" s="154"/>
      <c r="Q63" s="108"/>
      <c r="R63" s="108"/>
      <c r="S63" s="108"/>
      <c r="T63" s="108"/>
      <c r="U63" s="108"/>
      <c r="V63" s="108"/>
      <c r="W63" s="108"/>
    </row>
    <row r="64" spans="1:23" s="20" customFormat="1">
      <c r="A64" s="102" t="s">
        <v>97</v>
      </c>
      <c r="B64" s="103" t="s">
        <v>100</v>
      </c>
      <c r="C64" s="105">
        <v>1.361</v>
      </c>
      <c r="D64" s="105">
        <v>1.411</v>
      </c>
      <c r="E64" s="105">
        <v>1.411</v>
      </c>
      <c r="F64" s="105">
        <v>1.411</v>
      </c>
      <c r="G64" s="105">
        <v>1.411</v>
      </c>
      <c r="H64" s="105">
        <v>1.411</v>
      </c>
      <c r="I64" s="105">
        <v>1.411</v>
      </c>
      <c r="J64" s="103">
        <v>100</v>
      </c>
      <c r="K64" s="104">
        <v>10</v>
      </c>
      <c r="L64" s="92" t="s">
        <v>55</v>
      </c>
      <c r="M64" s="409" t="s">
        <v>4</v>
      </c>
      <c r="N64" s="103"/>
      <c r="O64" s="103" t="s">
        <v>32</v>
      </c>
      <c r="P64" s="154"/>
      <c r="Q64" s="108"/>
      <c r="R64" s="108"/>
      <c r="S64" s="108"/>
      <c r="T64" s="108"/>
      <c r="U64" s="108"/>
      <c r="V64" s="108"/>
      <c r="W64" s="108"/>
    </row>
    <row r="65" spans="1:24" s="20" customFormat="1">
      <c r="A65" s="102" t="s">
        <v>663</v>
      </c>
      <c r="B65" s="103" t="s">
        <v>662</v>
      </c>
      <c r="C65" s="105">
        <v>5.4525000000000006</v>
      </c>
      <c r="D65" s="105">
        <v>8.0320599999999995</v>
      </c>
      <c r="E65" s="105">
        <v>9.8514799999999987</v>
      </c>
      <c r="F65" s="105">
        <v>8.3438949999999998</v>
      </c>
      <c r="G65" s="105">
        <v>6.6857249999999997</v>
      </c>
      <c r="H65" s="105">
        <v>5.3614100000000002</v>
      </c>
      <c r="I65" s="105">
        <v>4.6303099999999997</v>
      </c>
      <c r="J65" s="103" t="s">
        <v>663</v>
      </c>
      <c r="K65" s="104">
        <v>9</v>
      </c>
      <c r="L65" s="92" t="s">
        <v>92</v>
      </c>
      <c r="M65" s="409" t="s">
        <v>664</v>
      </c>
      <c r="N65" s="103"/>
      <c r="O65" s="103" t="s">
        <v>33</v>
      </c>
      <c r="P65" s="154"/>
      <c r="Q65" s="108"/>
      <c r="R65" s="108"/>
      <c r="S65" s="108"/>
      <c r="T65" s="108"/>
      <c r="U65" s="108"/>
      <c r="V65" s="108"/>
      <c r="W65" s="108"/>
    </row>
    <row r="66" spans="1:24" s="20" customFormat="1">
      <c r="A66" s="102"/>
      <c r="B66" s="103" t="s">
        <v>834</v>
      </c>
      <c r="C66" s="105">
        <v>0</v>
      </c>
      <c r="D66" s="105">
        <v>0</v>
      </c>
      <c r="E66" s="105">
        <v>28</v>
      </c>
      <c r="F66" s="105">
        <v>14</v>
      </c>
      <c r="G66" s="105">
        <v>0</v>
      </c>
      <c r="H66" s="105">
        <v>0</v>
      </c>
      <c r="I66" s="105">
        <v>0</v>
      </c>
      <c r="J66" s="103">
        <v>50</v>
      </c>
      <c r="K66" s="104">
        <v>6</v>
      </c>
      <c r="L66" s="10" t="s">
        <v>153</v>
      </c>
      <c r="M66" s="409" t="s">
        <v>832</v>
      </c>
      <c r="N66" s="103"/>
      <c r="O66" s="103" t="s">
        <v>33</v>
      </c>
      <c r="P66" s="154">
        <v>100</v>
      </c>
      <c r="Q66" s="58">
        <f t="shared" ref="Q66:W66" si="10">($P66*C66)/100</f>
        <v>0</v>
      </c>
      <c r="R66" s="58">
        <f t="shared" si="10"/>
        <v>0</v>
      </c>
      <c r="S66" s="58">
        <f t="shared" si="10"/>
        <v>28</v>
      </c>
      <c r="T66" s="58">
        <f t="shared" si="10"/>
        <v>14</v>
      </c>
      <c r="U66" s="58">
        <f t="shared" si="10"/>
        <v>0</v>
      </c>
      <c r="V66" s="58">
        <f t="shared" si="10"/>
        <v>0</v>
      </c>
      <c r="W66" s="58">
        <f t="shared" si="10"/>
        <v>0</v>
      </c>
    </row>
    <row r="67" spans="1:24" s="20" customFormat="1">
      <c r="A67" s="102"/>
      <c r="B67" s="103" t="s">
        <v>835</v>
      </c>
      <c r="C67" s="105">
        <v>0</v>
      </c>
      <c r="D67" s="105">
        <v>1.1399999999999999</v>
      </c>
      <c r="E67" s="105">
        <v>19.72</v>
      </c>
      <c r="F67" s="105">
        <v>28.74</v>
      </c>
      <c r="G67" s="105">
        <v>0</v>
      </c>
      <c r="H67" s="105">
        <v>0</v>
      </c>
      <c r="I67" s="105">
        <v>0</v>
      </c>
      <c r="J67" s="103">
        <v>50</v>
      </c>
      <c r="K67" s="104">
        <v>7</v>
      </c>
      <c r="L67" s="92" t="s">
        <v>85</v>
      </c>
      <c r="M67" s="409" t="s">
        <v>832</v>
      </c>
      <c r="N67" s="103"/>
      <c r="O67" s="103" t="s">
        <v>33</v>
      </c>
      <c r="P67" s="154">
        <v>100</v>
      </c>
      <c r="Q67" s="58">
        <f>($P67*C67)/100</f>
        <v>0</v>
      </c>
      <c r="R67" s="58">
        <f t="shared" ref="R67" si="11">($P67*D67)/100</f>
        <v>1.1399999999999999</v>
      </c>
      <c r="S67" s="58">
        <f t="shared" ref="S67" si="12">($P67*E67)/100</f>
        <v>19.72</v>
      </c>
      <c r="T67" s="58">
        <f t="shared" ref="T67" si="13">($P67*F67)/100</f>
        <v>28.74</v>
      </c>
      <c r="U67" s="58">
        <f t="shared" ref="U67" si="14">($P67*G67)/100</f>
        <v>0</v>
      </c>
      <c r="V67" s="58">
        <f t="shared" ref="V67" si="15">($P67*H67)/100</f>
        <v>0</v>
      </c>
      <c r="W67" s="58">
        <f t="shared" ref="W67" si="16">($P67*I67)/100</f>
        <v>0</v>
      </c>
    </row>
    <row r="68" spans="1:24" s="68" customFormat="1" ht="14.4">
      <c r="B68" s="68" t="s">
        <v>52</v>
      </c>
      <c r="C68" s="98">
        <f>SUM(C34:C67)</f>
        <v>4853.8555478942872</v>
      </c>
      <c r="D68" s="98">
        <f>SUM(D34:D67)</f>
        <v>5323.6829311283</v>
      </c>
      <c r="E68" s="98">
        <f t="shared" ref="E68:I68" si="17">SUM(E34:E67)</f>
        <v>5598.7826800012053</v>
      </c>
      <c r="F68" s="98">
        <f t="shared" si="17"/>
        <v>5522.1582436265653</v>
      </c>
      <c r="G68" s="98">
        <f t="shared" si="17"/>
        <v>5513.5734052426642</v>
      </c>
      <c r="H68" s="98">
        <f t="shared" si="17"/>
        <v>5527.106280348874</v>
      </c>
      <c r="I68" s="98">
        <f t="shared" si="17"/>
        <v>5541.4425216386289</v>
      </c>
      <c r="J68" s="98"/>
      <c r="L68" s="20"/>
      <c r="M68" s="408"/>
      <c r="P68" s="99"/>
      <c r="Q68" s="97">
        <f>SUM(Q34:Q67)</f>
        <v>308.39999999999998</v>
      </c>
      <c r="R68" s="97">
        <f t="shared" ref="R68:W68" si="18">SUM(R34:R67)</f>
        <v>309.53999999999996</v>
      </c>
      <c r="S68" s="97">
        <f t="shared" si="18"/>
        <v>356.12</v>
      </c>
      <c r="T68" s="97">
        <f t="shared" si="18"/>
        <v>351.14</v>
      </c>
      <c r="U68" s="97">
        <f t="shared" si="18"/>
        <v>308.39999999999998</v>
      </c>
      <c r="V68" s="97">
        <f t="shared" si="18"/>
        <v>308.39999999999998</v>
      </c>
      <c r="W68" s="97">
        <f t="shared" si="18"/>
        <v>308.39999999999998</v>
      </c>
    </row>
    <row r="69" spans="1:24">
      <c r="C69" s="53"/>
      <c r="D69" s="53"/>
      <c r="E69" s="53"/>
      <c r="F69" s="53"/>
      <c r="G69" s="53"/>
      <c r="H69" s="53"/>
      <c r="I69" s="53"/>
    </row>
    <row r="70" spans="1:24" s="14" customFormat="1" ht="14.4">
      <c r="B70" s="15" t="s">
        <v>34</v>
      </c>
      <c r="C70" s="52"/>
      <c r="D70" s="52"/>
      <c r="E70" s="52"/>
      <c r="F70" s="52"/>
      <c r="G70" s="52"/>
      <c r="H70" s="52"/>
      <c r="I70" s="52"/>
      <c r="M70" s="406"/>
      <c r="P70" s="15" t="s">
        <v>34</v>
      </c>
      <c r="Q70" s="183"/>
      <c r="R70" s="183"/>
      <c r="S70" s="183"/>
      <c r="T70" s="183"/>
      <c r="U70" s="183"/>
      <c r="V70" s="183"/>
      <c r="W70" s="183"/>
    </row>
    <row r="71" spans="1:24" s="7" customFormat="1">
      <c r="A71" s="92" t="s">
        <v>760</v>
      </c>
      <c r="B71" s="92" t="s">
        <v>758</v>
      </c>
      <c r="C71" s="92">
        <v>115.202</v>
      </c>
      <c r="D71" s="92">
        <v>104.627</v>
      </c>
      <c r="E71" s="92">
        <v>140.67599999999999</v>
      </c>
      <c r="F71" s="92">
        <v>124.60299999999999</v>
      </c>
      <c r="G71" s="92">
        <v>124.57599999999999</v>
      </c>
      <c r="H71" s="92">
        <v>124.553</v>
      </c>
      <c r="I71" s="92">
        <v>124.598</v>
      </c>
      <c r="J71" s="92">
        <v>100</v>
      </c>
      <c r="K71" s="92">
        <v>14</v>
      </c>
      <c r="L71" s="92" t="s">
        <v>46</v>
      </c>
      <c r="M71" s="407" t="s">
        <v>759</v>
      </c>
      <c r="N71" s="92"/>
      <c r="O71" s="7" t="s">
        <v>33</v>
      </c>
      <c r="P71" s="61">
        <v>100</v>
      </c>
      <c r="Q71" s="58">
        <f t="shared" ref="Q71" si="19">+$P71/100*C71</f>
        <v>115.202</v>
      </c>
      <c r="R71" s="58">
        <f t="shared" ref="R71" si="20">+$P71/100*D71</f>
        <v>104.627</v>
      </c>
      <c r="S71" s="58">
        <f t="shared" ref="S71" si="21">+$P71/100*E71</f>
        <v>140.67599999999999</v>
      </c>
      <c r="T71" s="58">
        <f t="shared" ref="T71" si="22">+$P71/100*F71</f>
        <v>124.60299999999999</v>
      </c>
      <c r="U71" s="58">
        <f t="shared" ref="U71" si="23">+$P71/100*G71</f>
        <v>124.57599999999999</v>
      </c>
      <c r="V71" s="58">
        <f t="shared" ref="V71" si="24">+$P71/100*H71</f>
        <v>124.553</v>
      </c>
      <c r="W71" s="58">
        <f t="shared" ref="W71" si="25">+$P71/100*I71</f>
        <v>124.598</v>
      </c>
      <c r="X71" s="58"/>
    </row>
    <row r="72" spans="1:24" s="7" customFormat="1">
      <c r="A72" s="92" t="s">
        <v>760</v>
      </c>
      <c r="B72" s="92" t="s">
        <v>763</v>
      </c>
      <c r="C72" s="92">
        <v>3.1709999999999998</v>
      </c>
      <c r="D72" s="92">
        <v>3.1709999999999998</v>
      </c>
      <c r="E72" s="92">
        <v>3.1709999999999998</v>
      </c>
      <c r="F72" s="92">
        <v>3.1709999999999998</v>
      </c>
      <c r="G72" s="92">
        <v>3.1709999999999998</v>
      </c>
      <c r="H72" s="92">
        <v>3.1709999999999998</v>
      </c>
      <c r="I72" s="92">
        <v>3.1709999999999998</v>
      </c>
      <c r="J72" s="92">
        <v>100</v>
      </c>
      <c r="K72" s="92">
        <v>14</v>
      </c>
      <c r="L72" s="92" t="s">
        <v>46</v>
      </c>
      <c r="M72" s="407" t="s">
        <v>56</v>
      </c>
      <c r="N72" s="92"/>
      <c r="O72" s="7" t="s">
        <v>33</v>
      </c>
      <c r="P72" s="61">
        <v>100</v>
      </c>
      <c r="Q72" s="58">
        <f t="shared" ref="Q72:Q74" si="26">+$P72/100*C72</f>
        <v>3.1709999999999998</v>
      </c>
      <c r="R72" s="58">
        <f t="shared" ref="R72:R74" si="27">+$P72/100*D72</f>
        <v>3.1709999999999998</v>
      </c>
      <c r="S72" s="58">
        <f t="shared" ref="S72:S74" si="28">+$P72/100*E72</f>
        <v>3.1709999999999998</v>
      </c>
      <c r="T72" s="58">
        <f t="shared" ref="T72:T74" si="29">+$P72/100*F72</f>
        <v>3.1709999999999998</v>
      </c>
      <c r="U72" s="58">
        <f t="shared" ref="U72:U74" si="30">+$P72/100*G72</f>
        <v>3.1709999999999998</v>
      </c>
      <c r="V72" s="58">
        <f t="shared" ref="V72:V74" si="31">+$P72/100*H72</f>
        <v>3.1709999999999998</v>
      </c>
      <c r="W72" s="58">
        <f t="shared" ref="W72:W74" si="32">+$P72/100*I72</f>
        <v>3.1709999999999998</v>
      </c>
      <c r="X72" s="58"/>
    </row>
    <row r="73" spans="1:24" s="7" customFormat="1">
      <c r="A73" s="92" t="s">
        <v>760</v>
      </c>
      <c r="B73" s="92" t="s">
        <v>761</v>
      </c>
      <c r="C73" s="92">
        <v>0</v>
      </c>
      <c r="D73" s="92">
        <v>0</v>
      </c>
      <c r="E73" s="92">
        <v>15</v>
      </c>
      <c r="F73" s="92">
        <v>20</v>
      </c>
      <c r="G73" s="92">
        <v>20</v>
      </c>
      <c r="H73" s="92">
        <v>25</v>
      </c>
      <c r="I73" s="92">
        <v>30</v>
      </c>
      <c r="J73" s="92">
        <v>100</v>
      </c>
      <c r="K73" s="92">
        <v>14</v>
      </c>
      <c r="L73" s="92" t="s">
        <v>46</v>
      </c>
      <c r="M73" s="407" t="s">
        <v>762</v>
      </c>
      <c r="N73" s="92"/>
      <c r="O73" s="7" t="s">
        <v>33</v>
      </c>
      <c r="P73" s="61">
        <v>100</v>
      </c>
      <c r="Q73" s="58">
        <f t="shared" si="26"/>
        <v>0</v>
      </c>
      <c r="R73" s="58">
        <f t="shared" si="27"/>
        <v>0</v>
      </c>
      <c r="S73" s="58">
        <f t="shared" si="28"/>
        <v>15</v>
      </c>
      <c r="T73" s="58">
        <f t="shared" si="29"/>
        <v>20</v>
      </c>
      <c r="U73" s="58">
        <f t="shared" si="30"/>
        <v>20</v>
      </c>
      <c r="V73" s="58">
        <f t="shared" si="31"/>
        <v>25</v>
      </c>
      <c r="W73" s="58">
        <f t="shared" si="32"/>
        <v>30</v>
      </c>
      <c r="X73" s="58"/>
    </row>
    <row r="74" spans="1:24" s="7" customFormat="1">
      <c r="A74" s="92" t="s">
        <v>760</v>
      </c>
      <c r="B74" s="92" t="s">
        <v>764</v>
      </c>
      <c r="C74" s="92">
        <v>18.161999999999999</v>
      </c>
      <c r="D74" s="92">
        <v>18.161999999999999</v>
      </c>
      <c r="E74" s="92">
        <v>18.161999999999999</v>
      </c>
      <c r="F74" s="92">
        <v>18.161999999999999</v>
      </c>
      <c r="G74" s="92">
        <v>18.161999999999999</v>
      </c>
      <c r="H74" s="92">
        <v>18.161999999999999</v>
      </c>
      <c r="I74" s="92">
        <v>18.161999999999999</v>
      </c>
      <c r="J74" s="92">
        <v>100</v>
      </c>
      <c r="K74" s="92">
        <v>14</v>
      </c>
      <c r="L74" s="92" t="s">
        <v>46</v>
      </c>
      <c r="M74" s="407" t="s">
        <v>8</v>
      </c>
      <c r="N74" s="92"/>
      <c r="O74" s="7" t="s">
        <v>33</v>
      </c>
      <c r="P74" s="61">
        <v>100</v>
      </c>
      <c r="Q74" s="58">
        <f t="shared" si="26"/>
        <v>18.161999999999999</v>
      </c>
      <c r="R74" s="58">
        <f t="shared" si="27"/>
        <v>18.161999999999999</v>
      </c>
      <c r="S74" s="58">
        <f t="shared" si="28"/>
        <v>18.161999999999999</v>
      </c>
      <c r="T74" s="58">
        <f t="shared" si="29"/>
        <v>18.161999999999999</v>
      </c>
      <c r="U74" s="58">
        <f t="shared" si="30"/>
        <v>18.161999999999999</v>
      </c>
      <c r="V74" s="58">
        <f t="shared" si="31"/>
        <v>18.161999999999999</v>
      </c>
      <c r="W74" s="58">
        <f t="shared" si="32"/>
        <v>18.161999999999999</v>
      </c>
      <c r="X74" s="58"/>
    </row>
    <row r="75" spans="1:24" s="7" customFormat="1">
      <c r="A75" s="92" t="s">
        <v>790</v>
      </c>
      <c r="B75" s="92" t="s">
        <v>791</v>
      </c>
      <c r="C75" s="92">
        <v>4.45</v>
      </c>
      <c r="D75" s="92">
        <v>3.4590000000000001</v>
      </c>
      <c r="E75" s="92">
        <v>3.4590000000000001</v>
      </c>
      <c r="F75" s="92">
        <v>3.4590000000000001</v>
      </c>
      <c r="G75" s="92">
        <v>3.4590000000000001</v>
      </c>
      <c r="H75" s="92">
        <v>3.4590000000000001</v>
      </c>
      <c r="I75" s="92">
        <v>3.4590000000000001</v>
      </c>
      <c r="J75" s="92">
        <v>100</v>
      </c>
      <c r="K75" s="92">
        <v>14</v>
      </c>
      <c r="L75" s="92" t="s">
        <v>46</v>
      </c>
      <c r="M75" s="411" t="s">
        <v>759</v>
      </c>
      <c r="N75" s="352"/>
      <c r="O75" s="7" t="s">
        <v>32</v>
      </c>
      <c r="P75" s="61"/>
      <c r="Q75" s="58"/>
      <c r="R75" s="58"/>
      <c r="S75" s="58"/>
      <c r="T75" s="58"/>
      <c r="U75" s="58"/>
      <c r="V75" s="58"/>
      <c r="W75" s="58"/>
      <c r="X75" s="58"/>
    </row>
    <row r="76" spans="1:24" s="7" customFormat="1">
      <c r="A76" s="92" t="s">
        <v>790</v>
      </c>
      <c r="B76" s="92" t="s">
        <v>792</v>
      </c>
      <c r="C76" s="92">
        <v>44.179000000000002</v>
      </c>
      <c r="D76" s="92">
        <v>43.463999999999999</v>
      </c>
      <c r="E76" s="92">
        <v>59.904000000000003</v>
      </c>
      <c r="F76" s="92">
        <v>66.596000000000004</v>
      </c>
      <c r="G76" s="92">
        <v>72.715999999999994</v>
      </c>
      <c r="H76" s="92">
        <v>74.156000000000006</v>
      </c>
      <c r="I76" s="92">
        <v>74.156000000000006</v>
      </c>
      <c r="J76" s="92">
        <v>100</v>
      </c>
      <c r="K76" s="92">
        <v>14</v>
      </c>
      <c r="L76" s="92" t="s">
        <v>46</v>
      </c>
      <c r="M76" s="411" t="s">
        <v>13</v>
      </c>
      <c r="N76" s="352"/>
      <c r="O76" s="7" t="s">
        <v>32</v>
      </c>
      <c r="P76" s="61"/>
      <c r="Q76" s="58"/>
      <c r="R76" s="58"/>
      <c r="S76" s="58"/>
      <c r="T76" s="58"/>
      <c r="U76" s="58"/>
      <c r="V76" s="58"/>
      <c r="W76" s="58"/>
      <c r="X76" s="58"/>
    </row>
    <row r="77" spans="1:24" s="7" customFormat="1">
      <c r="A77" s="92" t="s">
        <v>790</v>
      </c>
      <c r="B77" s="92" t="s">
        <v>793</v>
      </c>
      <c r="C77" s="92">
        <v>2.6</v>
      </c>
      <c r="D77" s="92">
        <v>5.7220000000000004</v>
      </c>
      <c r="E77" s="92">
        <v>9</v>
      </c>
      <c r="F77" s="92">
        <v>11.48</v>
      </c>
      <c r="G77" s="92">
        <v>13.804</v>
      </c>
      <c r="H77" s="92">
        <v>14.255000000000001</v>
      </c>
      <c r="I77" s="92">
        <v>14.255000000000001</v>
      </c>
      <c r="J77" s="92">
        <v>100</v>
      </c>
      <c r="K77" s="92">
        <v>14</v>
      </c>
      <c r="L77" s="92" t="s">
        <v>46</v>
      </c>
      <c r="M77" s="411" t="s">
        <v>795</v>
      </c>
      <c r="N77" s="352"/>
      <c r="O77" s="7" t="s">
        <v>32</v>
      </c>
      <c r="P77" s="61"/>
      <c r="Q77" s="58"/>
      <c r="R77" s="58"/>
      <c r="S77" s="58"/>
      <c r="T77" s="58"/>
      <c r="U77" s="58"/>
      <c r="V77" s="58"/>
      <c r="W77" s="58"/>
      <c r="X77" s="58"/>
    </row>
    <row r="78" spans="1:24" s="7" customFormat="1">
      <c r="A78" s="92" t="s">
        <v>790</v>
      </c>
      <c r="B78" s="92" t="s">
        <v>794</v>
      </c>
      <c r="C78" s="92">
        <v>2</v>
      </c>
      <c r="D78" s="92">
        <v>1.9</v>
      </c>
      <c r="E78" s="92">
        <v>3.3319999999999999</v>
      </c>
      <c r="F78" s="92">
        <v>4.3719999999999999</v>
      </c>
      <c r="G78" s="92">
        <v>5.5039999999999996</v>
      </c>
      <c r="H78" s="92">
        <v>5.5940000000000003</v>
      </c>
      <c r="I78" s="92">
        <v>5.5940000000000003</v>
      </c>
      <c r="J78" s="92">
        <v>100</v>
      </c>
      <c r="K78" s="92">
        <v>14</v>
      </c>
      <c r="L78" s="92" t="s">
        <v>46</v>
      </c>
      <c r="M78" s="411" t="s">
        <v>796</v>
      </c>
      <c r="N78" s="352"/>
      <c r="O78" s="7" t="s">
        <v>32</v>
      </c>
      <c r="P78" s="61"/>
      <c r="Q78" s="58"/>
      <c r="R78" s="58"/>
      <c r="S78" s="58"/>
      <c r="T78" s="58"/>
      <c r="U78" s="58"/>
      <c r="V78" s="58"/>
      <c r="W78" s="58"/>
      <c r="X78" s="58"/>
    </row>
    <row r="79" spans="1:24" s="68" customFormat="1" ht="14.4">
      <c r="B79" s="68" t="s">
        <v>47</v>
      </c>
      <c r="C79" s="98">
        <f>SUM(C71:C78)</f>
        <v>189.76399999999998</v>
      </c>
      <c r="D79" s="98">
        <f t="shared" ref="D79:I79" si="33">SUM(D71:D78)</f>
        <v>180.50500000000002</v>
      </c>
      <c r="E79" s="98">
        <f t="shared" si="33"/>
        <v>252.70399999999998</v>
      </c>
      <c r="F79" s="98">
        <f t="shared" si="33"/>
        <v>251.84300000000002</v>
      </c>
      <c r="G79" s="98">
        <f t="shared" si="33"/>
        <v>261.392</v>
      </c>
      <c r="H79" s="98">
        <f t="shared" si="33"/>
        <v>268.35000000000002</v>
      </c>
      <c r="I79" s="98">
        <f t="shared" si="33"/>
        <v>273.39500000000004</v>
      </c>
      <c r="L79" s="20"/>
      <c r="M79" s="408"/>
      <c r="P79" s="99"/>
      <c r="Q79" s="97">
        <f>SUM(Q71:Q78)</f>
        <v>136.535</v>
      </c>
      <c r="R79" s="97">
        <f t="shared" ref="R79:W79" si="34">SUM(R71:R78)</f>
        <v>125.96000000000001</v>
      </c>
      <c r="S79" s="97">
        <f t="shared" si="34"/>
        <v>177.00899999999999</v>
      </c>
      <c r="T79" s="97">
        <f t="shared" si="34"/>
        <v>165.93600000000001</v>
      </c>
      <c r="U79" s="97">
        <f t="shared" si="34"/>
        <v>165.90900000000002</v>
      </c>
      <c r="V79" s="97">
        <f t="shared" si="34"/>
        <v>170.886</v>
      </c>
      <c r="W79" s="97">
        <f t="shared" si="34"/>
        <v>175.93100000000001</v>
      </c>
    </row>
    <row r="80" spans="1:24" s="3" customFormat="1" ht="14.4">
      <c r="A80" s="68"/>
      <c r="C80" s="12"/>
      <c r="D80" s="12"/>
      <c r="E80" s="12"/>
      <c r="F80" s="12"/>
      <c r="G80" s="12"/>
      <c r="H80" s="12"/>
      <c r="I80" s="12"/>
      <c r="L80" s="1"/>
      <c r="M80" s="149"/>
      <c r="P80" s="60"/>
      <c r="Q80" s="6"/>
      <c r="R80" s="6"/>
      <c r="S80" s="6"/>
      <c r="T80" s="6"/>
      <c r="U80" s="6"/>
      <c r="V80" s="6"/>
      <c r="W80" s="6"/>
    </row>
    <row r="81" spans="1:23" s="3" customFormat="1" ht="14.4">
      <c r="A81" s="15"/>
      <c r="B81" s="25" t="s">
        <v>341</v>
      </c>
      <c r="C81" s="271"/>
      <c r="D81" s="271"/>
      <c r="E81" s="271"/>
      <c r="F81" s="271"/>
      <c r="G81" s="271"/>
      <c r="H81" s="271"/>
      <c r="I81" s="271"/>
      <c r="J81" s="26"/>
      <c r="K81" s="25"/>
      <c r="L81" s="78"/>
      <c r="M81" s="412"/>
      <c r="N81" s="78"/>
      <c r="O81" s="25"/>
      <c r="P81" s="25" t="s">
        <v>341</v>
      </c>
      <c r="Q81" s="272"/>
      <c r="R81" s="272"/>
      <c r="S81" s="272"/>
      <c r="T81" s="272"/>
      <c r="U81" s="272"/>
      <c r="V81" s="272"/>
      <c r="W81" s="272"/>
    </row>
    <row r="82" spans="1:23" s="68" customFormat="1" ht="14.4">
      <c r="A82" s="92" t="s">
        <v>120</v>
      </c>
      <c r="B82" s="92" t="s">
        <v>113</v>
      </c>
      <c r="C82" s="95">
        <v>3.3000000000000002E-2</v>
      </c>
      <c r="D82" s="95">
        <v>3.3000000000000002E-2</v>
      </c>
      <c r="E82" s="95">
        <v>0</v>
      </c>
      <c r="F82" s="95">
        <v>0</v>
      </c>
      <c r="G82" s="95">
        <v>0</v>
      </c>
      <c r="H82" s="95">
        <v>0</v>
      </c>
      <c r="I82" s="95">
        <v>0</v>
      </c>
      <c r="J82" s="96">
        <v>4.7715787418937403E-3</v>
      </c>
      <c r="K82" s="92">
        <v>4</v>
      </c>
      <c r="L82" s="92" t="s">
        <v>277</v>
      </c>
      <c r="M82" s="407" t="s">
        <v>114</v>
      </c>
      <c r="N82" s="92"/>
      <c r="O82" s="92" t="s">
        <v>32</v>
      </c>
      <c r="P82" s="158">
        <v>0</v>
      </c>
      <c r="Q82" s="97"/>
      <c r="R82" s="97"/>
      <c r="S82" s="97"/>
      <c r="T82" s="97"/>
      <c r="U82" s="97"/>
      <c r="V82" s="97"/>
      <c r="W82" s="97"/>
    </row>
    <row r="83" spans="1:23" s="68" customFormat="1" ht="14.4">
      <c r="A83" s="92" t="s">
        <v>120</v>
      </c>
      <c r="B83" s="92" t="s">
        <v>246</v>
      </c>
      <c r="C83" s="95">
        <v>0.09</v>
      </c>
      <c r="D83" s="95">
        <v>0.09</v>
      </c>
      <c r="E83" s="95">
        <v>0.09</v>
      </c>
      <c r="F83" s="95">
        <v>0.09</v>
      </c>
      <c r="G83" s="95">
        <v>0.09</v>
      </c>
      <c r="H83" s="95">
        <v>0.09</v>
      </c>
      <c r="I83" s="95">
        <v>0.09</v>
      </c>
      <c r="J83" s="96">
        <v>1.30133965688011E-2</v>
      </c>
      <c r="K83" s="92">
        <v>4</v>
      </c>
      <c r="L83" s="92" t="s">
        <v>277</v>
      </c>
      <c r="M83" s="407" t="s">
        <v>111</v>
      </c>
      <c r="N83" s="92"/>
      <c r="O83" s="92" t="s">
        <v>32</v>
      </c>
      <c r="P83" s="158">
        <v>0</v>
      </c>
      <c r="Q83" s="97"/>
      <c r="R83" s="97"/>
      <c r="S83" s="97"/>
      <c r="T83" s="97"/>
      <c r="U83" s="97"/>
      <c r="V83" s="97"/>
      <c r="W83" s="97"/>
    </row>
    <row r="84" spans="1:23" s="68" customFormat="1" ht="14.4">
      <c r="A84" s="92" t="s">
        <v>120</v>
      </c>
      <c r="B84" s="92" t="s">
        <v>489</v>
      </c>
      <c r="C84" s="95">
        <v>0.45</v>
      </c>
      <c r="D84" s="95">
        <v>0.45</v>
      </c>
      <c r="E84" s="95">
        <v>0.45</v>
      </c>
      <c r="F84" s="95">
        <v>0.45</v>
      </c>
      <c r="G84" s="95">
        <v>0.45</v>
      </c>
      <c r="H84" s="95">
        <v>0.45</v>
      </c>
      <c r="I84" s="95">
        <v>0.45</v>
      </c>
      <c r="J84" s="96">
        <v>6.5066982844005528E-2</v>
      </c>
      <c r="K84" s="92">
        <v>4</v>
      </c>
      <c r="L84" s="92" t="s">
        <v>277</v>
      </c>
      <c r="M84" s="407" t="s">
        <v>119</v>
      </c>
      <c r="N84" s="92"/>
      <c r="O84" s="92" t="s">
        <v>32</v>
      </c>
      <c r="P84" s="158">
        <v>0</v>
      </c>
      <c r="Q84" s="97"/>
      <c r="R84" s="97"/>
      <c r="S84" s="97"/>
      <c r="T84" s="97"/>
      <c r="U84" s="97"/>
      <c r="V84" s="97"/>
      <c r="W84" s="97"/>
    </row>
    <row r="85" spans="1:23" s="68" customFormat="1" ht="14.4">
      <c r="A85" s="92" t="s">
        <v>120</v>
      </c>
      <c r="B85" s="92" t="s">
        <v>425</v>
      </c>
      <c r="C85" s="95">
        <v>0.36299999999999999</v>
      </c>
      <c r="D85" s="95">
        <v>0.36299999999999999</v>
      </c>
      <c r="E85" s="95">
        <v>0.36299999999999999</v>
      </c>
      <c r="F85" s="95">
        <v>0.36299999999999999</v>
      </c>
      <c r="G85" s="159">
        <v>0.36299999999999999</v>
      </c>
      <c r="H85" s="159">
        <v>0.36299999999999999</v>
      </c>
      <c r="I85" s="159">
        <v>0.36299999999999999</v>
      </c>
      <c r="J85" s="96">
        <v>5.2487366160831113E-2</v>
      </c>
      <c r="K85" s="92">
        <v>4</v>
      </c>
      <c r="L85" s="92" t="s">
        <v>277</v>
      </c>
      <c r="M85" s="407" t="s">
        <v>104</v>
      </c>
      <c r="N85" s="92"/>
      <c r="O85" s="92" t="s">
        <v>32</v>
      </c>
      <c r="P85" s="158">
        <v>0</v>
      </c>
      <c r="Q85" s="97"/>
      <c r="R85" s="97"/>
      <c r="S85" s="97"/>
      <c r="T85" s="97"/>
      <c r="U85" s="97"/>
      <c r="V85" s="97"/>
      <c r="W85" s="97"/>
    </row>
    <row r="86" spans="1:23" s="68" customFormat="1" ht="14.4">
      <c r="A86" s="92" t="s">
        <v>120</v>
      </c>
      <c r="B86" s="92" t="s">
        <v>103</v>
      </c>
      <c r="C86" s="95">
        <v>0.13</v>
      </c>
      <c r="D86" s="95">
        <v>0.06</v>
      </c>
      <c r="E86" s="95">
        <v>2.3E-2</v>
      </c>
      <c r="F86" s="95">
        <v>2.3E-2</v>
      </c>
      <c r="G86" s="95">
        <v>2.3E-2</v>
      </c>
      <c r="H86" s="95">
        <v>0</v>
      </c>
      <c r="I86" s="95">
        <v>0</v>
      </c>
      <c r="J86" s="96">
        <v>1.8797128377157149E-2</v>
      </c>
      <c r="K86" s="92">
        <v>4</v>
      </c>
      <c r="L86" s="92" t="s">
        <v>277</v>
      </c>
      <c r="M86" s="407" t="s">
        <v>103</v>
      </c>
      <c r="N86" s="92"/>
      <c r="O86" s="92" t="s">
        <v>32</v>
      </c>
      <c r="P86" s="158">
        <v>0</v>
      </c>
      <c r="Q86" s="97"/>
      <c r="R86" s="97"/>
      <c r="S86" s="97"/>
      <c r="T86" s="97"/>
      <c r="U86" s="97"/>
      <c r="V86" s="97"/>
      <c r="W86" s="97"/>
    </row>
    <row r="87" spans="1:23" s="68" customFormat="1" ht="14.4">
      <c r="A87" s="92" t="s">
        <v>120</v>
      </c>
      <c r="B87" s="92" t="s">
        <v>101</v>
      </c>
      <c r="C87" s="95">
        <v>0.45</v>
      </c>
      <c r="D87" s="95">
        <v>0.45</v>
      </c>
      <c r="E87" s="95">
        <v>0.45</v>
      </c>
      <c r="F87" s="95">
        <v>0.45</v>
      </c>
      <c r="G87" s="95">
        <v>0.6</v>
      </c>
      <c r="H87" s="95">
        <v>0.2</v>
      </c>
      <c r="I87" s="95">
        <v>0.2</v>
      </c>
      <c r="J87" s="96">
        <v>6.5066982844005528E-2</v>
      </c>
      <c r="K87" s="92">
        <v>4</v>
      </c>
      <c r="L87" s="92" t="s">
        <v>277</v>
      </c>
      <c r="M87" s="407" t="s">
        <v>102</v>
      </c>
      <c r="N87" s="92"/>
      <c r="O87" s="92" t="s">
        <v>32</v>
      </c>
      <c r="P87" s="158">
        <v>0</v>
      </c>
      <c r="Q87" s="97"/>
      <c r="R87" s="97"/>
      <c r="S87" s="97"/>
      <c r="T87" s="97"/>
      <c r="U87" s="97"/>
      <c r="V87" s="97"/>
      <c r="W87" s="97"/>
    </row>
    <row r="88" spans="1:23" s="68" customFormat="1" ht="14.4">
      <c r="A88" s="92" t="s">
        <v>120</v>
      </c>
      <c r="B88" s="92" t="s">
        <v>247</v>
      </c>
      <c r="C88" s="95">
        <v>0.7</v>
      </c>
      <c r="D88" s="95">
        <v>0.69</v>
      </c>
      <c r="E88" s="95">
        <v>0.67500000000000004</v>
      </c>
      <c r="F88" s="95">
        <v>0.7</v>
      </c>
      <c r="G88" s="95">
        <v>0.7</v>
      </c>
      <c r="H88" s="95">
        <v>0</v>
      </c>
      <c r="I88" s="95">
        <v>0</v>
      </c>
      <c r="J88" s="96">
        <v>0.10121530664623081</v>
      </c>
      <c r="K88" s="92">
        <v>4</v>
      </c>
      <c r="L88" s="92" t="s">
        <v>277</v>
      </c>
      <c r="M88" s="407" t="s">
        <v>117</v>
      </c>
      <c r="N88" s="92"/>
      <c r="O88" s="92" t="s">
        <v>32</v>
      </c>
      <c r="P88" s="158">
        <v>0</v>
      </c>
      <c r="Q88" s="97"/>
      <c r="R88" s="97"/>
      <c r="S88" s="97"/>
      <c r="T88" s="97"/>
      <c r="U88" s="97"/>
      <c r="V88" s="97"/>
      <c r="W88" s="97"/>
    </row>
    <row r="89" spans="1:23" s="68" customFormat="1" ht="14.4">
      <c r="A89" s="92" t="s">
        <v>120</v>
      </c>
      <c r="B89" s="92" t="s">
        <v>248</v>
      </c>
      <c r="C89" s="95">
        <v>1.1639999999999999</v>
      </c>
      <c r="D89" s="95">
        <v>0.96399999999999997</v>
      </c>
      <c r="E89" s="95">
        <v>1.1659999999999999</v>
      </c>
      <c r="F89" s="95">
        <v>1.1659999999999999</v>
      </c>
      <c r="G89" s="95">
        <v>1.1659999999999999</v>
      </c>
      <c r="H89" s="95">
        <v>0</v>
      </c>
      <c r="I89" s="95">
        <v>0</v>
      </c>
      <c r="J89" s="96">
        <v>0.16859578221357874</v>
      </c>
      <c r="K89" s="92">
        <v>4</v>
      </c>
      <c r="L89" s="92" t="s">
        <v>277</v>
      </c>
      <c r="M89" s="407" t="s">
        <v>271</v>
      </c>
      <c r="N89" s="92"/>
      <c r="O89" s="92" t="s">
        <v>32</v>
      </c>
      <c r="P89" s="158">
        <v>0</v>
      </c>
      <c r="Q89" s="158"/>
      <c r="R89" s="97"/>
      <c r="S89" s="97"/>
      <c r="T89" s="97"/>
      <c r="U89" s="97"/>
      <c r="V89" s="97"/>
      <c r="W89" s="97"/>
    </row>
    <row r="90" spans="1:23" s="68" customFormat="1" ht="14.4">
      <c r="A90" s="92" t="s">
        <v>350</v>
      </c>
      <c r="B90" s="92" t="s">
        <v>351</v>
      </c>
      <c r="C90" s="95">
        <v>0.35</v>
      </c>
      <c r="D90" s="95">
        <v>0.35</v>
      </c>
      <c r="E90" s="95">
        <v>0.35</v>
      </c>
      <c r="F90" s="95">
        <v>0.35</v>
      </c>
      <c r="G90" s="95">
        <v>0.35</v>
      </c>
      <c r="H90" s="95">
        <v>0</v>
      </c>
      <c r="I90" s="95">
        <v>0</v>
      </c>
      <c r="J90" s="96">
        <v>0.13542218834517952</v>
      </c>
      <c r="K90" s="92">
        <v>4</v>
      </c>
      <c r="L90" s="92" t="s">
        <v>277</v>
      </c>
      <c r="M90" s="407" t="s">
        <v>271</v>
      </c>
      <c r="N90" s="92"/>
      <c r="O90" s="92" t="s">
        <v>32</v>
      </c>
      <c r="P90" s="158">
        <v>0</v>
      </c>
      <c r="Q90" s="158"/>
      <c r="R90" s="97"/>
      <c r="S90" s="97"/>
      <c r="T90" s="97"/>
      <c r="U90" s="97"/>
      <c r="V90" s="97"/>
      <c r="W90" s="97"/>
    </row>
    <row r="91" spans="1:23" s="68" customFormat="1" ht="14.4">
      <c r="A91" s="92" t="s">
        <v>249</v>
      </c>
      <c r="B91" s="92" t="s">
        <v>105</v>
      </c>
      <c r="C91" s="95">
        <v>30.574999999999999</v>
      </c>
      <c r="D91" s="95">
        <v>30.175999999999998</v>
      </c>
      <c r="E91" s="95">
        <v>32.918999999999997</v>
      </c>
      <c r="F91" s="95">
        <v>30.437000000000001</v>
      </c>
      <c r="G91" s="95">
        <v>30.533999999999999</v>
      </c>
      <c r="H91" s="95">
        <v>30.343</v>
      </c>
      <c r="I91" s="95">
        <v>29.702000000000002</v>
      </c>
      <c r="J91" s="96">
        <v>36.700000000000003</v>
      </c>
      <c r="K91" s="92">
        <v>2</v>
      </c>
      <c r="L91" s="92" t="s">
        <v>106</v>
      </c>
      <c r="M91" s="407" t="s">
        <v>107</v>
      </c>
      <c r="N91" s="92"/>
      <c r="O91" s="92" t="s">
        <v>32</v>
      </c>
      <c r="P91" s="158">
        <v>0</v>
      </c>
      <c r="Q91" s="97"/>
      <c r="R91" s="97"/>
      <c r="S91" s="97"/>
      <c r="T91" s="97"/>
      <c r="U91" s="97"/>
      <c r="V91" s="97"/>
      <c r="W91" s="97"/>
    </row>
    <row r="92" spans="1:23" s="68" customFormat="1" ht="14.4">
      <c r="A92" s="92" t="s">
        <v>694</v>
      </c>
      <c r="B92" s="92" t="s">
        <v>250</v>
      </c>
      <c r="C92" s="95">
        <v>8.1050210000000007</v>
      </c>
      <c r="D92" s="92">
        <v>29.852</v>
      </c>
      <c r="E92" s="92">
        <v>28.635999999999999</v>
      </c>
      <c r="F92" s="92">
        <v>28.861000000000001</v>
      </c>
      <c r="G92" s="92">
        <v>28.949000000000002</v>
      </c>
      <c r="H92" s="92">
        <v>28.023</v>
      </c>
      <c r="I92" s="92">
        <v>28.023</v>
      </c>
      <c r="J92" s="92">
        <v>68</v>
      </c>
      <c r="K92" s="92">
        <v>1</v>
      </c>
      <c r="L92" s="92" t="s">
        <v>95</v>
      </c>
      <c r="M92" s="407" t="s">
        <v>108</v>
      </c>
      <c r="N92" s="92"/>
      <c r="O92" s="92" t="s">
        <v>32</v>
      </c>
      <c r="P92" s="92">
        <v>0</v>
      </c>
      <c r="Q92" s="97"/>
      <c r="R92" s="97"/>
      <c r="S92" s="97">
        <v>8.5549999999999997</v>
      </c>
      <c r="T92" s="97">
        <v>9.1020000000000003</v>
      </c>
      <c r="U92" s="97">
        <v>8.1219999999999999</v>
      </c>
      <c r="V92" s="97">
        <v>3.7250000000000001</v>
      </c>
      <c r="W92" s="97">
        <v>3.7250000000000001</v>
      </c>
    </row>
    <row r="93" spans="1:23" s="68" customFormat="1" ht="14.4">
      <c r="A93" s="92" t="s">
        <v>426</v>
      </c>
      <c r="B93" s="92" t="s">
        <v>490</v>
      </c>
      <c r="C93" s="92">
        <v>6.1180000000000003</v>
      </c>
      <c r="D93" s="92">
        <v>5.92</v>
      </c>
      <c r="E93" s="92">
        <v>6.2060000000000004</v>
      </c>
      <c r="F93" s="92">
        <v>2.8109999999999999</v>
      </c>
      <c r="G93" s="92">
        <v>2.7410000000000001</v>
      </c>
      <c r="H93" s="92">
        <v>2.7410000000000001</v>
      </c>
      <c r="I93" s="92">
        <v>2.7410000000000001</v>
      </c>
      <c r="J93" s="92">
        <v>13.8</v>
      </c>
      <c r="K93" s="92">
        <v>2</v>
      </c>
      <c r="L93" s="92" t="s">
        <v>106</v>
      </c>
      <c r="M93" s="407" t="s">
        <v>107</v>
      </c>
      <c r="N93" s="92"/>
      <c r="O93" s="92" t="s">
        <v>32</v>
      </c>
      <c r="P93" s="92">
        <v>0</v>
      </c>
      <c r="Q93" s="97"/>
      <c r="R93" s="97"/>
      <c r="S93" s="97"/>
      <c r="T93" s="97"/>
      <c r="U93" s="97"/>
      <c r="V93" s="97"/>
      <c r="W93" s="97"/>
    </row>
    <row r="94" spans="1:23" s="68" customFormat="1" ht="14.4">
      <c r="A94" s="92" t="s">
        <v>253</v>
      </c>
      <c r="B94" s="92" t="s">
        <v>252</v>
      </c>
      <c r="C94" s="92">
        <v>0.4</v>
      </c>
      <c r="D94" s="92">
        <v>0.4</v>
      </c>
      <c r="E94" s="92">
        <v>0.4</v>
      </c>
      <c r="F94" s="92">
        <v>0.4</v>
      </c>
      <c r="G94" s="92">
        <v>0.4</v>
      </c>
      <c r="H94" s="92">
        <v>0.4</v>
      </c>
      <c r="I94" s="92">
        <v>0.4</v>
      </c>
      <c r="J94" s="92">
        <v>0.9</v>
      </c>
      <c r="K94" s="92">
        <v>4</v>
      </c>
      <c r="L94" s="92" t="s">
        <v>277</v>
      </c>
      <c r="M94" s="407" t="s">
        <v>313</v>
      </c>
      <c r="N94" s="92"/>
      <c r="O94" s="92" t="s">
        <v>32</v>
      </c>
      <c r="P94" s="92">
        <v>0</v>
      </c>
      <c r="Q94" s="97"/>
      <c r="R94" s="97"/>
      <c r="S94" s="97"/>
      <c r="T94" s="97"/>
      <c r="U94" s="97"/>
      <c r="V94" s="97"/>
      <c r="W94" s="97"/>
    </row>
    <row r="95" spans="1:23" s="68" customFormat="1" ht="14.4">
      <c r="A95" s="92" t="s">
        <v>254</v>
      </c>
      <c r="B95" s="92" t="s">
        <v>312</v>
      </c>
      <c r="C95" s="92">
        <v>1.7</v>
      </c>
      <c r="D95" s="92">
        <v>1.4590000000000001</v>
      </c>
      <c r="E95" s="92">
        <v>1.679</v>
      </c>
      <c r="F95" s="92">
        <v>1.6839999999999999</v>
      </c>
      <c r="G95" s="92">
        <v>1.6910000000000001</v>
      </c>
      <c r="H95" s="92">
        <v>1.6910000000000001</v>
      </c>
      <c r="I95" s="92">
        <v>1.6919999999999999</v>
      </c>
      <c r="J95" s="92">
        <v>3.7</v>
      </c>
      <c r="K95" s="92">
        <v>4</v>
      </c>
      <c r="L95" s="92" t="s">
        <v>277</v>
      </c>
      <c r="M95" s="407" t="s">
        <v>112</v>
      </c>
      <c r="N95" s="92"/>
      <c r="O95" s="92" t="s">
        <v>32</v>
      </c>
      <c r="P95" s="92">
        <v>0</v>
      </c>
      <c r="Q95" s="97"/>
      <c r="R95" s="97"/>
      <c r="S95" s="97"/>
      <c r="T95" s="97"/>
      <c r="U95" s="97"/>
      <c r="V95" s="97"/>
      <c r="W95" s="97"/>
    </row>
    <row r="96" spans="1:23" s="68" customFormat="1" ht="14.4">
      <c r="A96" s="92" t="s">
        <v>255</v>
      </c>
      <c r="B96" s="92" t="s">
        <v>115</v>
      </c>
      <c r="C96" s="92">
        <v>4.0339999999999998</v>
      </c>
      <c r="D96" s="92">
        <v>4.1769999999999996</v>
      </c>
      <c r="E96" s="92">
        <v>4.1310000000000002</v>
      </c>
      <c r="F96" s="92">
        <v>4.1310000000000002</v>
      </c>
      <c r="G96" s="92">
        <v>4.1310000000000002</v>
      </c>
      <c r="H96" s="92">
        <v>4.1319999999999997</v>
      </c>
      <c r="I96" s="92">
        <v>4.3650000000000002</v>
      </c>
      <c r="J96" s="96">
        <v>25.178915925073124</v>
      </c>
      <c r="K96" s="92">
        <v>4</v>
      </c>
      <c r="L96" s="92" t="s">
        <v>277</v>
      </c>
      <c r="M96" s="407" t="s">
        <v>116</v>
      </c>
      <c r="N96" s="92"/>
      <c r="O96" s="92" t="s">
        <v>32</v>
      </c>
      <c r="P96" s="92">
        <v>0</v>
      </c>
      <c r="Q96" s="97"/>
      <c r="R96" s="97"/>
      <c r="S96" s="97"/>
      <c r="T96" s="97"/>
      <c r="U96" s="97"/>
      <c r="V96" s="97"/>
      <c r="W96" s="97"/>
    </row>
    <row r="97" spans="1:24" s="68" customFormat="1" ht="14.4">
      <c r="A97" s="92" t="s">
        <v>251</v>
      </c>
      <c r="B97" s="92" t="s">
        <v>688</v>
      </c>
      <c r="C97" s="92">
        <v>0.26200000000000001</v>
      </c>
      <c r="D97" s="92">
        <v>0.39500000000000002</v>
      </c>
      <c r="E97" s="92">
        <v>0.39500000000000002</v>
      </c>
      <c r="F97" s="92">
        <v>0.377</v>
      </c>
      <c r="G97" s="92">
        <v>0.377</v>
      </c>
      <c r="H97" s="92">
        <v>0.377</v>
      </c>
      <c r="I97" s="92">
        <v>0.377</v>
      </c>
      <c r="J97" s="96">
        <v>0.9</v>
      </c>
      <c r="K97" s="92">
        <v>4</v>
      </c>
      <c r="L97" s="92" t="s">
        <v>277</v>
      </c>
      <c r="M97" s="407" t="s">
        <v>17</v>
      </c>
      <c r="N97" s="92"/>
      <c r="O97" s="92" t="s">
        <v>32</v>
      </c>
      <c r="P97" s="92">
        <v>0</v>
      </c>
      <c r="Q97" s="97"/>
      <c r="R97" s="97"/>
      <c r="S97" s="97"/>
      <c r="T97" s="97"/>
      <c r="U97" s="97"/>
      <c r="V97" s="97"/>
      <c r="W97" s="97"/>
    </row>
    <row r="98" spans="1:24" s="68" customFormat="1" ht="14.4">
      <c r="A98" s="116" t="s">
        <v>310</v>
      </c>
      <c r="B98" s="92" t="s">
        <v>311</v>
      </c>
      <c r="C98" s="95">
        <v>0</v>
      </c>
      <c r="D98" s="95">
        <v>0</v>
      </c>
      <c r="E98" s="95">
        <v>0</v>
      </c>
      <c r="F98" s="95">
        <v>0</v>
      </c>
      <c r="G98" s="95">
        <v>0</v>
      </c>
      <c r="H98" s="95">
        <v>0</v>
      </c>
      <c r="I98" s="95">
        <v>0</v>
      </c>
      <c r="J98" s="96">
        <v>1.3</v>
      </c>
      <c r="K98" s="92">
        <v>2</v>
      </c>
      <c r="L98" s="92" t="s">
        <v>106</v>
      </c>
      <c r="M98" s="407" t="s">
        <v>23</v>
      </c>
      <c r="N98" s="92"/>
      <c r="O98" s="92" t="s">
        <v>32</v>
      </c>
      <c r="P98" s="158">
        <v>0</v>
      </c>
      <c r="Q98" s="97"/>
      <c r="R98" s="97"/>
      <c r="S98" s="97"/>
      <c r="T98" s="97"/>
      <c r="U98" s="97"/>
      <c r="V98" s="97"/>
      <c r="W98" s="97"/>
    </row>
    <row r="99" spans="1:24" s="68" customFormat="1" ht="14.4">
      <c r="A99" s="92" t="s">
        <v>427</v>
      </c>
      <c r="B99" s="92" t="s">
        <v>109</v>
      </c>
      <c r="C99" s="92">
        <v>3.7999999999999999E-2</v>
      </c>
      <c r="D99" s="92">
        <v>3.7999999999999999E-2</v>
      </c>
      <c r="E99" s="92">
        <v>0.04</v>
      </c>
      <c r="F99" s="92">
        <v>0.04</v>
      </c>
      <c r="G99" s="92">
        <v>0.04</v>
      </c>
      <c r="H99" s="92">
        <v>0.04</v>
      </c>
      <c r="I99" s="92">
        <v>0.04</v>
      </c>
      <c r="J99" s="96">
        <v>0.14031978139655107</v>
      </c>
      <c r="K99" s="92">
        <v>4</v>
      </c>
      <c r="L99" s="92" t="s">
        <v>277</v>
      </c>
      <c r="M99" s="407" t="s">
        <v>110</v>
      </c>
      <c r="N99" s="92"/>
      <c r="O99" s="92" t="s">
        <v>32</v>
      </c>
      <c r="P99" s="92">
        <v>0</v>
      </c>
      <c r="Q99" s="323"/>
      <c r="R99" s="323"/>
      <c r="S99" s="97"/>
      <c r="T99" s="97"/>
      <c r="U99" s="97"/>
      <c r="V99" s="97"/>
      <c r="W99" s="97"/>
      <c r="X99" s="97"/>
    </row>
    <row r="100" spans="1:24" s="68" customFormat="1" ht="14.4">
      <c r="A100" s="92" t="s">
        <v>254</v>
      </c>
      <c r="B100" s="92" t="s">
        <v>307</v>
      </c>
      <c r="C100" s="92">
        <v>0.1</v>
      </c>
      <c r="D100" s="92">
        <v>0.1</v>
      </c>
      <c r="E100" s="92">
        <v>0.1</v>
      </c>
      <c r="F100" s="92">
        <v>0.1</v>
      </c>
      <c r="G100" s="92">
        <v>0.1</v>
      </c>
      <c r="H100" s="92">
        <v>0.1</v>
      </c>
      <c r="I100" s="92">
        <v>0</v>
      </c>
      <c r="J100" s="96">
        <v>0.17560804284836246</v>
      </c>
      <c r="K100" s="92">
        <v>4</v>
      </c>
      <c r="L100" s="92" t="s">
        <v>277</v>
      </c>
      <c r="M100" s="407" t="s">
        <v>313</v>
      </c>
      <c r="N100" s="92"/>
      <c r="O100" s="92" t="s">
        <v>32</v>
      </c>
      <c r="P100" s="92">
        <v>0</v>
      </c>
      <c r="Q100" s="97"/>
      <c r="R100" s="97"/>
      <c r="S100" s="97"/>
      <c r="T100" s="97"/>
      <c r="U100" s="97"/>
      <c r="V100" s="97"/>
      <c r="W100" s="97"/>
    </row>
    <row r="101" spans="1:24" s="68" customFormat="1" ht="14.4">
      <c r="A101" s="116" t="s">
        <v>309</v>
      </c>
      <c r="B101" s="92" t="s">
        <v>308</v>
      </c>
      <c r="C101" s="95">
        <v>0</v>
      </c>
      <c r="D101" s="95">
        <v>0</v>
      </c>
      <c r="E101" s="95">
        <v>0</v>
      </c>
      <c r="F101" s="95">
        <v>0</v>
      </c>
      <c r="G101" s="95">
        <v>0</v>
      </c>
      <c r="H101" s="95">
        <v>0</v>
      </c>
      <c r="I101" s="95">
        <v>0</v>
      </c>
      <c r="J101" s="96">
        <v>0</v>
      </c>
      <c r="K101" s="92">
        <v>4</v>
      </c>
      <c r="L101" s="92" t="s">
        <v>277</v>
      </c>
      <c r="M101" s="407" t="s">
        <v>56</v>
      </c>
      <c r="N101" s="92"/>
      <c r="O101" s="92" t="s">
        <v>32</v>
      </c>
      <c r="P101" s="158">
        <v>0</v>
      </c>
      <c r="Q101" s="97"/>
      <c r="R101" s="97"/>
      <c r="S101" s="97"/>
      <c r="T101" s="97"/>
      <c r="U101" s="97"/>
      <c r="V101" s="97"/>
      <c r="W101" s="97"/>
    </row>
    <row r="102" spans="1:24" s="68" customFormat="1" ht="14.4">
      <c r="A102" s="116" t="s">
        <v>120</v>
      </c>
      <c r="B102" s="92" t="s">
        <v>121</v>
      </c>
      <c r="C102" s="158">
        <v>0.22500000000000001</v>
      </c>
      <c r="D102" s="158">
        <v>0.22500000000000001</v>
      </c>
      <c r="E102" s="158">
        <v>0.32</v>
      </c>
      <c r="F102" s="158">
        <v>0.3</v>
      </c>
      <c r="G102" s="158">
        <v>0</v>
      </c>
      <c r="H102" s="158">
        <v>0</v>
      </c>
      <c r="I102" s="158">
        <v>0</v>
      </c>
      <c r="J102" s="353">
        <v>3.2533491422002764E-2</v>
      </c>
      <c r="K102" s="158">
        <v>4</v>
      </c>
      <c r="L102" s="158" t="s">
        <v>277</v>
      </c>
      <c r="M102" s="407" t="s">
        <v>4</v>
      </c>
      <c r="N102" s="92"/>
      <c r="O102" s="92" t="s">
        <v>33</v>
      </c>
      <c r="P102" s="92">
        <v>0</v>
      </c>
      <c r="Q102" s="97"/>
      <c r="R102" s="97"/>
      <c r="S102" s="97"/>
      <c r="T102" s="97"/>
      <c r="U102" s="97"/>
      <c r="V102" s="97"/>
      <c r="W102" s="97"/>
    </row>
    <row r="103" spans="1:24" s="68" customFormat="1" ht="14.4">
      <c r="A103" s="116" t="s">
        <v>120</v>
      </c>
      <c r="B103" s="116" t="s">
        <v>257</v>
      </c>
      <c r="C103" s="158">
        <v>0</v>
      </c>
      <c r="D103" s="158">
        <v>1.3</v>
      </c>
      <c r="E103" s="158">
        <v>1.5</v>
      </c>
      <c r="F103" s="158">
        <v>1.5</v>
      </c>
      <c r="G103" s="158">
        <v>1.5</v>
      </c>
      <c r="H103" s="158">
        <v>1.5</v>
      </c>
      <c r="I103" s="158">
        <v>1.5</v>
      </c>
      <c r="J103" s="158">
        <v>0.2</v>
      </c>
      <c r="K103" s="158">
        <v>4</v>
      </c>
      <c r="L103" s="116" t="s">
        <v>277</v>
      </c>
      <c r="M103" s="413" t="s">
        <v>114</v>
      </c>
      <c r="N103" s="116"/>
      <c r="O103" s="92" t="s">
        <v>33</v>
      </c>
      <c r="P103" s="92">
        <v>0</v>
      </c>
      <c r="Q103" s="97"/>
      <c r="R103" s="97"/>
      <c r="S103" s="97"/>
      <c r="T103" s="97"/>
      <c r="U103" s="97"/>
      <c r="V103" s="97"/>
      <c r="W103" s="97"/>
    </row>
    <row r="104" spans="1:24" s="68" customFormat="1" ht="14.4">
      <c r="A104" s="92" t="s">
        <v>689</v>
      </c>
      <c r="B104" s="92" t="s">
        <v>690</v>
      </c>
      <c r="C104" s="158">
        <v>16.353000000000002</v>
      </c>
      <c r="D104" s="158">
        <v>15.63</v>
      </c>
      <c r="E104" s="158">
        <v>12.268000000000001</v>
      </c>
      <c r="F104" s="158">
        <v>12.189</v>
      </c>
      <c r="G104" s="158">
        <v>11.855</v>
      </c>
      <c r="H104" s="158">
        <v>9.84</v>
      </c>
      <c r="I104" s="158">
        <v>9.84</v>
      </c>
      <c r="J104" s="96">
        <v>1.9</v>
      </c>
      <c r="K104" s="92">
        <v>4</v>
      </c>
      <c r="L104" s="92" t="s">
        <v>277</v>
      </c>
      <c r="M104" s="407" t="s">
        <v>691</v>
      </c>
      <c r="N104" s="92"/>
      <c r="O104" s="92" t="s">
        <v>33</v>
      </c>
      <c r="P104" s="158">
        <v>0</v>
      </c>
      <c r="Q104" s="97"/>
      <c r="R104" s="97"/>
      <c r="S104" s="97"/>
      <c r="T104" s="97"/>
      <c r="U104" s="97"/>
      <c r="V104" s="97"/>
      <c r="W104" s="97"/>
    </row>
    <row r="105" spans="1:24" s="68" customFormat="1" ht="14.4">
      <c r="A105" s="92" t="s">
        <v>494</v>
      </c>
      <c r="B105" s="92" t="s">
        <v>493</v>
      </c>
      <c r="C105" s="158">
        <v>3.3780000000000001</v>
      </c>
      <c r="D105" s="158">
        <v>3.1890000000000001</v>
      </c>
      <c r="E105" s="158">
        <v>1.137</v>
      </c>
      <c r="F105" s="158">
        <v>1.133</v>
      </c>
      <c r="G105" s="158">
        <v>1.133</v>
      </c>
      <c r="H105" s="158">
        <v>1.133</v>
      </c>
      <c r="I105" s="158">
        <v>1.133</v>
      </c>
      <c r="J105" s="158">
        <v>0.8</v>
      </c>
      <c r="K105" s="92">
        <v>4</v>
      </c>
      <c r="L105" s="92" t="s">
        <v>277</v>
      </c>
      <c r="M105" s="407" t="s">
        <v>495</v>
      </c>
      <c r="N105" s="92"/>
      <c r="O105" s="92" t="s">
        <v>33</v>
      </c>
      <c r="P105" s="158">
        <v>0</v>
      </c>
      <c r="Q105" s="97"/>
      <c r="R105" s="97"/>
      <c r="S105" s="97"/>
      <c r="T105" s="97"/>
      <c r="U105" s="97"/>
      <c r="V105" s="97"/>
      <c r="W105" s="97"/>
    </row>
    <row r="106" spans="1:24" s="68" customFormat="1" ht="14.4">
      <c r="A106" s="92" t="s">
        <v>496</v>
      </c>
      <c r="B106" s="92" t="s">
        <v>492</v>
      </c>
      <c r="C106" s="158">
        <v>3.5419999999999998</v>
      </c>
      <c r="D106" s="158">
        <v>2.0310000000000001</v>
      </c>
      <c r="E106" s="158">
        <v>2.39</v>
      </c>
      <c r="F106" s="158">
        <v>2.1139999999999999</v>
      </c>
      <c r="G106" s="158">
        <v>1.9370000000000001</v>
      </c>
      <c r="H106" s="158">
        <v>1.651</v>
      </c>
      <c r="I106" s="158">
        <v>1.651</v>
      </c>
      <c r="J106" s="158">
        <v>22.4</v>
      </c>
      <c r="K106" s="92">
        <v>4</v>
      </c>
      <c r="L106" s="92" t="s">
        <v>277</v>
      </c>
      <c r="M106" s="407" t="s">
        <v>33</v>
      </c>
      <c r="N106" s="92"/>
      <c r="O106" s="92" t="s">
        <v>33</v>
      </c>
      <c r="P106" s="158">
        <v>0</v>
      </c>
      <c r="Q106" s="97"/>
      <c r="R106" s="97"/>
      <c r="S106" s="97"/>
      <c r="T106" s="97"/>
      <c r="U106" s="97"/>
      <c r="V106" s="97"/>
      <c r="W106" s="97"/>
    </row>
    <row r="107" spans="1:24" s="7" customFormat="1" ht="14.4">
      <c r="A107" s="7" t="s">
        <v>497</v>
      </c>
      <c r="B107" s="7" t="s">
        <v>491</v>
      </c>
      <c r="C107" s="158">
        <v>1.776</v>
      </c>
      <c r="D107" s="158">
        <v>1.774</v>
      </c>
      <c r="E107" s="158">
        <v>1.9570000000000001</v>
      </c>
      <c r="F107" s="158">
        <v>1.82</v>
      </c>
      <c r="G107" s="158">
        <v>1.3819999999999999</v>
      </c>
      <c r="H107" s="158">
        <v>0.83599999999999997</v>
      </c>
      <c r="I107" s="158">
        <v>0.83599999999999997</v>
      </c>
      <c r="J107" s="158">
        <v>41.9</v>
      </c>
      <c r="K107" s="7">
        <v>4</v>
      </c>
      <c r="L107" s="92" t="s">
        <v>277</v>
      </c>
      <c r="M107" s="407" t="s">
        <v>33</v>
      </c>
      <c r="N107" s="92"/>
      <c r="O107" s="92" t="s">
        <v>33</v>
      </c>
      <c r="P107" s="61">
        <v>0</v>
      </c>
      <c r="Q107" s="58"/>
      <c r="R107" s="58"/>
      <c r="S107" s="58"/>
      <c r="T107" s="58"/>
      <c r="U107" s="58"/>
      <c r="V107" s="58"/>
      <c r="W107" s="58"/>
    </row>
    <row r="108" spans="1:24" s="7" customFormat="1" ht="14.4">
      <c r="A108" s="7" t="s">
        <v>314</v>
      </c>
      <c r="B108" s="7" t="s">
        <v>428</v>
      </c>
      <c r="C108" s="158">
        <v>7.8410000000000002</v>
      </c>
      <c r="D108" s="158">
        <v>3.5979999999999999</v>
      </c>
      <c r="E108" s="158">
        <v>2.7029999999999998</v>
      </c>
      <c r="F108" s="158">
        <v>4.8079999999999998</v>
      </c>
      <c r="G108" s="158">
        <v>4.2190000000000003</v>
      </c>
      <c r="H108" s="158">
        <v>4.2190000000000003</v>
      </c>
      <c r="I108" s="158">
        <v>0</v>
      </c>
      <c r="J108" s="96">
        <v>2.6</v>
      </c>
      <c r="K108" s="7">
        <v>4</v>
      </c>
      <c r="L108" s="92" t="s">
        <v>277</v>
      </c>
      <c r="M108" s="407" t="s">
        <v>495</v>
      </c>
      <c r="N108" s="92"/>
      <c r="O108" s="92" t="s">
        <v>33</v>
      </c>
      <c r="P108" s="61">
        <v>0</v>
      </c>
      <c r="Q108" s="58"/>
      <c r="R108" s="58"/>
      <c r="S108" s="58"/>
      <c r="T108" s="58"/>
      <c r="U108" s="58"/>
      <c r="V108" s="58"/>
      <c r="W108" s="58"/>
    </row>
    <row r="109" spans="1:24" s="7" customFormat="1">
      <c r="A109" s="92" t="s">
        <v>781</v>
      </c>
      <c r="B109" s="92" t="s">
        <v>782</v>
      </c>
      <c r="C109" s="92">
        <v>0.60799999999999998</v>
      </c>
      <c r="D109" s="92">
        <v>0.624</v>
      </c>
      <c r="E109" s="92">
        <v>0.62</v>
      </c>
      <c r="F109" s="92">
        <v>0.62</v>
      </c>
      <c r="G109" s="92">
        <v>0.62</v>
      </c>
      <c r="H109" s="92">
        <v>0.62</v>
      </c>
      <c r="I109" s="92">
        <v>0.62</v>
      </c>
      <c r="J109" s="92">
        <v>1.3</v>
      </c>
      <c r="K109" s="92">
        <v>2</v>
      </c>
      <c r="L109" s="92" t="s">
        <v>106</v>
      </c>
      <c r="M109" s="407" t="s">
        <v>23</v>
      </c>
      <c r="N109" s="92"/>
      <c r="O109" s="92" t="s">
        <v>32</v>
      </c>
      <c r="P109" s="92">
        <v>0</v>
      </c>
      <c r="Q109" s="58" t="s">
        <v>784</v>
      </c>
      <c r="R109" s="58"/>
      <c r="S109" s="58"/>
      <c r="T109" s="58"/>
      <c r="U109" s="58"/>
      <c r="V109" s="58"/>
      <c r="W109" s="58"/>
    </row>
    <row r="110" spans="1:24" s="7" customFormat="1">
      <c r="A110" s="92" t="s">
        <v>256</v>
      </c>
      <c r="B110" s="92" t="s">
        <v>783</v>
      </c>
      <c r="C110" s="92">
        <v>0.36499999999999999</v>
      </c>
      <c r="D110" s="92">
        <v>0.316</v>
      </c>
      <c r="E110" s="92">
        <v>0.46300000000000002</v>
      </c>
      <c r="F110" s="92">
        <v>0.46300000000000002</v>
      </c>
      <c r="G110" s="92">
        <v>0.46300000000000002</v>
      </c>
      <c r="H110" s="92">
        <v>0.46400000000000002</v>
      </c>
      <c r="I110" s="92">
        <v>0.46400000000000002</v>
      </c>
      <c r="J110" s="92">
        <v>1.6</v>
      </c>
      <c r="K110" s="92">
        <v>2</v>
      </c>
      <c r="L110" s="92" t="s">
        <v>106</v>
      </c>
      <c r="M110" s="407" t="s">
        <v>24</v>
      </c>
      <c r="N110" s="92"/>
      <c r="O110" s="92" t="s">
        <v>32</v>
      </c>
      <c r="P110" s="92">
        <v>0</v>
      </c>
      <c r="Q110" s="58" t="s">
        <v>785</v>
      </c>
      <c r="R110" s="58"/>
      <c r="S110" s="58"/>
      <c r="T110" s="58"/>
      <c r="U110" s="58"/>
      <c r="V110" s="58"/>
      <c r="W110" s="58"/>
    </row>
    <row r="111" spans="1:24" s="7" customFormat="1">
      <c r="A111" s="92"/>
      <c r="B111" s="92" t="s">
        <v>829</v>
      </c>
      <c r="C111" s="92">
        <v>0</v>
      </c>
      <c r="D111" s="92">
        <v>0.67400000000000004</v>
      </c>
      <c r="E111" s="92">
        <v>13.868</v>
      </c>
      <c r="F111" s="92">
        <v>12.938000000000001</v>
      </c>
      <c r="G111" s="92">
        <v>11.811999999999999</v>
      </c>
      <c r="H111" s="92">
        <v>11.811999999999999</v>
      </c>
      <c r="I111" s="92">
        <v>0</v>
      </c>
      <c r="J111" s="92">
        <v>50</v>
      </c>
      <c r="K111" s="92">
        <v>4</v>
      </c>
      <c r="L111" s="92" t="s">
        <v>277</v>
      </c>
      <c r="M111" s="407" t="s">
        <v>832</v>
      </c>
      <c r="N111" s="92"/>
      <c r="O111" s="92" t="s">
        <v>33</v>
      </c>
      <c r="P111" s="92">
        <v>100</v>
      </c>
      <c r="Q111" s="58">
        <f t="shared" ref="Q111:W111" si="35">$P111*C111/100</f>
        <v>0</v>
      </c>
      <c r="R111" s="58">
        <f t="shared" si="35"/>
        <v>0.67400000000000004</v>
      </c>
      <c r="S111" s="58">
        <f t="shared" si="35"/>
        <v>13.868</v>
      </c>
      <c r="T111" s="58">
        <f t="shared" si="35"/>
        <v>12.937999999999999</v>
      </c>
      <c r="U111" s="58">
        <f t="shared" si="35"/>
        <v>11.812000000000001</v>
      </c>
      <c r="V111" s="58">
        <f t="shared" si="35"/>
        <v>11.812000000000001</v>
      </c>
      <c r="W111" s="58">
        <f t="shared" si="35"/>
        <v>0</v>
      </c>
    </row>
    <row r="112" spans="1:24" s="7" customFormat="1">
      <c r="A112" s="92"/>
      <c r="B112" s="92" t="s">
        <v>830</v>
      </c>
      <c r="C112" s="92">
        <v>0</v>
      </c>
      <c r="D112" s="92">
        <v>3</v>
      </c>
      <c r="E112" s="92">
        <v>25</v>
      </c>
      <c r="F112" s="92">
        <v>35</v>
      </c>
      <c r="G112" s="92">
        <v>40</v>
      </c>
      <c r="H112" s="92">
        <v>45</v>
      </c>
      <c r="I112" s="92">
        <v>35</v>
      </c>
      <c r="J112" s="92">
        <v>50</v>
      </c>
      <c r="K112" s="92">
        <v>4</v>
      </c>
      <c r="L112" s="92" t="s">
        <v>277</v>
      </c>
      <c r="M112" s="407" t="s">
        <v>832</v>
      </c>
      <c r="N112" s="92"/>
      <c r="O112" s="92" t="s">
        <v>33</v>
      </c>
      <c r="P112" s="92">
        <v>100</v>
      </c>
      <c r="Q112" s="58">
        <f t="shared" ref="Q112:Q113" si="36">$P112*C112/100</f>
        <v>0</v>
      </c>
      <c r="R112" s="58">
        <f t="shared" ref="R112:R113" si="37">$P112*D112/100</f>
        <v>3</v>
      </c>
      <c r="S112" s="58">
        <f t="shared" ref="S112:S113" si="38">$P112*E112/100</f>
        <v>25</v>
      </c>
      <c r="T112" s="58">
        <f t="shared" ref="T112:T113" si="39">$P112*F112/100</f>
        <v>35</v>
      </c>
      <c r="U112" s="58">
        <f t="shared" ref="U112:U113" si="40">$P112*G112/100</f>
        <v>40</v>
      </c>
      <c r="V112" s="58">
        <f t="shared" ref="V112:V113" si="41">$P112*H112/100</f>
        <v>45</v>
      </c>
      <c r="W112" s="58">
        <f t="shared" ref="W112:W113" si="42">$P112*I112/100</f>
        <v>35</v>
      </c>
    </row>
    <row r="113" spans="1:23" s="7" customFormat="1">
      <c r="A113" s="92"/>
      <c r="B113" s="92" t="s">
        <v>831</v>
      </c>
      <c r="C113" s="92">
        <v>0</v>
      </c>
      <c r="D113" s="92">
        <v>9.5</v>
      </c>
      <c r="E113" s="92">
        <v>15.6</v>
      </c>
      <c r="F113" s="92">
        <v>25.1</v>
      </c>
      <c r="G113" s="92">
        <v>0</v>
      </c>
      <c r="H113" s="92">
        <v>0</v>
      </c>
      <c r="I113" s="92">
        <v>0</v>
      </c>
      <c r="J113" s="92">
        <v>50</v>
      </c>
      <c r="K113" s="92">
        <v>4</v>
      </c>
      <c r="L113" s="92" t="s">
        <v>277</v>
      </c>
      <c r="M113" s="407" t="s">
        <v>832</v>
      </c>
      <c r="N113" s="92"/>
      <c r="O113" s="92" t="s">
        <v>833</v>
      </c>
      <c r="P113" s="92">
        <v>100</v>
      </c>
      <c r="Q113" s="58">
        <f t="shared" si="36"/>
        <v>0</v>
      </c>
      <c r="R113" s="58">
        <f t="shared" si="37"/>
        <v>9.5</v>
      </c>
      <c r="S113" s="58">
        <f t="shared" si="38"/>
        <v>15.6</v>
      </c>
      <c r="T113" s="58">
        <f t="shared" si="39"/>
        <v>25.1</v>
      </c>
      <c r="U113" s="58">
        <f t="shared" si="40"/>
        <v>0</v>
      </c>
      <c r="V113" s="58">
        <f t="shared" si="41"/>
        <v>0</v>
      </c>
      <c r="W113" s="58">
        <f t="shared" si="42"/>
        <v>0</v>
      </c>
    </row>
    <row r="114" spans="1:23" s="68" customFormat="1" ht="14.4">
      <c r="A114" s="361"/>
      <c r="B114" s="68" t="s">
        <v>342</v>
      </c>
      <c r="C114" s="98">
        <f t="shared" ref="C114:G114" si="43">SUM(C82:C113)</f>
        <v>89.150020999999995</v>
      </c>
      <c r="D114" s="98">
        <f t="shared" si="43"/>
        <v>117.82799999999999</v>
      </c>
      <c r="E114" s="98">
        <f t="shared" si="43"/>
        <v>155.89899999999997</v>
      </c>
      <c r="F114" s="98">
        <f t="shared" si="43"/>
        <v>170.41799999999998</v>
      </c>
      <c r="G114" s="98">
        <f t="shared" si="43"/>
        <v>147.62599999999998</v>
      </c>
      <c r="H114" s="98">
        <f>SUM(H82:H113)</f>
        <v>146.02499999999998</v>
      </c>
      <c r="I114" s="98">
        <f>SUM(I82:I113)</f>
        <v>119.48699999999999</v>
      </c>
      <c r="J114" s="98"/>
      <c r="L114" s="20"/>
      <c r="M114" s="408"/>
      <c r="P114" s="99"/>
      <c r="Q114" s="97">
        <f>+SUM(Q82:Q113)</f>
        <v>0</v>
      </c>
      <c r="R114" s="97">
        <f t="shared" ref="R114:W114" si="44">+SUM(R82:R113)</f>
        <v>13.173999999999999</v>
      </c>
      <c r="S114" s="97">
        <f t="shared" si="44"/>
        <v>63.023000000000003</v>
      </c>
      <c r="T114" s="97">
        <f t="shared" si="44"/>
        <v>82.14</v>
      </c>
      <c r="U114" s="97">
        <f t="shared" si="44"/>
        <v>59.933999999999997</v>
      </c>
      <c r="V114" s="97">
        <f t="shared" si="44"/>
        <v>60.536999999999999</v>
      </c>
      <c r="W114" s="97">
        <f t="shared" si="44"/>
        <v>38.725000000000001</v>
      </c>
    </row>
    <row r="115" spans="1:23" s="1" customFormat="1">
      <c r="A115" s="360"/>
      <c r="B115" s="20"/>
      <c r="C115" s="50"/>
      <c r="D115" s="50"/>
      <c r="E115" s="50"/>
      <c r="F115" s="168"/>
      <c r="G115" s="168"/>
      <c r="H115" s="50"/>
      <c r="I115" s="168"/>
      <c r="M115" s="402"/>
      <c r="P115" s="59"/>
      <c r="Q115" s="57"/>
      <c r="R115" s="57"/>
      <c r="S115" s="57"/>
      <c r="T115" s="57"/>
      <c r="U115" s="57"/>
      <c r="V115" s="57"/>
      <c r="W115" s="57"/>
    </row>
    <row r="116" spans="1:23" s="16" customFormat="1" ht="14.4">
      <c r="A116" s="270"/>
      <c r="B116" s="15" t="s">
        <v>845</v>
      </c>
      <c r="L116" s="17"/>
      <c r="M116" s="414"/>
      <c r="P116" s="15" t="s">
        <v>845</v>
      </c>
      <c r="Q116" s="184"/>
      <c r="R116" s="184"/>
      <c r="S116" s="184"/>
      <c r="T116" s="184"/>
      <c r="U116" s="184"/>
      <c r="V116" s="184"/>
      <c r="W116" s="184"/>
    </row>
    <row r="117" spans="1:23" s="68" customFormat="1" ht="14.4">
      <c r="A117" s="68" t="s">
        <v>286</v>
      </c>
      <c r="B117" s="68" t="s">
        <v>1</v>
      </c>
      <c r="C117" s="160"/>
      <c r="D117" s="160"/>
      <c r="E117" s="160"/>
      <c r="F117" s="325"/>
      <c r="G117" s="160"/>
      <c r="H117" s="160"/>
      <c r="I117" s="160"/>
      <c r="L117" s="20"/>
      <c r="M117" s="408"/>
      <c r="P117" s="99"/>
      <c r="Q117" s="108"/>
      <c r="R117" s="108"/>
      <c r="S117" s="108"/>
      <c r="T117" s="108"/>
      <c r="U117" s="108"/>
      <c r="V117" s="108"/>
      <c r="W117" s="108"/>
    </row>
    <row r="118" spans="1:23" s="7" customFormat="1">
      <c r="A118" s="93" t="s">
        <v>304</v>
      </c>
      <c r="B118" s="7" t="s">
        <v>627</v>
      </c>
      <c r="C118" s="58">
        <v>1.802</v>
      </c>
      <c r="D118" s="58">
        <v>1.734</v>
      </c>
      <c r="E118" s="58">
        <v>1.6459999999999999</v>
      </c>
      <c r="F118" s="58">
        <v>1.738</v>
      </c>
      <c r="G118" s="58">
        <v>1.702</v>
      </c>
      <c r="H118" s="58">
        <v>1.702</v>
      </c>
      <c r="I118" s="58">
        <v>1.5349999999999999</v>
      </c>
      <c r="J118" s="10">
        <v>100</v>
      </c>
      <c r="K118" s="10">
        <v>6</v>
      </c>
      <c r="L118" s="10" t="s">
        <v>153</v>
      </c>
      <c r="M118" s="415" t="s">
        <v>2</v>
      </c>
      <c r="N118" s="10"/>
      <c r="O118" s="10" t="s">
        <v>33</v>
      </c>
      <c r="P118" s="61">
        <v>0</v>
      </c>
      <c r="Q118" s="58">
        <f t="shared" ref="Q118:W118" si="45">+$P118/100*C118</f>
        <v>0</v>
      </c>
      <c r="R118" s="58">
        <f t="shared" si="45"/>
        <v>0</v>
      </c>
      <c r="S118" s="58">
        <f t="shared" si="45"/>
        <v>0</v>
      </c>
      <c r="T118" s="58">
        <f t="shared" si="45"/>
        <v>0</v>
      </c>
      <c r="U118" s="58">
        <f t="shared" si="45"/>
        <v>0</v>
      </c>
      <c r="V118" s="58">
        <f t="shared" si="45"/>
        <v>0</v>
      </c>
      <c r="W118" s="58">
        <f t="shared" si="45"/>
        <v>0</v>
      </c>
    </row>
    <row r="119" spans="1:23" s="7" customFormat="1" ht="15" customHeight="1">
      <c r="A119" s="93" t="s">
        <v>304</v>
      </c>
      <c r="B119" s="7" t="s">
        <v>628</v>
      </c>
      <c r="C119" s="58">
        <v>1.0826</v>
      </c>
      <c r="D119" s="58">
        <v>0.93240000000000001</v>
      </c>
      <c r="E119" s="58">
        <v>0.80640000000000001</v>
      </c>
      <c r="F119" s="58">
        <v>0.90559999999999996</v>
      </c>
      <c r="G119" s="58">
        <v>0.88759999999999994</v>
      </c>
      <c r="H119" s="58">
        <v>0.89980000000000004</v>
      </c>
      <c r="I119" s="58">
        <v>0.89980000000000004</v>
      </c>
      <c r="J119" s="10">
        <v>20</v>
      </c>
      <c r="K119" s="10">
        <v>4</v>
      </c>
      <c r="L119" s="92" t="s">
        <v>277</v>
      </c>
      <c r="M119" s="415" t="s">
        <v>3</v>
      </c>
      <c r="N119" s="10"/>
      <c r="O119" s="10" t="s">
        <v>32</v>
      </c>
      <c r="P119" s="61">
        <v>0</v>
      </c>
      <c r="Q119" s="58">
        <f t="shared" ref="Q119:Q124" si="46">+$P119/100*C119</f>
        <v>0</v>
      </c>
      <c r="R119" s="58">
        <f t="shared" ref="R119:W124" si="47">+$P119/100*D119</f>
        <v>0</v>
      </c>
      <c r="S119" s="58">
        <f t="shared" si="47"/>
        <v>0</v>
      </c>
      <c r="T119" s="58">
        <f t="shared" si="47"/>
        <v>0</v>
      </c>
      <c r="U119" s="58">
        <f t="shared" si="47"/>
        <v>0</v>
      </c>
      <c r="V119" s="58">
        <f t="shared" si="47"/>
        <v>0</v>
      </c>
      <c r="W119" s="58">
        <f t="shared" si="47"/>
        <v>0</v>
      </c>
    </row>
    <row r="120" spans="1:23" s="7" customFormat="1" ht="15" customHeight="1">
      <c r="A120" s="93" t="s">
        <v>304</v>
      </c>
      <c r="B120" s="7" t="s">
        <v>841</v>
      </c>
      <c r="C120" s="58">
        <v>0.65454999999999997</v>
      </c>
      <c r="D120" s="58">
        <v>2.2657500000000002</v>
      </c>
      <c r="E120" s="58">
        <v>8.38185</v>
      </c>
      <c r="F120" s="58">
        <v>10.6875</v>
      </c>
      <c r="G120" s="58">
        <v>11.029500000000001</v>
      </c>
      <c r="H120" s="58">
        <v>11.1416</v>
      </c>
      <c r="I120" s="58">
        <v>11.996600000000001</v>
      </c>
      <c r="J120" s="221">
        <v>95</v>
      </c>
      <c r="K120" s="10" t="s">
        <v>444</v>
      </c>
      <c r="L120" s="92"/>
      <c r="M120" s="415" t="s">
        <v>629</v>
      </c>
      <c r="N120" s="10"/>
      <c r="O120" s="10" t="s">
        <v>33</v>
      </c>
      <c r="P120" s="61">
        <v>95</v>
      </c>
      <c r="Q120" s="58">
        <f t="shared" si="46"/>
        <v>0.62182249999999994</v>
      </c>
      <c r="R120" s="58">
        <f t="shared" si="47"/>
        <v>2.1524624999999999</v>
      </c>
      <c r="S120" s="58">
        <f t="shared" si="47"/>
        <v>7.9627574999999995</v>
      </c>
      <c r="T120" s="58">
        <f t="shared" si="47"/>
        <v>10.153124999999999</v>
      </c>
      <c r="U120" s="58">
        <f t="shared" si="47"/>
        <v>10.478025000000001</v>
      </c>
      <c r="V120" s="58">
        <f t="shared" si="47"/>
        <v>10.584519999999999</v>
      </c>
      <c r="W120" s="58">
        <f t="shared" si="47"/>
        <v>11.39677</v>
      </c>
    </row>
    <row r="121" spans="1:23" s="7" customFormat="1">
      <c r="A121" s="93" t="s">
        <v>305</v>
      </c>
      <c r="B121" s="7" t="s">
        <v>630</v>
      </c>
      <c r="C121" s="58">
        <v>3.9950000000000001</v>
      </c>
      <c r="D121" s="58">
        <v>2.8912499999999999</v>
      </c>
      <c r="E121" s="58">
        <v>2.8912499999999999</v>
      </c>
      <c r="F121" s="58">
        <v>2.8912499999999999</v>
      </c>
      <c r="G121" s="58">
        <v>2.8912499999999999</v>
      </c>
      <c r="H121" s="58">
        <v>2.8912499999999999</v>
      </c>
      <c r="I121" s="58">
        <v>2.8912499999999999</v>
      </c>
      <c r="J121" s="10">
        <v>25</v>
      </c>
      <c r="K121" s="10">
        <v>6</v>
      </c>
      <c r="L121" s="10" t="s">
        <v>153</v>
      </c>
      <c r="M121" s="415" t="s">
        <v>4</v>
      </c>
      <c r="N121" s="10"/>
      <c r="O121" s="10" t="s">
        <v>32</v>
      </c>
      <c r="P121" s="61">
        <v>25</v>
      </c>
      <c r="Q121" s="58">
        <f t="shared" si="46"/>
        <v>0.99875000000000003</v>
      </c>
      <c r="R121" s="58">
        <f t="shared" si="47"/>
        <v>0.72281249999999997</v>
      </c>
      <c r="S121" s="58">
        <f t="shared" si="47"/>
        <v>0.72281249999999997</v>
      </c>
      <c r="T121" s="58">
        <f t="shared" si="47"/>
        <v>0.72281249999999997</v>
      </c>
      <c r="U121" s="58">
        <f t="shared" si="47"/>
        <v>0.72281249999999997</v>
      </c>
      <c r="V121" s="58">
        <f t="shared" si="47"/>
        <v>0.72281249999999997</v>
      </c>
      <c r="W121" s="58">
        <f t="shared" si="47"/>
        <v>0.72281249999999997</v>
      </c>
    </row>
    <row r="122" spans="1:23" s="7" customFormat="1">
      <c r="A122" s="93" t="s">
        <v>305</v>
      </c>
      <c r="B122" s="7" t="s">
        <v>5</v>
      </c>
      <c r="C122" s="58">
        <v>5.5740999999999996</v>
      </c>
      <c r="D122" s="58">
        <v>6.5316650000000003</v>
      </c>
      <c r="E122" s="58">
        <v>5.9246249999999998</v>
      </c>
      <c r="F122" s="58">
        <v>5.9137050000000002</v>
      </c>
      <c r="G122" s="58">
        <v>5.8572850000000001</v>
      </c>
      <c r="H122" s="58">
        <v>5.8604000000000003</v>
      </c>
      <c r="I122" s="58">
        <v>5.9326749999999997</v>
      </c>
      <c r="J122" s="10">
        <v>3.5</v>
      </c>
      <c r="K122" s="10">
        <v>11</v>
      </c>
      <c r="L122" s="92" t="s">
        <v>48</v>
      </c>
      <c r="M122" s="415" t="s">
        <v>6</v>
      </c>
      <c r="N122" s="10"/>
      <c r="O122" s="10" t="s">
        <v>32</v>
      </c>
      <c r="P122" s="61">
        <v>0</v>
      </c>
      <c r="Q122" s="58">
        <f t="shared" si="46"/>
        <v>0</v>
      </c>
      <c r="R122" s="58">
        <f t="shared" si="47"/>
        <v>0</v>
      </c>
      <c r="S122" s="58">
        <f t="shared" si="47"/>
        <v>0</v>
      </c>
      <c r="T122" s="58">
        <f t="shared" si="47"/>
        <v>0</v>
      </c>
      <c r="U122" s="58">
        <f t="shared" si="47"/>
        <v>0</v>
      </c>
      <c r="V122" s="58">
        <f t="shared" si="47"/>
        <v>0</v>
      </c>
      <c r="W122" s="58">
        <f t="shared" si="47"/>
        <v>0</v>
      </c>
    </row>
    <row r="123" spans="1:23" s="7" customFormat="1">
      <c r="A123" s="93" t="s">
        <v>574</v>
      </c>
      <c r="B123" s="7" t="s">
        <v>842</v>
      </c>
      <c r="C123" s="58">
        <v>1.7019</v>
      </c>
      <c r="D123" s="58">
        <v>2.0565000000000002</v>
      </c>
      <c r="E123" s="58">
        <v>2.2778999999999998</v>
      </c>
      <c r="F123" s="58">
        <v>2.2778999999999998</v>
      </c>
      <c r="G123" s="58">
        <v>2.5032000000000001</v>
      </c>
      <c r="H123" s="58">
        <v>2.5032000000000001</v>
      </c>
      <c r="I123" s="58">
        <v>2.5032000000000001</v>
      </c>
      <c r="J123" s="10">
        <v>30</v>
      </c>
      <c r="K123" s="10">
        <v>4</v>
      </c>
      <c r="L123" s="92" t="s">
        <v>277</v>
      </c>
      <c r="M123" s="415" t="s">
        <v>19</v>
      </c>
      <c r="N123" s="10"/>
      <c r="O123" s="10" t="s">
        <v>33</v>
      </c>
      <c r="P123" s="61">
        <v>30</v>
      </c>
      <c r="Q123" s="58">
        <f t="shared" si="46"/>
        <v>0.51056999999999997</v>
      </c>
      <c r="R123" s="58">
        <f t="shared" si="47"/>
        <v>0.61695</v>
      </c>
      <c r="S123" s="58">
        <f t="shared" si="47"/>
        <v>0.68336999999999992</v>
      </c>
      <c r="T123" s="58">
        <f t="shared" si="47"/>
        <v>0.68336999999999992</v>
      </c>
      <c r="U123" s="58">
        <f t="shared" si="47"/>
        <v>0.75095999999999996</v>
      </c>
      <c r="V123" s="58">
        <f t="shared" si="47"/>
        <v>0.75095999999999996</v>
      </c>
      <c r="W123" s="58">
        <f t="shared" si="47"/>
        <v>0.75095999999999996</v>
      </c>
    </row>
    <row r="124" spans="1:23" s="7" customFormat="1">
      <c r="A124" s="93" t="s">
        <v>787</v>
      </c>
      <c r="B124" s="7" t="s">
        <v>843</v>
      </c>
      <c r="C124" s="58">
        <v>0</v>
      </c>
      <c r="D124" s="58">
        <v>12.24</v>
      </c>
      <c r="E124" s="58">
        <v>26.82</v>
      </c>
      <c r="F124" s="58">
        <v>46.8</v>
      </c>
      <c r="G124" s="58">
        <v>34.83</v>
      </c>
      <c r="H124" s="58">
        <v>19.260000000000002</v>
      </c>
      <c r="I124" s="58">
        <v>4.5</v>
      </c>
      <c r="J124" s="10">
        <v>90</v>
      </c>
      <c r="K124" s="10" t="s">
        <v>672</v>
      </c>
      <c r="L124" s="92"/>
      <c r="M124" s="415" t="s">
        <v>647</v>
      </c>
      <c r="N124" s="94"/>
      <c r="O124" s="7" t="s">
        <v>33</v>
      </c>
      <c r="P124" s="61">
        <v>90</v>
      </c>
      <c r="Q124" s="58">
        <f t="shared" si="46"/>
        <v>0</v>
      </c>
      <c r="R124" s="58">
        <f t="shared" si="47"/>
        <v>11.016</v>
      </c>
      <c r="S124" s="58">
        <f t="shared" si="47"/>
        <v>24.138000000000002</v>
      </c>
      <c r="T124" s="58">
        <f t="shared" si="47"/>
        <v>42.12</v>
      </c>
      <c r="U124" s="58">
        <f t="shared" si="47"/>
        <v>31.346999999999998</v>
      </c>
      <c r="V124" s="58">
        <f t="shared" si="47"/>
        <v>17.334000000000003</v>
      </c>
      <c r="W124" s="58">
        <f t="shared" si="47"/>
        <v>4.05</v>
      </c>
    </row>
    <row r="125" spans="1:23" s="68" customFormat="1" ht="14.4">
      <c r="A125" s="112" t="s">
        <v>287</v>
      </c>
      <c r="B125" s="97" t="s">
        <v>289</v>
      </c>
      <c r="C125" s="98"/>
      <c r="D125" s="98"/>
      <c r="E125" s="98"/>
      <c r="F125" s="98"/>
      <c r="G125" s="98"/>
      <c r="H125" s="98"/>
      <c r="I125" s="98"/>
      <c r="J125" s="98"/>
      <c r="L125" s="20"/>
      <c r="M125" s="408"/>
      <c r="P125" s="99"/>
      <c r="Q125" s="108"/>
      <c r="R125" s="108"/>
      <c r="S125" s="108"/>
      <c r="T125" s="108"/>
      <c r="U125" s="108"/>
      <c r="V125" s="108"/>
      <c r="W125" s="108"/>
    </row>
    <row r="126" spans="1:23" s="7" customFormat="1">
      <c r="A126" s="7" t="s">
        <v>631</v>
      </c>
      <c r="B126" s="7" t="s">
        <v>632</v>
      </c>
      <c r="C126" s="83">
        <v>0</v>
      </c>
      <c r="D126" s="83">
        <v>0</v>
      </c>
      <c r="E126" s="83">
        <v>0</v>
      </c>
      <c r="F126" s="83">
        <v>0</v>
      </c>
      <c r="G126" s="83">
        <v>0</v>
      </c>
      <c r="H126" s="83">
        <v>0</v>
      </c>
      <c r="I126" s="83">
        <v>0</v>
      </c>
      <c r="J126" s="7">
        <v>100</v>
      </c>
      <c r="K126" s="7" t="s">
        <v>633</v>
      </c>
      <c r="M126" s="404" t="s">
        <v>634</v>
      </c>
      <c r="O126" s="10" t="s">
        <v>33</v>
      </c>
      <c r="P126" s="61">
        <v>100</v>
      </c>
      <c r="Q126" s="58">
        <f t="shared" ref="Q126:W126" si="48">+$P126/100*C126</f>
        <v>0</v>
      </c>
      <c r="R126" s="58">
        <f t="shared" si="48"/>
        <v>0</v>
      </c>
      <c r="S126" s="58">
        <f t="shared" si="48"/>
        <v>0</v>
      </c>
      <c r="T126" s="58">
        <f t="shared" si="48"/>
        <v>0</v>
      </c>
      <c r="U126" s="58">
        <f t="shared" si="48"/>
        <v>0</v>
      </c>
      <c r="V126" s="58">
        <f t="shared" si="48"/>
        <v>0</v>
      </c>
      <c r="W126" s="58">
        <f t="shared" si="48"/>
        <v>0</v>
      </c>
    </row>
    <row r="127" spans="1:23" s="7" customFormat="1">
      <c r="A127" s="7" t="s">
        <v>29</v>
      </c>
      <c r="B127" s="7" t="s">
        <v>224</v>
      </c>
      <c r="C127" s="83">
        <v>9.7362000000000002</v>
      </c>
      <c r="D127" s="83">
        <v>12.3543</v>
      </c>
      <c r="E127" s="83">
        <v>20.0259</v>
      </c>
      <c r="F127" s="83">
        <v>29.242799999999999</v>
      </c>
      <c r="G127" s="83">
        <v>37.404000000000003</v>
      </c>
      <c r="H127" s="83">
        <v>37.404000000000003</v>
      </c>
      <c r="I127" s="83">
        <v>37.404000000000003</v>
      </c>
      <c r="J127" s="7">
        <v>90</v>
      </c>
      <c r="K127" s="7" t="s">
        <v>387</v>
      </c>
      <c r="M127" s="404" t="s">
        <v>11</v>
      </c>
      <c r="O127" s="7" t="s">
        <v>33</v>
      </c>
      <c r="P127" s="61">
        <v>90</v>
      </c>
      <c r="Q127" s="58">
        <f t="shared" ref="Q127:Q192" si="49">+$P127/100*C127</f>
        <v>8.7625799999999998</v>
      </c>
      <c r="R127" s="58">
        <f t="shared" ref="R127:W131" si="50">+$P127/100*D127</f>
        <v>11.118870000000001</v>
      </c>
      <c r="S127" s="58">
        <f t="shared" si="50"/>
        <v>18.023310000000002</v>
      </c>
      <c r="T127" s="58">
        <f t="shared" si="50"/>
        <v>26.318519999999999</v>
      </c>
      <c r="U127" s="58">
        <f t="shared" si="50"/>
        <v>33.663600000000002</v>
      </c>
      <c r="V127" s="58">
        <f t="shared" si="50"/>
        <v>33.663600000000002</v>
      </c>
      <c r="W127" s="58">
        <f t="shared" si="50"/>
        <v>33.663600000000002</v>
      </c>
    </row>
    <row r="128" spans="1:23" s="7" customFormat="1" ht="13.5" customHeight="1">
      <c r="A128" s="7" t="s">
        <v>10</v>
      </c>
      <c r="B128" s="7" t="s">
        <v>844</v>
      </c>
      <c r="C128" s="83">
        <v>17.763999999999999</v>
      </c>
      <c r="D128" s="83">
        <v>20.792000000000002</v>
      </c>
      <c r="E128" s="83">
        <v>21.251999999999999</v>
      </c>
      <c r="F128" s="83">
        <v>21.847999999999999</v>
      </c>
      <c r="G128" s="83">
        <v>22.577999999999999</v>
      </c>
      <c r="H128" s="83">
        <v>23.324999999999999</v>
      </c>
      <c r="I128" s="83">
        <v>21.324999999999999</v>
      </c>
      <c r="J128" s="7">
        <v>100</v>
      </c>
      <c r="K128" s="7">
        <v>6</v>
      </c>
      <c r="L128" s="10" t="s">
        <v>153</v>
      </c>
      <c r="M128" s="404" t="s">
        <v>11</v>
      </c>
      <c r="O128" s="10" t="s">
        <v>33</v>
      </c>
      <c r="P128" s="61">
        <v>100</v>
      </c>
      <c r="Q128" s="58">
        <f t="shared" si="49"/>
        <v>17.763999999999999</v>
      </c>
      <c r="R128" s="58">
        <f t="shared" si="50"/>
        <v>20.792000000000002</v>
      </c>
      <c r="S128" s="58">
        <f t="shared" si="50"/>
        <v>21.251999999999999</v>
      </c>
      <c r="T128" s="58">
        <f t="shared" si="50"/>
        <v>21.847999999999999</v>
      </c>
      <c r="U128" s="58">
        <f t="shared" si="50"/>
        <v>22.577999999999999</v>
      </c>
      <c r="V128" s="58">
        <f t="shared" si="50"/>
        <v>23.324999999999999</v>
      </c>
      <c r="W128" s="58">
        <f t="shared" si="50"/>
        <v>21.324999999999999</v>
      </c>
    </row>
    <row r="129" spans="1:23" s="7" customFormat="1" ht="13.5" customHeight="1">
      <c r="A129" s="7" t="s">
        <v>10</v>
      </c>
      <c r="B129" s="7" t="s">
        <v>846</v>
      </c>
      <c r="C129" s="83">
        <v>0</v>
      </c>
      <c r="D129" s="83">
        <v>2.5</v>
      </c>
      <c r="E129" s="83">
        <v>5</v>
      </c>
      <c r="F129" s="83">
        <v>10</v>
      </c>
      <c r="G129" s="83">
        <v>12.5</v>
      </c>
      <c r="H129" s="83">
        <v>7.5</v>
      </c>
      <c r="I129" s="83">
        <v>7.5</v>
      </c>
      <c r="J129" s="7">
        <v>100</v>
      </c>
      <c r="K129" s="7">
        <v>6</v>
      </c>
      <c r="L129" s="10" t="s">
        <v>153</v>
      </c>
      <c r="M129" s="404" t="s">
        <v>11</v>
      </c>
      <c r="O129" s="10" t="s">
        <v>33</v>
      </c>
      <c r="P129" s="61">
        <v>100</v>
      </c>
      <c r="Q129" s="58">
        <f t="shared" si="49"/>
        <v>0</v>
      </c>
      <c r="R129" s="58">
        <f t="shared" si="50"/>
        <v>2.5</v>
      </c>
      <c r="S129" s="58">
        <f t="shared" si="50"/>
        <v>5</v>
      </c>
      <c r="T129" s="58">
        <f t="shared" si="50"/>
        <v>10</v>
      </c>
      <c r="U129" s="58">
        <f t="shared" si="50"/>
        <v>12.5</v>
      </c>
      <c r="V129" s="58">
        <f t="shared" si="50"/>
        <v>7.5</v>
      </c>
      <c r="W129" s="58">
        <f t="shared" si="50"/>
        <v>7.5</v>
      </c>
    </row>
    <row r="130" spans="1:23" s="7" customFormat="1" ht="13.5" customHeight="1">
      <c r="A130" s="7" t="s">
        <v>10</v>
      </c>
      <c r="B130" s="7" t="s">
        <v>847</v>
      </c>
      <c r="C130" s="83">
        <v>0</v>
      </c>
      <c r="D130" s="83">
        <v>2.319</v>
      </c>
      <c r="E130" s="83">
        <v>5</v>
      </c>
      <c r="F130" s="83">
        <v>5.5</v>
      </c>
      <c r="G130" s="83">
        <v>11.680999999999999</v>
      </c>
      <c r="H130" s="83">
        <v>0</v>
      </c>
      <c r="I130" s="83">
        <v>0</v>
      </c>
      <c r="J130" s="7">
        <v>100</v>
      </c>
      <c r="K130" s="7">
        <v>4</v>
      </c>
      <c r="L130" s="10" t="s">
        <v>277</v>
      </c>
      <c r="M130" s="404" t="s">
        <v>11</v>
      </c>
      <c r="O130" s="10" t="s">
        <v>33</v>
      </c>
      <c r="P130" s="61">
        <v>100</v>
      </c>
      <c r="Q130" s="58">
        <f t="shared" si="49"/>
        <v>0</v>
      </c>
      <c r="R130" s="58">
        <f t="shared" si="50"/>
        <v>2.319</v>
      </c>
      <c r="S130" s="58">
        <f t="shared" si="50"/>
        <v>5</v>
      </c>
      <c r="T130" s="58">
        <f t="shared" si="50"/>
        <v>5.5</v>
      </c>
      <c r="U130" s="58">
        <f t="shared" si="50"/>
        <v>11.680999999999999</v>
      </c>
      <c r="V130" s="58">
        <f t="shared" si="50"/>
        <v>0</v>
      </c>
      <c r="W130" s="58">
        <f t="shared" si="50"/>
        <v>0</v>
      </c>
    </row>
    <row r="131" spans="1:23" s="7" customFormat="1">
      <c r="A131" s="7" t="s">
        <v>12</v>
      </c>
      <c r="B131" s="7" t="s">
        <v>848</v>
      </c>
      <c r="C131" s="83">
        <v>0.40500000000000003</v>
      </c>
      <c r="D131" s="83">
        <v>0.98399999999999999</v>
      </c>
      <c r="E131" s="83">
        <v>0.57600000000000007</v>
      </c>
      <c r="F131" s="83">
        <v>0.77600000000000002</v>
      </c>
      <c r="G131" s="83">
        <v>0.63600000000000001</v>
      </c>
      <c r="H131" s="83">
        <v>0.63600000000000001</v>
      </c>
      <c r="I131" s="83">
        <v>0.63600000000000001</v>
      </c>
      <c r="J131" s="7">
        <v>100</v>
      </c>
      <c r="K131" s="7" t="s">
        <v>849</v>
      </c>
      <c r="L131" s="92"/>
      <c r="M131" s="404" t="s">
        <v>4</v>
      </c>
      <c r="O131" s="10" t="s">
        <v>32</v>
      </c>
      <c r="P131" s="61">
        <v>100</v>
      </c>
      <c r="Q131" s="58">
        <f t="shared" si="49"/>
        <v>0.40500000000000003</v>
      </c>
      <c r="R131" s="58">
        <f t="shared" si="50"/>
        <v>0.98399999999999999</v>
      </c>
      <c r="S131" s="58">
        <f t="shared" si="50"/>
        <v>0.57600000000000007</v>
      </c>
      <c r="T131" s="58">
        <f t="shared" si="50"/>
        <v>0.77600000000000002</v>
      </c>
      <c r="U131" s="58">
        <f t="shared" si="50"/>
        <v>0.63600000000000001</v>
      </c>
      <c r="V131" s="58">
        <f t="shared" si="50"/>
        <v>0.63600000000000001</v>
      </c>
      <c r="W131" s="58">
        <f t="shared" si="50"/>
        <v>0.63600000000000001</v>
      </c>
    </row>
    <row r="132" spans="1:23" s="7" customFormat="1">
      <c r="A132" s="7" t="s">
        <v>12</v>
      </c>
      <c r="B132" s="7" t="s">
        <v>788</v>
      </c>
      <c r="C132" s="83">
        <v>0</v>
      </c>
      <c r="D132" s="83">
        <v>2.4500000000000001E-2</v>
      </c>
      <c r="E132" s="83">
        <v>14.9755</v>
      </c>
      <c r="F132" s="83">
        <v>10</v>
      </c>
      <c r="G132" s="83">
        <v>10</v>
      </c>
      <c r="H132" s="83">
        <v>0</v>
      </c>
      <c r="I132" s="83">
        <v>0</v>
      </c>
      <c r="J132" s="7">
        <v>50</v>
      </c>
      <c r="K132" s="7">
        <v>4</v>
      </c>
      <c r="L132" s="92" t="s">
        <v>277</v>
      </c>
      <c r="M132" s="404" t="s">
        <v>797</v>
      </c>
      <c r="O132" s="10" t="s">
        <v>33</v>
      </c>
      <c r="P132" s="61"/>
      <c r="Q132" s="58"/>
      <c r="R132" s="58"/>
      <c r="S132" s="58"/>
      <c r="T132" s="58"/>
      <c r="U132" s="58"/>
      <c r="V132" s="58"/>
      <c r="W132" s="58"/>
    </row>
    <row r="133" spans="1:23" s="7" customFormat="1">
      <c r="A133" s="7" t="s">
        <v>12</v>
      </c>
      <c r="B133" s="7" t="s">
        <v>789</v>
      </c>
      <c r="C133" s="83">
        <v>2.4500000000000001E-2</v>
      </c>
      <c r="D133" s="83">
        <v>39.975499999999997</v>
      </c>
      <c r="E133" s="83">
        <v>32.5</v>
      </c>
      <c r="F133" s="83">
        <v>42.5</v>
      </c>
      <c r="G133" s="83">
        <v>0</v>
      </c>
      <c r="H133" s="83">
        <v>0</v>
      </c>
      <c r="I133" s="83">
        <v>0</v>
      </c>
      <c r="J133" s="7">
        <v>50</v>
      </c>
      <c r="K133" s="7">
        <v>6</v>
      </c>
      <c r="L133" s="92" t="s">
        <v>153</v>
      </c>
      <c r="M133" s="404" t="s">
        <v>797</v>
      </c>
      <c r="O133" s="10" t="s">
        <v>33</v>
      </c>
      <c r="P133" s="61"/>
      <c r="Q133" s="58"/>
      <c r="R133" s="58"/>
      <c r="S133" s="58"/>
      <c r="T133" s="58"/>
      <c r="U133" s="58"/>
      <c r="V133" s="58"/>
      <c r="W133" s="58"/>
    </row>
    <row r="134" spans="1:23" s="7" customFormat="1">
      <c r="A134" s="7" t="s">
        <v>12</v>
      </c>
      <c r="B134" s="7" t="s">
        <v>850</v>
      </c>
      <c r="C134" s="83">
        <v>18.513000000000002</v>
      </c>
      <c r="D134" s="83">
        <v>24.917400000000001</v>
      </c>
      <c r="E134" s="83">
        <v>18.057600000000001</v>
      </c>
      <c r="F134" s="83">
        <v>37.404000000000003</v>
      </c>
      <c r="G134" s="83">
        <v>8.8811999999999998</v>
      </c>
      <c r="H134" s="83">
        <v>0</v>
      </c>
      <c r="I134" s="83">
        <v>0</v>
      </c>
      <c r="J134" s="7">
        <v>90</v>
      </c>
      <c r="K134" s="7" t="s">
        <v>387</v>
      </c>
      <c r="L134" s="92"/>
      <c r="M134" s="362" t="s">
        <v>11</v>
      </c>
      <c r="N134" s="362"/>
      <c r="O134" s="10" t="s">
        <v>33</v>
      </c>
      <c r="P134" s="61"/>
      <c r="Q134" s="58"/>
      <c r="R134" s="58"/>
      <c r="S134" s="58"/>
      <c r="T134" s="58"/>
      <c r="U134" s="58"/>
      <c r="V134" s="58"/>
      <c r="W134" s="58"/>
    </row>
    <row r="135" spans="1:23" s="7" customFormat="1">
      <c r="A135" s="7" t="s">
        <v>12</v>
      </c>
      <c r="B135" s="7" t="s">
        <v>38</v>
      </c>
      <c r="C135" s="83">
        <v>207.52500000000001</v>
      </c>
      <c r="D135" s="83">
        <v>209.16200000000001</v>
      </c>
      <c r="E135" s="83">
        <v>189.90100000000001</v>
      </c>
      <c r="F135" s="83">
        <v>187.99299999999999</v>
      </c>
      <c r="G135" s="83">
        <v>187.63</v>
      </c>
      <c r="H135" s="83">
        <v>183.38800000000001</v>
      </c>
      <c r="I135" s="83">
        <v>183.38800000000001</v>
      </c>
      <c r="J135" s="7">
        <v>100</v>
      </c>
      <c r="K135" s="7">
        <v>6</v>
      </c>
      <c r="L135" s="10" t="s">
        <v>153</v>
      </c>
      <c r="M135" s="404" t="s">
        <v>13</v>
      </c>
      <c r="O135" s="7" t="s">
        <v>32</v>
      </c>
      <c r="P135" s="7">
        <v>100</v>
      </c>
      <c r="Q135" s="58">
        <f t="shared" si="49"/>
        <v>207.52500000000001</v>
      </c>
      <c r="R135" s="58">
        <f t="shared" ref="R135:R141" si="51">+$P135/100*D135</f>
        <v>209.16200000000001</v>
      </c>
      <c r="S135" s="58">
        <f t="shared" ref="S135:S141" si="52">+$P135/100*E135</f>
        <v>189.90100000000001</v>
      </c>
      <c r="T135" s="58">
        <f t="shared" ref="T135:T141" si="53">+$P135/100*F135</f>
        <v>187.99299999999999</v>
      </c>
      <c r="U135" s="58">
        <f t="shared" ref="U135:U141" si="54">+$P135/100*G135</f>
        <v>187.63</v>
      </c>
      <c r="V135" s="58">
        <f t="shared" ref="V135:V141" si="55">+$P135/100*H135</f>
        <v>183.38800000000001</v>
      </c>
      <c r="W135" s="58">
        <f t="shared" ref="W135:W141" si="56">+$P135/100*I135</f>
        <v>183.38800000000001</v>
      </c>
    </row>
    <row r="136" spans="1:23" s="7" customFormat="1">
      <c r="A136" s="7" t="s">
        <v>14</v>
      </c>
      <c r="B136" s="7" t="s">
        <v>39</v>
      </c>
      <c r="C136" s="83">
        <v>40.750999999999998</v>
      </c>
      <c r="D136" s="83">
        <v>46.49</v>
      </c>
      <c r="E136" s="83">
        <v>60.646000000000001</v>
      </c>
      <c r="F136" s="83">
        <v>55.539000000000001</v>
      </c>
      <c r="G136" s="83">
        <v>56.036000000000001</v>
      </c>
      <c r="H136" s="83">
        <v>56.036000000000001</v>
      </c>
      <c r="I136" s="83">
        <v>56.036000000000001</v>
      </c>
      <c r="J136" s="7">
        <v>100</v>
      </c>
      <c r="K136" s="7">
        <v>6</v>
      </c>
      <c r="L136" s="10" t="s">
        <v>153</v>
      </c>
      <c r="M136" s="404" t="s">
        <v>11</v>
      </c>
      <c r="O136" s="10" t="s">
        <v>33</v>
      </c>
      <c r="P136" s="7">
        <v>100</v>
      </c>
      <c r="Q136" s="58">
        <f t="shared" si="49"/>
        <v>40.750999999999998</v>
      </c>
      <c r="R136" s="58">
        <f t="shared" si="51"/>
        <v>46.49</v>
      </c>
      <c r="S136" s="58">
        <f t="shared" si="52"/>
        <v>60.646000000000001</v>
      </c>
      <c r="T136" s="58">
        <f t="shared" si="53"/>
        <v>55.539000000000001</v>
      </c>
      <c r="U136" s="58">
        <f t="shared" si="54"/>
        <v>56.036000000000001</v>
      </c>
      <c r="V136" s="58">
        <f t="shared" si="55"/>
        <v>56.036000000000001</v>
      </c>
      <c r="W136" s="58">
        <f t="shared" si="56"/>
        <v>56.036000000000001</v>
      </c>
    </row>
    <row r="137" spans="1:23" s="7" customFormat="1">
      <c r="A137" s="7" t="s">
        <v>14</v>
      </c>
      <c r="B137" s="7" t="s">
        <v>851</v>
      </c>
      <c r="C137" s="83">
        <v>171.09899999999999</v>
      </c>
      <c r="D137" s="83">
        <v>207.249</v>
      </c>
      <c r="E137" s="83">
        <v>214.99100000000001</v>
      </c>
      <c r="F137" s="83">
        <v>200.68600000000001</v>
      </c>
      <c r="G137" s="83">
        <v>187.161</v>
      </c>
      <c r="H137" s="83">
        <v>187.161</v>
      </c>
      <c r="I137" s="83">
        <v>187.161</v>
      </c>
      <c r="J137" s="7">
        <v>100</v>
      </c>
      <c r="K137" s="61" t="s">
        <v>387</v>
      </c>
      <c r="M137" s="404" t="s">
        <v>11</v>
      </c>
      <c r="O137" s="10" t="s">
        <v>33</v>
      </c>
      <c r="P137" s="7">
        <v>100</v>
      </c>
      <c r="Q137" s="58">
        <f t="shared" si="49"/>
        <v>171.09899999999999</v>
      </c>
      <c r="R137" s="58">
        <f t="shared" si="51"/>
        <v>207.249</v>
      </c>
      <c r="S137" s="58">
        <f t="shared" si="52"/>
        <v>214.99100000000001</v>
      </c>
      <c r="T137" s="58">
        <f t="shared" si="53"/>
        <v>200.68600000000001</v>
      </c>
      <c r="U137" s="58">
        <f t="shared" si="54"/>
        <v>187.161</v>
      </c>
      <c r="V137" s="58">
        <f t="shared" si="55"/>
        <v>187.161</v>
      </c>
      <c r="W137" s="58">
        <f t="shared" si="56"/>
        <v>187.161</v>
      </c>
    </row>
    <row r="138" spans="1:23" s="7" customFormat="1">
      <c r="A138" s="7" t="s">
        <v>15</v>
      </c>
      <c r="B138" s="7" t="s">
        <v>852</v>
      </c>
      <c r="C138" s="83">
        <v>62.593000000000004</v>
      </c>
      <c r="D138" s="83">
        <v>59.820999999999998</v>
      </c>
      <c r="E138" s="83">
        <v>57.007999999999996</v>
      </c>
      <c r="F138" s="83">
        <v>56.391999999999996</v>
      </c>
      <c r="G138" s="83">
        <v>55.499000000000002</v>
      </c>
      <c r="H138" s="83">
        <v>55.386000000000003</v>
      </c>
      <c r="I138" s="83">
        <v>55.386000000000003</v>
      </c>
      <c r="J138" s="7">
        <v>100</v>
      </c>
      <c r="K138" s="7" t="s">
        <v>853</v>
      </c>
      <c r="M138" s="404" t="s">
        <v>4</v>
      </c>
      <c r="O138" s="10" t="s">
        <v>32</v>
      </c>
      <c r="P138" s="7">
        <v>100</v>
      </c>
      <c r="Q138" s="58">
        <f t="shared" si="49"/>
        <v>62.593000000000004</v>
      </c>
      <c r="R138" s="58">
        <f t="shared" si="51"/>
        <v>59.820999999999998</v>
      </c>
      <c r="S138" s="58">
        <f t="shared" si="52"/>
        <v>57.007999999999996</v>
      </c>
      <c r="T138" s="58">
        <f t="shared" si="53"/>
        <v>56.391999999999996</v>
      </c>
      <c r="U138" s="58">
        <f t="shared" si="54"/>
        <v>55.499000000000002</v>
      </c>
      <c r="V138" s="58">
        <f t="shared" si="55"/>
        <v>55.386000000000003</v>
      </c>
      <c r="W138" s="58">
        <f t="shared" si="56"/>
        <v>55.386000000000003</v>
      </c>
    </row>
    <row r="139" spans="1:23" s="7" customFormat="1">
      <c r="B139" s="7" t="s">
        <v>503</v>
      </c>
      <c r="C139" s="83">
        <v>0</v>
      </c>
      <c r="D139" s="83">
        <v>7.0179999999999998</v>
      </c>
      <c r="E139" s="83">
        <v>7.2060000000000004</v>
      </c>
      <c r="F139" s="83">
        <v>9.5679999999999996</v>
      </c>
      <c r="G139" s="83">
        <v>10.368</v>
      </c>
      <c r="H139" s="83">
        <v>10.368</v>
      </c>
      <c r="I139" s="83">
        <v>10.368</v>
      </c>
      <c r="J139" s="7">
        <v>100</v>
      </c>
      <c r="K139" s="7" t="s">
        <v>387</v>
      </c>
      <c r="M139" s="404" t="s">
        <v>11</v>
      </c>
      <c r="O139" s="10" t="s">
        <v>33</v>
      </c>
      <c r="P139" s="7">
        <v>100</v>
      </c>
      <c r="Q139" s="58">
        <f t="shared" si="49"/>
        <v>0</v>
      </c>
      <c r="R139" s="58">
        <f t="shared" si="51"/>
        <v>7.0179999999999998</v>
      </c>
      <c r="S139" s="58">
        <f t="shared" si="52"/>
        <v>7.2060000000000004</v>
      </c>
      <c r="T139" s="58">
        <f t="shared" si="53"/>
        <v>9.5679999999999996</v>
      </c>
      <c r="U139" s="58">
        <f t="shared" si="54"/>
        <v>10.368</v>
      </c>
      <c r="V139" s="58">
        <f t="shared" si="55"/>
        <v>10.368</v>
      </c>
      <c r="W139" s="58">
        <f t="shared" si="56"/>
        <v>10.368</v>
      </c>
    </row>
    <row r="140" spans="1:23" s="7" customFormat="1" ht="15" customHeight="1">
      <c r="A140" s="7" t="s">
        <v>16</v>
      </c>
      <c r="B140" s="7" t="s">
        <v>854</v>
      </c>
      <c r="C140" s="83">
        <v>27.780999999999999</v>
      </c>
      <c r="D140" s="83">
        <v>26.402999999999999</v>
      </c>
      <c r="E140" s="83">
        <v>26.417999999999999</v>
      </c>
      <c r="F140" s="83">
        <v>26.417999999999999</v>
      </c>
      <c r="G140" s="83">
        <v>26.417999999999999</v>
      </c>
      <c r="H140" s="83">
        <v>26.417999999999999</v>
      </c>
      <c r="I140" s="83">
        <v>26.417999999999999</v>
      </c>
      <c r="J140" s="7">
        <v>100</v>
      </c>
      <c r="K140" s="7">
        <v>6</v>
      </c>
      <c r="L140" s="10" t="s">
        <v>153</v>
      </c>
      <c r="M140" s="404" t="s">
        <v>17</v>
      </c>
      <c r="O140" s="10" t="s">
        <v>33</v>
      </c>
      <c r="P140" s="7">
        <v>100</v>
      </c>
      <c r="Q140" s="58">
        <f t="shared" si="49"/>
        <v>27.780999999999999</v>
      </c>
      <c r="R140" s="58">
        <f t="shared" si="51"/>
        <v>26.402999999999999</v>
      </c>
      <c r="S140" s="58">
        <f t="shared" si="52"/>
        <v>26.417999999999999</v>
      </c>
      <c r="T140" s="58">
        <f t="shared" si="53"/>
        <v>26.417999999999999</v>
      </c>
      <c r="U140" s="58">
        <f t="shared" si="54"/>
        <v>26.417999999999999</v>
      </c>
      <c r="V140" s="58">
        <f t="shared" si="55"/>
        <v>26.417999999999999</v>
      </c>
      <c r="W140" s="58">
        <f t="shared" si="56"/>
        <v>26.417999999999999</v>
      </c>
    </row>
    <row r="141" spans="1:23" s="7" customFormat="1">
      <c r="A141" s="7" t="s">
        <v>16</v>
      </c>
      <c r="B141" s="7" t="s">
        <v>858</v>
      </c>
      <c r="C141" s="83">
        <v>0</v>
      </c>
      <c r="D141" s="83">
        <v>8.4160000000000004</v>
      </c>
      <c r="E141" s="83">
        <v>91.165999999999997</v>
      </c>
      <c r="F141" s="83">
        <v>35.268000000000001</v>
      </c>
      <c r="G141" s="83">
        <v>90.897000000000006</v>
      </c>
      <c r="H141" s="83">
        <v>48.320999999999998</v>
      </c>
      <c r="I141" s="83">
        <v>100.685</v>
      </c>
      <c r="J141" s="7">
        <v>100</v>
      </c>
      <c r="K141" s="7">
        <v>6.13</v>
      </c>
      <c r="L141" s="92" t="s">
        <v>277</v>
      </c>
      <c r="M141" s="404" t="s">
        <v>18</v>
      </c>
      <c r="O141" s="7" t="s">
        <v>32</v>
      </c>
      <c r="P141" s="7">
        <v>100</v>
      </c>
      <c r="Q141" s="58">
        <f t="shared" si="49"/>
        <v>0</v>
      </c>
      <c r="R141" s="58">
        <f t="shared" si="51"/>
        <v>8.4160000000000004</v>
      </c>
      <c r="S141" s="58">
        <f t="shared" si="52"/>
        <v>91.165999999999997</v>
      </c>
      <c r="T141" s="58">
        <f t="shared" si="53"/>
        <v>35.268000000000001</v>
      </c>
      <c r="U141" s="58">
        <f t="shared" si="54"/>
        <v>90.897000000000006</v>
      </c>
      <c r="V141" s="58">
        <f t="shared" si="55"/>
        <v>48.320999999999998</v>
      </c>
      <c r="W141" s="58">
        <f t="shared" si="56"/>
        <v>100.685</v>
      </c>
    </row>
    <row r="142" spans="1:23" s="7" customFormat="1">
      <c r="A142" s="7" t="s">
        <v>16</v>
      </c>
      <c r="B142" s="7" t="s">
        <v>857</v>
      </c>
      <c r="C142" s="83">
        <v>5.99</v>
      </c>
      <c r="D142" s="83">
        <v>10.931000000000001</v>
      </c>
      <c r="E142" s="83">
        <v>2.6680000000000001</v>
      </c>
      <c r="F142" s="83">
        <v>0.91800000000000004</v>
      </c>
      <c r="G142" s="83">
        <v>0.91800000000000004</v>
      </c>
      <c r="H142" s="83">
        <v>0.71799999999999997</v>
      </c>
      <c r="I142" s="83">
        <v>0.51800000000000002</v>
      </c>
      <c r="J142" s="7">
        <v>100</v>
      </c>
      <c r="K142" s="61" t="s">
        <v>855</v>
      </c>
      <c r="L142" s="92"/>
      <c r="M142" s="404" t="s">
        <v>856</v>
      </c>
      <c r="O142" s="10" t="s">
        <v>33</v>
      </c>
      <c r="P142" s="61">
        <v>100</v>
      </c>
      <c r="Q142" s="58">
        <f t="shared" si="49"/>
        <v>5.99</v>
      </c>
      <c r="R142" s="58">
        <f t="shared" ref="R142:R160" si="57">+$P142/100*D142</f>
        <v>10.931000000000001</v>
      </c>
      <c r="S142" s="58">
        <f t="shared" ref="S142:S160" si="58">+$P142/100*E142</f>
        <v>2.6680000000000001</v>
      </c>
      <c r="T142" s="58">
        <f t="shared" ref="T142:T160" si="59">+$P142/100*F142</f>
        <v>0.91800000000000004</v>
      </c>
      <c r="U142" s="58">
        <f t="shared" ref="U142:U160" si="60">+$P142/100*G142</f>
        <v>0.91800000000000004</v>
      </c>
      <c r="V142" s="58">
        <f t="shared" ref="V142:V160" si="61">+$P142/100*H142</f>
        <v>0.71799999999999997</v>
      </c>
      <c r="W142" s="58">
        <f t="shared" ref="W142:W160" si="62">+$P142/100*I142</f>
        <v>0.51800000000000002</v>
      </c>
    </row>
    <row r="143" spans="1:23" s="7" customFormat="1">
      <c r="A143" s="7" t="s">
        <v>357</v>
      </c>
      <c r="B143" s="7" t="s">
        <v>638</v>
      </c>
      <c r="C143" s="83">
        <v>75.287000000000006</v>
      </c>
      <c r="D143" s="83">
        <v>76.128</v>
      </c>
      <c r="E143" s="83">
        <v>75.921999999999997</v>
      </c>
      <c r="F143" s="83">
        <v>76.861000000000004</v>
      </c>
      <c r="G143" s="83">
        <v>76.861000000000004</v>
      </c>
      <c r="H143" s="83">
        <v>76.861000000000004</v>
      </c>
      <c r="I143" s="83">
        <v>76.861000000000004</v>
      </c>
      <c r="J143" s="7">
        <v>100</v>
      </c>
      <c r="K143" s="7">
        <v>3</v>
      </c>
      <c r="L143" s="7" t="s">
        <v>81</v>
      </c>
      <c r="M143" s="404" t="s">
        <v>7</v>
      </c>
      <c r="O143" s="10" t="s">
        <v>33</v>
      </c>
      <c r="P143" s="61">
        <v>50</v>
      </c>
      <c r="Q143" s="58">
        <f t="shared" si="49"/>
        <v>37.643500000000003</v>
      </c>
      <c r="R143" s="58">
        <f t="shared" si="57"/>
        <v>38.064</v>
      </c>
      <c r="S143" s="58">
        <f t="shared" si="58"/>
        <v>37.960999999999999</v>
      </c>
      <c r="T143" s="58">
        <f t="shared" si="59"/>
        <v>38.430500000000002</v>
      </c>
      <c r="U143" s="58">
        <f t="shared" si="60"/>
        <v>38.430500000000002</v>
      </c>
      <c r="V143" s="58">
        <f t="shared" si="61"/>
        <v>38.430500000000002</v>
      </c>
      <c r="W143" s="58">
        <f t="shared" si="62"/>
        <v>38.430500000000002</v>
      </c>
    </row>
    <row r="144" spans="1:23" s="7" customFormat="1">
      <c r="A144" s="7" t="s">
        <v>284</v>
      </c>
      <c r="B144" s="7" t="s">
        <v>859</v>
      </c>
      <c r="C144" s="83">
        <v>3.9039999999999999</v>
      </c>
      <c r="D144" s="83">
        <v>3.552</v>
      </c>
      <c r="E144" s="83">
        <v>3.552</v>
      </c>
      <c r="F144" s="83">
        <v>3.552</v>
      </c>
      <c r="G144" s="83">
        <v>3.552</v>
      </c>
      <c r="H144" s="83">
        <v>3.552</v>
      </c>
      <c r="I144" s="83">
        <v>3.552</v>
      </c>
      <c r="J144" s="7">
        <v>100</v>
      </c>
      <c r="K144" s="7">
        <v>6</v>
      </c>
      <c r="L144" s="10" t="s">
        <v>153</v>
      </c>
      <c r="M144" s="404" t="s">
        <v>283</v>
      </c>
      <c r="O144" s="10" t="s">
        <v>33</v>
      </c>
      <c r="P144" s="61">
        <v>0</v>
      </c>
      <c r="Q144" s="58">
        <f t="shared" si="49"/>
        <v>0</v>
      </c>
      <c r="R144" s="58">
        <f t="shared" si="57"/>
        <v>0</v>
      </c>
      <c r="S144" s="58">
        <f t="shared" si="58"/>
        <v>0</v>
      </c>
      <c r="T144" s="58">
        <f t="shared" si="59"/>
        <v>0</v>
      </c>
      <c r="U144" s="58">
        <f t="shared" si="60"/>
        <v>0</v>
      </c>
      <c r="V144" s="58">
        <f t="shared" si="61"/>
        <v>0</v>
      </c>
      <c r="W144" s="58">
        <f t="shared" si="62"/>
        <v>0</v>
      </c>
    </row>
    <row r="145" spans="1:23" s="7" customFormat="1">
      <c r="A145" s="7" t="s">
        <v>284</v>
      </c>
      <c r="B145" s="7" t="s">
        <v>285</v>
      </c>
      <c r="C145" s="83">
        <v>2.4049999999999998</v>
      </c>
      <c r="D145" s="83">
        <v>2.738</v>
      </c>
      <c r="E145" s="83">
        <v>1.345</v>
      </c>
      <c r="F145" s="83">
        <v>0.15</v>
      </c>
      <c r="G145" s="83">
        <v>0</v>
      </c>
      <c r="H145" s="83">
        <v>0</v>
      </c>
      <c r="I145" s="83">
        <v>0</v>
      </c>
      <c r="J145" s="7">
        <v>100</v>
      </c>
      <c r="K145" s="7" t="s">
        <v>798</v>
      </c>
      <c r="L145" s="92"/>
      <c r="M145" s="404" t="s">
        <v>8</v>
      </c>
      <c r="O145" s="10" t="s">
        <v>33</v>
      </c>
      <c r="P145" s="61">
        <v>50</v>
      </c>
      <c r="Q145" s="58">
        <f t="shared" si="49"/>
        <v>1.2024999999999999</v>
      </c>
      <c r="R145" s="58">
        <f t="shared" si="57"/>
        <v>1.369</v>
      </c>
      <c r="S145" s="58">
        <f t="shared" si="58"/>
        <v>0.67249999999999999</v>
      </c>
      <c r="T145" s="58">
        <f t="shared" si="59"/>
        <v>7.4999999999999997E-2</v>
      </c>
      <c r="U145" s="58">
        <f t="shared" si="60"/>
        <v>0</v>
      </c>
      <c r="V145" s="58">
        <f t="shared" si="61"/>
        <v>0</v>
      </c>
      <c r="W145" s="58">
        <f t="shared" si="62"/>
        <v>0</v>
      </c>
    </row>
    <row r="146" spans="1:23" s="7" customFormat="1">
      <c r="A146" s="7" t="s">
        <v>442</v>
      </c>
      <c r="B146" s="7" t="s">
        <v>860</v>
      </c>
      <c r="C146" s="83">
        <v>0</v>
      </c>
      <c r="D146" s="83">
        <v>0</v>
      </c>
      <c r="E146" s="83">
        <v>0</v>
      </c>
      <c r="F146" s="83">
        <v>0</v>
      </c>
      <c r="G146" s="83">
        <v>0</v>
      </c>
      <c r="H146" s="83">
        <v>0</v>
      </c>
      <c r="I146" s="83">
        <v>0</v>
      </c>
      <c r="J146" s="7">
        <v>95</v>
      </c>
      <c r="K146" s="7" t="s">
        <v>444</v>
      </c>
      <c r="L146" s="92"/>
      <c r="M146" s="404" t="s">
        <v>445</v>
      </c>
      <c r="O146" s="10" t="s">
        <v>33</v>
      </c>
      <c r="P146" s="61">
        <v>95</v>
      </c>
      <c r="Q146" s="58">
        <f t="shared" si="49"/>
        <v>0</v>
      </c>
      <c r="R146" s="58">
        <f t="shared" si="57"/>
        <v>0</v>
      </c>
      <c r="S146" s="58">
        <f t="shared" si="58"/>
        <v>0</v>
      </c>
      <c r="T146" s="58">
        <f t="shared" si="59"/>
        <v>0</v>
      </c>
      <c r="U146" s="58">
        <f t="shared" si="60"/>
        <v>0</v>
      </c>
      <c r="V146" s="58">
        <f t="shared" si="61"/>
        <v>0</v>
      </c>
      <c r="W146" s="58">
        <f t="shared" si="62"/>
        <v>0</v>
      </c>
    </row>
    <row r="147" spans="1:23" s="7" customFormat="1">
      <c r="A147" s="94" t="s">
        <v>221</v>
      </c>
      <c r="B147" s="109" t="s">
        <v>222</v>
      </c>
      <c r="C147" s="110">
        <v>4.4021999999999997</v>
      </c>
      <c r="D147" s="110">
        <v>10.811999999999999</v>
      </c>
      <c r="E147" s="110">
        <v>7.9431000000000003</v>
      </c>
      <c r="F147" s="110">
        <v>9.5930999999999997</v>
      </c>
      <c r="G147" s="110">
        <v>9.6231000000000009</v>
      </c>
      <c r="H147" s="110">
        <v>7.2230999999999996</v>
      </c>
      <c r="I147" s="110">
        <v>7.2230999999999996</v>
      </c>
      <c r="J147" s="111">
        <v>30</v>
      </c>
      <c r="K147" s="11" t="s">
        <v>640</v>
      </c>
      <c r="M147" s="415" t="s">
        <v>8</v>
      </c>
      <c r="N147" s="94"/>
      <c r="O147" s="7" t="s">
        <v>33</v>
      </c>
      <c r="P147" s="11">
        <v>30</v>
      </c>
      <c r="Q147" s="58">
        <f t="shared" si="49"/>
        <v>1.3206599999999999</v>
      </c>
      <c r="R147" s="58">
        <f t="shared" si="57"/>
        <v>3.2435999999999998</v>
      </c>
      <c r="S147" s="58">
        <f t="shared" si="58"/>
        <v>2.38293</v>
      </c>
      <c r="T147" s="58">
        <f t="shared" si="59"/>
        <v>2.8779299999999997</v>
      </c>
      <c r="U147" s="58">
        <f t="shared" si="60"/>
        <v>2.88693</v>
      </c>
      <c r="V147" s="58">
        <f t="shared" si="61"/>
        <v>2.1669299999999998</v>
      </c>
      <c r="W147" s="58">
        <f t="shared" si="62"/>
        <v>2.1669299999999998</v>
      </c>
    </row>
    <row r="148" spans="1:23" s="7" customFormat="1">
      <c r="A148" s="94">
        <v>20</v>
      </c>
      <c r="B148" s="10" t="s">
        <v>641</v>
      </c>
      <c r="C148" s="110">
        <v>3.3824000000000001</v>
      </c>
      <c r="D148" s="110">
        <v>0.93379999999999996</v>
      </c>
      <c r="E148" s="110">
        <v>0</v>
      </c>
      <c r="F148" s="110">
        <v>0</v>
      </c>
      <c r="G148" s="110">
        <v>0</v>
      </c>
      <c r="H148" s="110">
        <v>0</v>
      </c>
      <c r="I148" s="110">
        <v>0</v>
      </c>
      <c r="J148" s="111">
        <v>70</v>
      </c>
      <c r="K148" s="11" t="s">
        <v>642</v>
      </c>
      <c r="L148" s="10"/>
      <c r="M148" s="415" t="s">
        <v>8</v>
      </c>
      <c r="N148" s="94"/>
      <c r="O148" s="7" t="s">
        <v>33</v>
      </c>
      <c r="P148" s="11">
        <v>70</v>
      </c>
      <c r="Q148" s="58">
        <f t="shared" si="49"/>
        <v>2.36768</v>
      </c>
      <c r="R148" s="58">
        <f t="shared" si="57"/>
        <v>0.65365999999999991</v>
      </c>
      <c r="S148" s="58">
        <f t="shared" si="58"/>
        <v>0</v>
      </c>
      <c r="T148" s="58">
        <f t="shared" si="59"/>
        <v>0</v>
      </c>
      <c r="U148" s="58">
        <f t="shared" si="60"/>
        <v>0</v>
      </c>
      <c r="V148" s="58">
        <f t="shared" si="61"/>
        <v>0</v>
      </c>
      <c r="W148" s="58">
        <f t="shared" si="62"/>
        <v>0</v>
      </c>
    </row>
    <row r="149" spans="1:23" s="7" customFormat="1">
      <c r="A149" s="94" t="s">
        <v>505</v>
      </c>
      <c r="B149" s="10" t="s">
        <v>643</v>
      </c>
      <c r="C149" s="110">
        <v>0.53479999999999994</v>
      </c>
      <c r="D149" s="110">
        <v>1.6202000000000001</v>
      </c>
      <c r="E149" s="110">
        <v>3.2787999999999999</v>
      </c>
      <c r="F149" s="110">
        <v>7.7527999999999997</v>
      </c>
      <c r="G149" s="110">
        <v>10.210000000000001</v>
      </c>
      <c r="H149" s="110">
        <v>12.295</v>
      </c>
      <c r="I149" s="110">
        <v>11.74</v>
      </c>
      <c r="J149" s="111">
        <v>20</v>
      </c>
      <c r="K149" s="11" t="s">
        <v>861</v>
      </c>
      <c r="L149" s="10"/>
      <c r="M149" s="415" t="s">
        <v>8</v>
      </c>
      <c r="N149" s="94"/>
      <c r="O149" s="7" t="s">
        <v>33</v>
      </c>
      <c r="P149" s="11">
        <v>20</v>
      </c>
      <c r="Q149" s="58">
        <f t="shared" si="49"/>
        <v>0.10696</v>
      </c>
      <c r="R149" s="58">
        <f t="shared" si="57"/>
        <v>0.32404000000000005</v>
      </c>
      <c r="S149" s="58">
        <f t="shared" si="58"/>
        <v>0.65576000000000001</v>
      </c>
      <c r="T149" s="58">
        <f t="shared" si="59"/>
        <v>1.5505599999999999</v>
      </c>
      <c r="U149" s="58">
        <f t="shared" si="60"/>
        <v>2.0420000000000003</v>
      </c>
      <c r="V149" s="58">
        <f t="shared" si="61"/>
        <v>2.4590000000000001</v>
      </c>
      <c r="W149" s="58">
        <f t="shared" si="62"/>
        <v>2.3480000000000003</v>
      </c>
    </row>
    <row r="150" spans="1:23" s="7" customFormat="1">
      <c r="A150" s="94">
        <v>22</v>
      </c>
      <c r="B150" s="10" t="s">
        <v>645</v>
      </c>
      <c r="C150" s="110">
        <v>8.173</v>
      </c>
      <c r="D150" s="110">
        <v>37.5</v>
      </c>
      <c r="E150" s="110">
        <v>37.5</v>
      </c>
      <c r="F150" s="110">
        <v>37.5</v>
      </c>
      <c r="G150" s="110">
        <v>12.5</v>
      </c>
      <c r="H150" s="110">
        <v>15</v>
      </c>
      <c r="I150" s="110">
        <v>0</v>
      </c>
      <c r="J150" s="111">
        <v>100</v>
      </c>
      <c r="K150" s="11" t="s">
        <v>646</v>
      </c>
      <c r="L150" s="10"/>
      <c r="M150" s="415" t="s">
        <v>647</v>
      </c>
      <c r="N150" s="94"/>
      <c r="O150" s="7" t="s">
        <v>33</v>
      </c>
      <c r="P150" s="11">
        <v>100</v>
      </c>
      <c r="Q150" s="58">
        <f t="shared" si="49"/>
        <v>8.173</v>
      </c>
      <c r="R150" s="58">
        <f t="shared" si="57"/>
        <v>37.5</v>
      </c>
      <c r="S150" s="58">
        <f t="shared" si="58"/>
        <v>37.5</v>
      </c>
      <c r="T150" s="58">
        <f t="shared" si="59"/>
        <v>37.5</v>
      </c>
      <c r="U150" s="58">
        <f t="shared" si="60"/>
        <v>12.5</v>
      </c>
      <c r="V150" s="58">
        <f t="shared" si="61"/>
        <v>15</v>
      </c>
      <c r="W150" s="58">
        <f t="shared" si="62"/>
        <v>0</v>
      </c>
    </row>
    <row r="151" spans="1:23" s="7" customFormat="1">
      <c r="A151" s="94">
        <v>17</v>
      </c>
      <c r="B151" s="10" t="s">
        <v>576</v>
      </c>
      <c r="C151" s="110">
        <v>0</v>
      </c>
      <c r="D151" s="110">
        <v>3.9420000000000002</v>
      </c>
      <c r="E151" s="110">
        <v>9.5579999999999998</v>
      </c>
      <c r="F151" s="110">
        <v>4.5</v>
      </c>
      <c r="G151" s="110">
        <v>0</v>
      </c>
      <c r="H151" s="110">
        <v>0</v>
      </c>
      <c r="I151" s="110">
        <v>0</v>
      </c>
      <c r="J151" s="111">
        <v>90</v>
      </c>
      <c r="K151" s="11">
        <v>14</v>
      </c>
      <c r="L151" s="10"/>
      <c r="M151" s="415" t="s">
        <v>577</v>
      </c>
      <c r="N151" s="94"/>
      <c r="O151" s="7" t="s">
        <v>33</v>
      </c>
      <c r="P151" s="11">
        <v>90</v>
      </c>
      <c r="Q151" s="58">
        <f t="shared" si="49"/>
        <v>0</v>
      </c>
      <c r="R151" s="58">
        <f t="shared" si="57"/>
        <v>3.5478000000000001</v>
      </c>
      <c r="S151" s="58">
        <f t="shared" si="58"/>
        <v>8.6021999999999998</v>
      </c>
      <c r="T151" s="58">
        <f t="shared" si="59"/>
        <v>4.05</v>
      </c>
      <c r="U151" s="58">
        <f t="shared" si="60"/>
        <v>0</v>
      </c>
      <c r="V151" s="58">
        <f t="shared" si="61"/>
        <v>0</v>
      </c>
      <c r="W151" s="58">
        <f t="shared" si="62"/>
        <v>0</v>
      </c>
    </row>
    <row r="152" spans="1:23" s="7" customFormat="1">
      <c r="A152" s="94">
        <v>25</v>
      </c>
      <c r="B152" s="10" t="s">
        <v>862</v>
      </c>
      <c r="C152" s="110">
        <v>0</v>
      </c>
      <c r="D152" s="110">
        <v>4.8975</v>
      </c>
      <c r="E152" s="110">
        <v>134.08949999999999</v>
      </c>
      <c r="F152" s="110">
        <v>8.0709999999999997</v>
      </c>
      <c r="G152" s="110">
        <v>7.0709999999999997</v>
      </c>
      <c r="H152" s="110">
        <v>7.0709999999999997</v>
      </c>
      <c r="I152" s="110">
        <v>0</v>
      </c>
      <c r="J152" s="111">
        <v>50</v>
      </c>
      <c r="K152" s="11" t="s">
        <v>677</v>
      </c>
      <c r="L152" s="10"/>
      <c r="M152" s="415" t="s">
        <v>647</v>
      </c>
      <c r="N152" s="94"/>
      <c r="O152" s="7" t="s">
        <v>33</v>
      </c>
      <c r="P152" s="11">
        <v>50</v>
      </c>
      <c r="Q152" s="58">
        <f t="shared" si="49"/>
        <v>0</v>
      </c>
      <c r="R152" s="58">
        <f t="shared" si="57"/>
        <v>2.44875</v>
      </c>
      <c r="S152" s="58">
        <f t="shared" si="58"/>
        <v>67.044749999999993</v>
      </c>
      <c r="T152" s="58">
        <f t="shared" si="59"/>
        <v>4.0354999999999999</v>
      </c>
      <c r="U152" s="58">
        <f t="shared" si="60"/>
        <v>3.5354999999999999</v>
      </c>
      <c r="V152" s="58">
        <f t="shared" si="61"/>
        <v>3.5354999999999999</v>
      </c>
      <c r="W152" s="58">
        <f t="shared" si="62"/>
        <v>0</v>
      </c>
    </row>
    <row r="153" spans="1:23" s="7" customFormat="1">
      <c r="A153" s="94">
        <v>26</v>
      </c>
      <c r="B153" s="10" t="s">
        <v>674</v>
      </c>
      <c r="C153" s="110">
        <v>0</v>
      </c>
      <c r="D153" s="110">
        <v>0</v>
      </c>
      <c r="E153" s="110">
        <v>0</v>
      </c>
      <c r="F153" s="110">
        <v>0</v>
      </c>
      <c r="G153" s="110">
        <v>0</v>
      </c>
      <c r="H153" s="110">
        <v>0</v>
      </c>
      <c r="I153" s="110">
        <v>0</v>
      </c>
      <c r="J153" s="111">
        <v>0</v>
      </c>
      <c r="K153" s="11" t="s">
        <v>799</v>
      </c>
      <c r="L153" s="10"/>
      <c r="M153" s="415" t="s">
        <v>647</v>
      </c>
      <c r="N153" s="94"/>
      <c r="O153" s="7" t="s">
        <v>33</v>
      </c>
      <c r="P153" s="11">
        <v>0</v>
      </c>
      <c r="Q153" s="58">
        <f t="shared" si="49"/>
        <v>0</v>
      </c>
      <c r="R153" s="58">
        <f t="shared" si="57"/>
        <v>0</v>
      </c>
      <c r="S153" s="58">
        <f t="shared" si="58"/>
        <v>0</v>
      </c>
      <c r="T153" s="58">
        <f t="shared" si="59"/>
        <v>0</v>
      </c>
      <c r="U153" s="58">
        <f t="shared" si="60"/>
        <v>0</v>
      </c>
      <c r="V153" s="58">
        <f t="shared" si="61"/>
        <v>0</v>
      </c>
      <c r="W153" s="58">
        <f t="shared" si="62"/>
        <v>0</v>
      </c>
    </row>
    <row r="154" spans="1:23" s="7" customFormat="1">
      <c r="A154" s="94">
        <v>27</v>
      </c>
      <c r="B154" s="10" t="s">
        <v>675</v>
      </c>
      <c r="C154" s="110">
        <v>4.7</v>
      </c>
      <c r="D154" s="110">
        <v>10.45</v>
      </c>
      <c r="E154" s="110">
        <v>4.8914999999999997</v>
      </c>
      <c r="F154" s="110">
        <v>3.3170000000000002</v>
      </c>
      <c r="G154" s="110">
        <v>2.7665000000000002</v>
      </c>
      <c r="H154" s="110">
        <v>0.79200000000000004</v>
      </c>
      <c r="I154" s="110">
        <v>0.64149999999999996</v>
      </c>
      <c r="J154" s="111">
        <v>50</v>
      </c>
      <c r="K154" s="11" t="s">
        <v>678</v>
      </c>
      <c r="L154" s="10"/>
      <c r="M154" s="415" t="s">
        <v>680</v>
      </c>
      <c r="N154" s="94"/>
      <c r="O154" s="7" t="s">
        <v>33</v>
      </c>
      <c r="P154" s="11">
        <v>50</v>
      </c>
      <c r="Q154" s="58">
        <f t="shared" si="49"/>
        <v>2.35</v>
      </c>
      <c r="R154" s="58">
        <f t="shared" si="57"/>
        <v>5.2249999999999996</v>
      </c>
      <c r="S154" s="58">
        <f t="shared" si="58"/>
        <v>2.4457499999999999</v>
      </c>
      <c r="T154" s="58">
        <f t="shared" si="59"/>
        <v>1.6585000000000001</v>
      </c>
      <c r="U154" s="58">
        <f t="shared" si="60"/>
        <v>1.3832500000000001</v>
      </c>
      <c r="V154" s="58">
        <f t="shared" si="61"/>
        <v>0.39600000000000002</v>
      </c>
      <c r="W154" s="58">
        <f t="shared" si="62"/>
        <v>0.32074999999999998</v>
      </c>
    </row>
    <row r="155" spans="1:23" s="7" customFormat="1">
      <c r="A155" s="94">
        <v>28</v>
      </c>
      <c r="B155" s="10" t="s">
        <v>676</v>
      </c>
      <c r="C155" s="110">
        <v>0</v>
      </c>
      <c r="D155" s="110">
        <v>33.9</v>
      </c>
      <c r="E155" s="110">
        <v>40.450000000000003</v>
      </c>
      <c r="F155" s="110">
        <v>38.549999999999997</v>
      </c>
      <c r="G155" s="110">
        <v>14.5</v>
      </c>
      <c r="H155" s="110">
        <v>4.05</v>
      </c>
      <c r="I155" s="110">
        <v>9.5500000000000007</v>
      </c>
      <c r="J155" s="111">
        <v>50</v>
      </c>
      <c r="K155" s="11" t="s">
        <v>679</v>
      </c>
      <c r="L155" s="10"/>
      <c r="M155" s="415" t="s">
        <v>647</v>
      </c>
      <c r="N155" s="94"/>
      <c r="O155" s="7" t="s">
        <v>33</v>
      </c>
      <c r="P155" s="11">
        <v>50</v>
      </c>
      <c r="Q155" s="58">
        <f t="shared" si="49"/>
        <v>0</v>
      </c>
      <c r="R155" s="58">
        <f t="shared" si="57"/>
        <v>16.95</v>
      </c>
      <c r="S155" s="58">
        <f t="shared" si="58"/>
        <v>20.225000000000001</v>
      </c>
      <c r="T155" s="58">
        <f t="shared" si="59"/>
        <v>19.274999999999999</v>
      </c>
      <c r="U155" s="58">
        <f t="shared" si="60"/>
        <v>7.25</v>
      </c>
      <c r="V155" s="58">
        <f t="shared" si="61"/>
        <v>2.0249999999999999</v>
      </c>
      <c r="W155" s="58">
        <f t="shared" si="62"/>
        <v>4.7750000000000004</v>
      </c>
    </row>
    <row r="156" spans="1:23" s="7" customFormat="1">
      <c r="A156" s="94"/>
      <c r="B156" s="10" t="s">
        <v>848</v>
      </c>
      <c r="C156" s="110">
        <v>6.4000000000000001E-2</v>
      </c>
      <c r="D156" s="110">
        <v>4.4240000000000004</v>
      </c>
      <c r="E156" s="110">
        <v>10.202</v>
      </c>
      <c r="F156" s="110">
        <v>9.8699999999999992</v>
      </c>
      <c r="G156" s="110">
        <v>10.48</v>
      </c>
      <c r="H156" s="110">
        <v>9.48</v>
      </c>
      <c r="I156" s="110">
        <v>7.98</v>
      </c>
      <c r="J156" s="111">
        <v>100</v>
      </c>
      <c r="K156" s="11" t="s">
        <v>646</v>
      </c>
      <c r="L156" s="10"/>
      <c r="M156" s="415" t="s">
        <v>647</v>
      </c>
      <c r="N156" s="94"/>
      <c r="O156" s="7" t="s">
        <v>33</v>
      </c>
      <c r="P156" s="11">
        <v>100</v>
      </c>
      <c r="Q156" s="58">
        <f t="shared" si="49"/>
        <v>6.4000000000000001E-2</v>
      </c>
      <c r="R156" s="58">
        <f t="shared" si="57"/>
        <v>4.4240000000000004</v>
      </c>
      <c r="S156" s="58">
        <f t="shared" si="58"/>
        <v>10.202</v>
      </c>
      <c r="T156" s="58">
        <f t="shared" si="59"/>
        <v>9.8699999999999992</v>
      </c>
      <c r="U156" s="58">
        <f t="shared" si="60"/>
        <v>10.48</v>
      </c>
      <c r="V156" s="58">
        <f t="shared" si="61"/>
        <v>9.48</v>
      </c>
      <c r="W156" s="58">
        <f t="shared" si="62"/>
        <v>7.98</v>
      </c>
    </row>
    <row r="157" spans="1:23" s="7" customFormat="1">
      <c r="A157" s="94">
        <v>11</v>
      </c>
      <c r="B157" s="10" t="s">
        <v>866</v>
      </c>
      <c r="C157" s="110">
        <v>0</v>
      </c>
      <c r="D157" s="110">
        <v>0.90600000000000003</v>
      </c>
      <c r="E157" s="110">
        <v>4.1559999999999997</v>
      </c>
      <c r="F157" s="110">
        <v>4.1559999999999997</v>
      </c>
      <c r="G157" s="110">
        <v>4.0389999999999997</v>
      </c>
      <c r="H157" s="110">
        <v>1.2889999999999999</v>
      </c>
      <c r="I157" s="110">
        <v>1.0389999999999999</v>
      </c>
      <c r="J157" s="111">
        <v>25</v>
      </c>
      <c r="K157" s="11" t="s">
        <v>644</v>
      </c>
      <c r="L157" s="10"/>
      <c r="M157" s="415" t="s">
        <v>8</v>
      </c>
      <c r="N157" s="94"/>
      <c r="O157" s="7" t="s">
        <v>33</v>
      </c>
      <c r="P157" s="11">
        <v>25</v>
      </c>
      <c r="Q157" s="58">
        <f t="shared" si="49"/>
        <v>0</v>
      </c>
      <c r="R157" s="58">
        <f t="shared" si="57"/>
        <v>0.22650000000000001</v>
      </c>
      <c r="S157" s="58">
        <f t="shared" si="58"/>
        <v>1.0389999999999999</v>
      </c>
      <c r="T157" s="58">
        <f t="shared" si="59"/>
        <v>1.0389999999999999</v>
      </c>
      <c r="U157" s="58">
        <f t="shared" si="60"/>
        <v>1.0097499999999999</v>
      </c>
      <c r="V157" s="58">
        <f t="shared" si="61"/>
        <v>0.32224999999999998</v>
      </c>
      <c r="W157" s="58">
        <f t="shared" si="62"/>
        <v>0.25974999999999998</v>
      </c>
    </row>
    <row r="158" spans="1:23" s="7" customFormat="1">
      <c r="A158" s="94"/>
      <c r="B158" s="10" t="s">
        <v>863</v>
      </c>
      <c r="C158" s="110">
        <v>0</v>
      </c>
      <c r="D158" s="110">
        <v>10</v>
      </c>
      <c r="E158" s="110">
        <v>60</v>
      </c>
      <c r="F158" s="110">
        <v>50</v>
      </c>
      <c r="G158" s="110">
        <v>41</v>
      </c>
      <c r="H158" s="110">
        <v>0</v>
      </c>
      <c r="I158" s="110">
        <v>0</v>
      </c>
      <c r="J158" s="111">
        <v>100</v>
      </c>
      <c r="K158" s="11" t="s">
        <v>800</v>
      </c>
      <c r="L158" s="10"/>
      <c r="M158" s="415" t="str">
        <f>'[1]R&amp;D'!$I$534</f>
        <v>U/UMC//SO/O</v>
      </c>
      <c r="N158" s="94"/>
      <c r="O158" s="7" t="s">
        <v>33</v>
      </c>
      <c r="P158" s="11">
        <v>100</v>
      </c>
      <c r="Q158" s="58">
        <f t="shared" si="49"/>
        <v>0</v>
      </c>
      <c r="R158" s="58">
        <f t="shared" si="57"/>
        <v>10</v>
      </c>
      <c r="S158" s="58">
        <f t="shared" si="58"/>
        <v>60</v>
      </c>
      <c r="T158" s="58">
        <f t="shared" si="59"/>
        <v>50</v>
      </c>
      <c r="U158" s="58">
        <f t="shared" si="60"/>
        <v>41</v>
      </c>
      <c r="V158" s="58">
        <f t="shared" si="61"/>
        <v>0</v>
      </c>
      <c r="W158" s="58">
        <f t="shared" si="62"/>
        <v>0</v>
      </c>
    </row>
    <row r="159" spans="1:23" s="7" customFormat="1">
      <c r="A159" s="94"/>
      <c r="B159" s="10" t="s">
        <v>864</v>
      </c>
      <c r="C159" s="110">
        <v>0</v>
      </c>
      <c r="D159" s="110">
        <v>0</v>
      </c>
      <c r="E159" s="110">
        <v>36.727499999999999</v>
      </c>
      <c r="F159" s="110">
        <v>26.272500000000001</v>
      </c>
      <c r="G159" s="110">
        <v>15</v>
      </c>
      <c r="H159" s="110">
        <v>11.25</v>
      </c>
      <c r="I159" s="110">
        <v>3.75</v>
      </c>
      <c r="J159" s="111">
        <v>75</v>
      </c>
      <c r="K159" s="11" t="s">
        <v>508</v>
      </c>
      <c r="L159" s="10"/>
      <c r="M159" s="415" t="str">
        <f>'[1]R&amp;D'!$I$535</f>
        <v>U/HBO/TO2/SO/O</v>
      </c>
      <c r="N159" s="94"/>
      <c r="O159" s="7" t="s">
        <v>33</v>
      </c>
      <c r="P159" s="11">
        <v>100</v>
      </c>
      <c r="Q159" s="58">
        <f t="shared" si="49"/>
        <v>0</v>
      </c>
      <c r="R159" s="58">
        <f t="shared" si="57"/>
        <v>0</v>
      </c>
      <c r="S159" s="58">
        <f t="shared" si="58"/>
        <v>36.727499999999999</v>
      </c>
      <c r="T159" s="58">
        <f t="shared" si="59"/>
        <v>26.272500000000001</v>
      </c>
      <c r="U159" s="58">
        <f t="shared" si="60"/>
        <v>15</v>
      </c>
      <c r="V159" s="58">
        <f t="shared" si="61"/>
        <v>11.25</v>
      </c>
      <c r="W159" s="58">
        <f t="shared" si="62"/>
        <v>3.75</v>
      </c>
    </row>
    <row r="160" spans="1:23" s="7" customFormat="1">
      <c r="A160" s="94"/>
      <c r="B160" s="10" t="s">
        <v>865</v>
      </c>
      <c r="C160" s="110">
        <v>0</v>
      </c>
      <c r="D160" s="110">
        <v>0</v>
      </c>
      <c r="E160" s="110">
        <v>37.5</v>
      </c>
      <c r="F160" s="110">
        <v>22</v>
      </c>
      <c r="G160" s="110">
        <v>16.75</v>
      </c>
      <c r="H160" s="110">
        <v>15.75</v>
      </c>
      <c r="I160" s="110">
        <v>10.75</v>
      </c>
      <c r="J160" s="111">
        <v>25</v>
      </c>
      <c r="K160" s="11" t="s">
        <v>802</v>
      </c>
      <c r="L160" s="10"/>
      <c r="M160" s="415" t="str">
        <f>'[1]R&amp;D'!$I$536</f>
        <v>U//TO2/SO/O</v>
      </c>
      <c r="N160" s="94"/>
      <c r="O160" s="7" t="s">
        <v>33</v>
      </c>
      <c r="P160" s="11">
        <v>100</v>
      </c>
      <c r="Q160" s="58">
        <f t="shared" si="49"/>
        <v>0</v>
      </c>
      <c r="R160" s="58">
        <f t="shared" si="57"/>
        <v>0</v>
      </c>
      <c r="S160" s="58">
        <f t="shared" si="58"/>
        <v>37.5</v>
      </c>
      <c r="T160" s="58">
        <f t="shared" si="59"/>
        <v>22</v>
      </c>
      <c r="U160" s="58">
        <f t="shared" si="60"/>
        <v>16.75</v>
      </c>
      <c r="V160" s="58">
        <f t="shared" si="61"/>
        <v>15.75</v>
      </c>
      <c r="W160" s="58">
        <f t="shared" si="62"/>
        <v>10.75</v>
      </c>
    </row>
    <row r="161" spans="1:23" s="68" customFormat="1" ht="14.4">
      <c r="A161" s="68" t="s">
        <v>288</v>
      </c>
      <c r="B161" s="97" t="s">
        <v>290</v>
      </c>
      <c r="C161" s="98"/>
      <c r="D161" s="98"/>
      <c r="E161" s="98"/>
      <c r="F161" s="98"/>
      <c r="G161" s="98"/>
      <c r="H161" s="98"/>
      <c r="I161" s="98"/>
      <c r="L161" s="20"/>
      <c r="M161" s="408"/>
      <c r="P161" s="99"/>
      <c r="Q161" s="108"/>
      <c r="R161" s="108"/>
      <c r="S161" s="108"/>
      <c r="T161" s="108"/>
      <c r="U161" s="108"/>
      <c r="V161" s="108"/>
      <c r="W161" s="108"/>
    </row>
    <row r="162" spans="1:23" s="7" customFormat="1">
      <c r="A162" s="7" t="s">
        <v>29</v>
      </c>
      <c r="B162" s="7" t="s">
        <v>867</v>
      </c>
      <c r="C162" s="83">
        <v>53.334000000000003</v>
      </c>
      <c r="D162" s="83">
        <v>61.447000000000003</v>
      </c>
      <c r="E162" s="83">
        <v>51.933</v>
      </c>
      <c r="F162" s="83">
        <v>58.689</v>
      </c>
      <c r="G162" s="83">
        <v>57.689</v>
      </c>
      <c r="H162" s="83">
        <v>57.689</v>
      </c>
      <c r="I162" s="83">
        <v>57.689</v>
      </c>
      <c r="J162" s="7">
        <v>100</v>
      </c>
      <c r="K162" s="7" t="s">
        <v>388</v>
      </c>
      <c r="L162" s="10"/>
      <c r="M162" s="404" t="s">
        <v>8</v>
      </c>
      <c r="O162" s="10" t="s">
        <v>33</v>
      </c>
      <c r="P162" s="61">
        <v>100</v>
      </c>
      <c r="Q162" s="58">
        <f t="shared" si="49"/>
        <v>53.334000000000003</v>
      </c>
      <c r="R162" s="58">
        <f t="shared" ref="R162:R192" si="63">+$P162/100*D162</f>
        <v>61.447000000000003</v>
      </c>
      <c r="S162" s="58">
        <f t="shared" ref="S162:S192" si="64">+$P162/100*E162</f>
        <v>51.933</v>
      </c>
      <c r="T162" s="58">
        <f t="shared" ref="T162:T192" si="65">+$P162/100*F162</f>
        <v>58.689</v>
      </c>
      <c r="U162" s="58">
        <f t="shared" ref="U162:U192" si="66">+$P162/100*G162</f>
        <v>57.689</v>
      </c>
      <c r="V162" s="58">
        <f t="shared" ref="V162:V192" si="67">+$P162/100*H162</f>
        <v>57.689</v>
      </c>
      <c r="W162" s="58">
        <f t="shared" ref="W162:W192" si="68">+$P162/100*I162</f>
        <v>57.689</v>
      </c>
    </row>
    <row r="163" spans="1:23" s="7" customFormat="1">
      <c r="A163" s="7" t="s">
        <v>30</v>
      </c>
      <c r="B163" s="7" t="s">
        <v>223</v>
      </c>
      <c r="C163" s="83">
        <v>24.441199999999998</v>
      </c>
      <c r="D163" s="83">
        <v>53.685099999999998</v>
      </c>
      <c r="E163" s="83">
        <v>28.879899999999999</v>
      </c>
      <c r="F163" s="83">
        <v>42.877099999999999</v>
      </c>
      <c r="G163" s="83">
        <v>39.260199999999998</v>
      </c>
      <c r="H163" s="83">
        <v>39.764200000000002</v>
      </c>
      <c r="I163" s="83">
        <v>30.860199999999999</v>
      </c>
      <c r="J163" s="7">
        <v>70</v>
      </c>
      <c r="K163" s="7" t="s">
        <v>388</v>
      </c>
      <c r="L163" s="10"/>
      <c r="M163" s="404" t="s">
        <v>8</v>
      </c>
      <c r="O163" s="10" t="s">
        <v>33</v>
      </c>
      <c r="P163" s="61">
        <v>70</v>
      </c>
      <c r="Q163" s="58">
        <f t="shared" si="49"/>
        <v>17.108839999999997</v>
      </c>
      <c r="R163" s="58">
        <f t="shared" si="63"/>
        <v>37.579569999999997</v>
      </c>
      <c r="S163" s="58">
        <f t="shared" si="64"/>
        <v>20.215929999999997</v>
      </c>
      <c r="T163" s="58">
        <f t="shared" si="65"/>
        <v>30.013969999999997</v>
      </c>
      <c r="U163" s="58">
        <f t="shared" si="66"/>
        <v>27.482139999999998</v>
      </c>
      <c r="V163" s="58">
        <f t="shared" si="67"/>
        <v>27.83494</v>
      </c>
      <c r="W163" s="58">
        <f t="shared" si="68"/>
        <v>21.602139999999999</v>
      </c>
    </row>
    <row r="164" spans="1:23" s="7" customFormat="1">
      <c r="A164" s="7" t="s">
        <v>9</v>
      </c>
      <c r="B164" s="109" t="s">
        <v>225</v>
      </c>
      <c r="C164" s="83">
        <v>3.5</v>
      </c>
      <c r="D164" s="83">
        <v>36.527500000000003</v>
      </c>
      <c r="E164" s="83">
        <v>5.633</v>
      </c>
      <c r="F164" s="83">
        <v>6.5505000000000004</v>
      </c>
      <c r="G164" s="83">
        <v>7.9</v>
      </c>
      <c r="H164" s="83">
        <v>5.4</v>
      </c>
      <c r="I164" s="83">
        <v>11.5</v>
      </c>
      <c r="J164" s="7">
        <v>50</v>
      </c>
      <c r="K164" s="7" t="s">
        <v>388</v>
      </c>
      <c r="L164" s="10"/>
      <c r="M164" s="404" t="s">
        <v>8</v>
      </c>
      <c r="O164" s="10" t="s">
        <v>33</v>
      </c>
      <c r="P164" s="61">
        <v>50</v>
      </c>
      <c r="Q164" s="58">
        <f t="shared" si="49"/>
        <v>1.75</v>
      </c>
      <c r="R164" s="58">
        <f t="shared" si="63"/>
        <v>18.263750000000002</v>
      </c>
      <c r="S164" s="58">
        <f t="shared" si="64"/>
        <v>2.8165</v>
      </c>
      <c r="T164" s="58">
        <f t="shared" si="65"/>
        <v>3.2752500000000002</v>
      </c>
      <c r="U164" s="58">
        <f t="shared" si="66"/>
        <v>3.95</v>
      </c>
      <c r="V164" s="58">
        <f t="shared" si="67"/>
        <v>2.7</v>
      </c>
      <c r="W164" s="58">
        <f t="shared" si="68"/>
        <v>5.75</v>
      </c>
    </row>
    <row r="165" spans="1:23" s="7" customFormat="1" ht="27.6">
      <c r="A165" s="94">
        <v>19</v>
      </c>
      <c r="B165" s="109" t="s">
        <v>446</v>
      </c>
      <c r="C165" s="110">
        <v>2.5139999999999998</v>
      </c>
      <c r="D165" s="110">
        <v>9.6219999999999999</v>
      </c>
      <c r="E165" s="110">
        <v>0</v>
      </c>
      <c r="F165" s="110">
        <v>0</v>
      </c>
      <c r="G165" s="110">
        <v>0</v>
      </c>
      <c r="H165" s="110">
        <v>0</v>
      </c>
      <c r="I165" s="110">
        <v>0</v>
      </c>
      <c r="J165" s="111">
        <v>100</v>
      </c>
      <c r="K165" s="354" t="s">
        <v>578</v>
      </c>
      <c r="M165" s="415" t="s">
        <v>291</v>
      </c>
      <c r="N165" s="94"/>
      <c r="O165" s="7" t="s">
        <v>260</v>
      </c>
      <c r="P165" s="11">
        <v>100</v>
      </c>
      <c r="Q165" s="58">
        <f t="shared" si="49"/>
        <v>2.5139999999999998</v>
      </c>
      <c r="R165" s="58">
        <f t="shared" si="63"/>
        <v>9.6219999999999999</v>
      </c>
      <c r="S165" s="58">
        <f t="shared" si="64"/>
        <v>0</v>
      </c>
      <c r="T165" s="58">
        <f t="shared" si="65"/>
        <v>0</v>
      </c>
      <c r="U165" s="58">
        <f t="shared" si="66"/>
        <v>0</v>
      </c>
      <c r="V165" s="58">
        <f t="shared" si="67"/>
        <v>0</v>
      </c>
      <c r="W165" s="58">
        <f t="shared" si="68"/>
        <v>0</v>
      </c>
    </row>
    <row r="166" spans="1:23" s="7" customFormat="1">
      <c r="A166" s="94">
        <v>19</v>
      </c>
      <c r="B166" s="109" t="s">
        <v>650</v>
      </c>
      <c r="C166" s="110">
        <v>0.48768</v>
      </c>
      <c r="D166" s="110">
        <v>7.7356800000000003</v>
      </c>
      <c r="E166" s="110">
        <v>0.56159999999999999</v>
      </c>
      <c r="F166" s="110">
        <v>0.3024</v>
      </c>
      <c r="G166" s="110">
        <v>1.3728</v>
      </c>
      <c r="H166" s="110">
        <v>1.2</v>
      </c>
      <c r="I166" s="110">
        <v>1.2</v>
      </c>
      <c r="J166" s="111">
        <v>48</v>
      </c>
      <c r="K166" s="11" t="s">
        <v>579</v>
      </c>
      <c r="M166" s="415" t="s">
        <v>580</v>
      </c>
      <c r="N166" s="94"/>
      <c r="O166" s="7" t="s">
        <v>33</v>
      </c>
      <c r="P166" s="11">
        <v>48</v>
      </c>
      <c r="Q166" s="58">
        <f t="shared" si="49"/>
        <v>0.2340864</v>
      </c>
      <c r="R166" s="58">
        <f t="shared" si="63"/>
        <v>3.7131264000000002</v>
      </c>
      <c r="S166" s="58">
        <f t="shared" si="64"/>
        <v>0.26956799999999997</v>
      </c>
      <c r="T166" s="58">
        <f t="shared" si="65"/>
        <v>0.145152</v>
      </c>
      <c r="U166" s="58">
        <f t="shared" si="66"/>
        <v>0.65894399999999997</v>
      </c>
      <c r="V166" s="58">
        <f t="shared" si="67"/>
        <v>0.57599999999999996</v>
      </c>
      <c r="W166" s="58">
        <f t="shared" si="68"/>
        <v>0.57599999999999996</v>
      </c>
    </row>
    <row r="167" spans="1:23" s="7" customFormat="1">
      <c r="A167" s="94"/>
      <c r="B167" s="109" t="s">
        <v>572</v>
      </c>
      <c r="C167" s="110">
        <v>0</v>
      </c>
      <c r="D167" s="110">
        <v>3</v>
      </c>
      <c r="E167" s="110">
        <v>3.5</v>
      </c>
      <c r="F167" s="110">
        <v>4</v>
      </c>
      <c r="G167" s="110">
        <v>0.75</v>
      </c>
      <c r="H167" s="110">
        <v>0.75</v>
      </c>
      <c r="I167" s="110">
        <v>0.75</v>
      </c>
      <c r="J167" s="111">
        <v>50</v>
      </c>
      <c r="K167" s="11">
        <v>7</v>
      </c>
      <c r="M167" s="415" t="s">
        <v>581</v>
      </c>
      <c r="N167" s="94"/>
      <c r="O167" s="7" t="s">
        <v>33</v>
      </c>
      <c r="P167" s="11">
        <v>50</v>
      </c>
      <c r="Q167" s="58">
        <f t="shared" si="49"/>
        <v>0</v>
      </c>
      <c r="R167" s="58">
        <f t="shared" si="63"/>
        <v>1.5</v>
      </c>
      <c r="S167" s="58">
        <f t="shared" si="64"/>
        <v>1.75</v>
      </c>
      <c r="T167" s="58">
        <f t="shared" si="65"/>
        <v>2</v>
      </c>
      <c r="U167" s="58">
        <f t="shared" si="66"/>
        <v>0.375</v>
      </c>
      <c r="V167" s="58">
        <f t="shared" si="67"/>
        <v>0.375</v>
      </c>
      <c r="W167" s="58">
        <f t="shared" si="68"/>
        <v>0.375</v>
      </c>
    </row>
    <row r="168" spans="1:23" s="7" customFormat="1">
      <c r="A168" s="7" t="s">
        <v>292</v>
      </c>
      <c r="B168" s="7" t="s">
        <v>868</v>
      </c>
      <c r="C168" s="83">
        <v>3.4275000000000002</v>
      </c>
      <c r="D168" s="83">
        <v>16.012999999999998</v>
      </c>
      <c r="E168" s="83">
        <v>10.2485</v>
      </c>
      <c r="F168" s="83">
        <v>11.298499999999999</v>
      </c>
      <c r="G168" s="83">
        <v>7.2985000000000007</v>
      </c>
      <c r="H168" s="83">
        <v>7.2985000000000007</v>
      </c>
      <c r="I168" s="83">
        <v>7.2985000000000007</v>
      </c>
      <c r="J168" s="7">
        <v>50</v>
      </c>
      <c r="K168" s="61" t="s">
        <v>388</v>
      </c>
      <c r="L168" s="10"/>
      <c r="M168" s="404" t="s">
        <v>8</v>
      </c>
      <c r="O168" s="10" t="s">
        <v>33</v>
      </c>
      <c r="P168" s="7">
        <v>50</v>
      </c>
      <c r="Q168" s="58">
        <f t="shared" si="49"/>
        <v>1.7137500000000001</v>
      </c>
      <c r="R168" s="58">
        <f t="shared" si="63"/>
        <v>8.0064999999999991</v>
      </c>
      <c r="S168" s="58">
        <f t="shared" si="64"/>
        <v>5.12425</v>
      </c>
      <c r="T168" s="58">
        <f t="shared" si="65"/>
        <v>5.6492499999999994</v>
      </c>
      <c r="U168" s="58">
        <f t="shared" si="66"/>
        <v>3.6492500000000003</v>
      </c>
      <c r="V168" s="58">
        <f t="shared" si="67"/>
        <v>3.6492500000000003</v>
      </c>
      <c r="W168" s="58">
        <f t="shared" si="68"/>
        <v>3.6492500000000003</v>
      </c>
    </row>
    <row r="169" spans="1:23" s="7" customFormat="1">
      <c r="A169" s="7" t="s">
        <v>292</v>
      </c>
      <c r="B169" s="7" t="s">
        <v>803</v>
      </c>
      <c r="C169" s="83">
        <v>0.39800000000000002</v>
      </c>
      <c r="D169" s="83">
        <v>9.5000000000000001E-2</v>
      </c>
      <c r="E169" s="83">
        <v>0</v>
      </c>
      <c r="F169" s="83">
        <v>0</v>
      </c>
      <c r="G169" s="83">
        <v>0</v>
      </c>
      <c r="H169" s="83">
        <v>0</v>
      </c>
      <c r="I169" s="83">
        <v>0</v>
      </c>
      <c r="J169" s="7">
        <v>50</v>
      </c>
      <c r="K169" s="61" t="s">
        <v>388</v>
      </c>
      <c r="L169" s="10"/>
      <c r="M169" s="404" t="s">
        <v>8</v>
      </c>
      <c r="O169" s="10" t="s">
        <v>33</v>
      </c>
      <c r="P169" s="7">
        <v>50</v>
      </c>
      <c r="Q169" s="58">
        <f t="shared" si="49"/>
        <v>0.19900000000000001</v>
      </c>
      <c r="R169" s="58">
        <f t="shared" si="63"/>
        <v>4.7500000000000001E-2</v>
      </c>
      <c r="S169" s="58">
        <f t="shared" si="64"/>
        <v>0</v>
      </c>
      <c r="T169" s="58">
        <f t="shared" si="65"/>
        <v>0</v>
      </c>
      <c r="U169" s="58">
        <f t="shared" si="66"/>
        <v>0</v>
      </c>
      <c r="V169" s="58">
        <f t="shared" si="67"/>
        <v>0</v>
      </c>
      <c r="W169" s="58">
        <f t="shared" si="68"/>
        <v>0</v>
      </c>
    </row>
    <row r="170" spans="1:23" s="7" customFormat="1">
      <c r="B170" s="7" t="s">
        <v>651</v>
      </c>
      <c r="C170" s="83">
        <v>0.35099999999999998</v>
      </c>
      <c r="D170" s="83">
        <v>1.165</v>
      </c>
      <c r="E170" s="83">
        <v>0.158</v>
      </c>
      <c r="F170" s="83">
        <v>0</v>
      </c>
      <c r="G170" s="83">
        <v>0</v>
      </c>
      <c r="H170" s="83">
        <v>0</v>
      </c>
      <c r="I170" s="83">
        <v>0</v>
      </c>
      <c r="J170" s="7">
        <v>100</v>
      </c>
      <c r="K170" s="61">
        <v>6</v>
      </c>
      <c r="L170" s="10" t="s">
        <v>153</v>
      </c>
      <c r="M170" s="404" t="s">
        <v>8</v>
      </c>
      <c r="O170" s="10" t="s">
        <v>33</v>
      </c>
      <c r="P170" s="7">
        <v>100</v>
      </c>
      <c r="Q170" s="58">
        <f t="shared" si="49"/>
        <v>0.35099999999999998</v>
      </c>
      <c r="R170" s="58">
        <f t="shared" si="63"/>
        <v>1.165</v>
      </c>
      <c r="S170" s="58">
        <f t="shared" si="64"/>
        <v>0.158</v>
      </c>
      <c r="T170" s="58">
        <f t="shared" si="65"/>
        <v>0</v>
      </c>
      <c r="U170" s="58">
        <f t="shared" si="66"/>
        <v>0</v>
      </c>
      <c r="V170" s="58">
        <f t="shared" si="67"/>
        <v>0</v>
      </c>
      <c r="W170" s="58">
        <f t="shared" si="68"/>
        <v>0</v>
      </c>
    </row>
    <row r="171" spans="1:23" s="7" customFormat="1">
      <c r="A171" s="7" t="s">
        <v>652</v>
      </c>
      <c r="B171" s="7" t="s">
        <v>653</v>
      </c>
      <c r="C171" s="83">
        <v>0</v>
      </c>
      <c r="D171" s="83">
        <v>2</v>
      </c>
      <c r="E171" s="83">
        <v>1.4</v>
      </c>
      <c r="F171" s="83">
        <v>1.2</v>
      </c>
      <c r="G171" s="83">
        <v>0.4</v>
      </c>
      <c r="H171" s="83">
        <v>0</v>
      </c>
      <c r="I171" s="83">
        <v>0</v>
      </c>
      <c r="J171" s="7">
        <v>20</v>
      </c>
      <c r="K171" s="61" t="s">
        <v>388</v>
      </c>
      <c r="L171" s="10"/>
      <c r="M171" s="404" t="s">
        <v>8</v>
      </c>
      <c r="O171" s="10" t="s">
        <v>33</v>
      </c>
      <c r="P171" s="7">
        <v>20</v>
      </c>
      <c r="Q171" s="58">
        <f t="shared" si="49"/>
        <v>0</v>
      </c>
      <c r="R171" s="58">
        <f t="shared" si="63"/>
        <v>0.4</v>
      </c>
      <c r="S171" s="58">
        <f t="shared" si="64"/>
        <v>0.27999999999999997</v>
      </c>
      <c r="T171" s="58">
        <f t="shared" si="65"/>
        <v>0.24</v>
      </c>
      <c r="U171" s="58">
        <f t="shared" si="66"/>
        <v>8.0000000000000016E-2</v>
      </c>
      <c r="V171" s="58">
        <f t="shared" si="67"/>
        <v>0</v>
      </c>
      <c r="W171" s="58">
        <f t="shared" si="68"/>
        <v>0</v>
      </c>
    </row>
    <row r="172" spans="1:23" s="7" customFormat="1">
      <c r="A172" s="7" t="s">
        <v>654</v>
      </c>
      <c r="B172" s="7" t="s">
        <v>656</v>
      </c>
      <c r="C172" s="83">
        <v>0</v>
      </c>
      <c r="D172" s="83">
        <v>7</v>
      </c>
      <c r="E172" s="83">
        <v>5</v>
      </c>
      <c r="F172" s="83">
        <v>5</v>
      </c>
      <c r="G172" s="83">
        <v>5</v>
      </c>
      <c r="H172" s="83">
        <v>13</v>
      </c>
      <c r="I172" s="83">
        <v>0</v>
      </c>
      <c r="J172" s="7">
        <v>20</v>
      </c>
      <c r="K172" s="61" t="s">
        <v>388</v>
      </c>
      <c r="L172" s="10"/>
      <c r="M172" s="404" t="s">
        <v>8</v>
      </c>
      <c r="O172" s="10" t="s">
        <v>33</v>
      </c>
      <c r="P172" s="7">
        <v>30</v>
      </c>
      <c r="Q172" s="58">
        <f t="shared" si="49"/>
        <v>0</v>
      </c>
      <c r="R172" s="58">
        <f t="shared" si="63"/>
        <v>2.1</v>
      </c>
      <c r="S172" s="58">
        <f t="shared" si="64"/>
        <v>1.5</v>
      </c>
      <c r="T172" s="58">
        <f t="shared" si="65"/>
        <v>1.5</v>
      </c>
      <c r="U172" s="58">
        <f t="shared" si="66"/>
        <v>1.5</v>
      </c>
      <c r="V172" s="58">
        <f t="shared" si="67"/>
        <v>3.9</v>
      </c>
      <c r="W172" s="58">
        <f t="shared" si="68"/>
        <v>0</v>
      </c>
    </row>
    <row r="173" spans="1:23" s="7" customFormat="1">
      <c r="A173" s="7" t="s">
        <v>655</v>
      </c>
      <c r="B173" s="7" t="s">
        <v>657</v>
      </c>
      <c r="C173" s="83">
        <v>0</v>
      </c>
      <c r="D173" s="83">
        <v>2</v>
      </c>
      <c r="E173" s="83">
        <v>1</v>
      </c>
      <c r="F173" s="83">
        <v>1</v>
      </c>
      <c r="G173" s="83">
        <v>1</v>
      </c>
      <c r="H173" s="83">
        <v>0</v>
      </c>
      <c r="I173" s="83">
        <v>0</v>
      </c>
      <c r="J173" s="7">
        <v>10</v>
      </c>
      <c r="K173" s="61" t="s">
        <v>388</v>
      </c>
      <c r="L173" s="10"/>
      <c r="M173" s="404" t="s">
        <v>8</v>
      </c>
      <c r="O173" s="10" t="s">
        <v>33</v>
      </c>
      <c r="P173" s="7">
        <v>10</v>
      </c>
      <c r="Q173" s="58">
        <f t="shared" si="49"/>
        <v>0</v>
      </c>
      <c r="R173" s="58">
        <f t="shared" si="63"/>
        <v>0.2</v>
      </c>
      <c r="S173" s="58">
        <f t="shared" si="64"/>
        <v>0.1</v>
      </c>
      <c r="T173" s="58">
        <f t="shared" si="65"/>
        <v>0.1</v>
      </c>
      <c r="U173" s="58">
        <f t="shared" si="66"/>
        <v>0.1</v>
      </c>
      <c r="V173" s="58">
        <f t="shared" si="67"/>
        <v>0</v>
      </c>
      <c r="W173" s="58">
        <f t="shared" si="68"/>
        <v>0</v>
      </c>
    </row>
    <row r="174" spans="1:23" s="7" customFormat="1">
      <c r="B174" s="7" t="s">
        <v>869</v>
      </c>
      <c r="C174" s="83">
        <v>0.39779999999999999</v>
      </c>
      <c r="D174" s="83">
        <v>0.86780000000000002</v>
      </c>
      <c r="E174" s="83">
        <v>0.59560000000000002</v>
      </c>
      <c r="F174" s="83">
        <v>0.59560000000000002</v>
      </c>
      <c r="G174" s="83">
        <v>0.47960000000000003</v>
      </c>
      <c r="H174" s="83">
        <v>0</v>
      </c>
      <c r="I174" s="83">
        <v>0</v>
      </c>
      <c r="J174" s="7">
        <v>20</v>
      </c>
      <c r="K174" s="61" t="s">
        <v>511</v>
      </c>
      <c r="L174" s="10"/>
      <c r="M174" s="404" t="s">
        <v>512</v>
      </c>
      <c r="O174" s="10" t="s">
        <v>33</v>
      </c>
      <c r="P174" s="7">
        <v>20</v>
      </c>
      <c r="Q174" s="58">
        <f t="shared" si="49"/>
        <v>7.9560000000000006E-2</v>
      </c>
      <c r="R174" s="58">
        <f t="shared" si="63"/>
        <v>0.17356000000000002</v>
      </c>
      <c r="S174" s="58">
        <f t="shared" si="64"/>
        <v>0.11912</v>
      </c>
      <c r="T174" s="58">
        <f t="shared" si="65"/>
        <v>0.11912</v>
      </c>
      <c r="U174" s="58">
        <f t="shared" si="66"/>
        <v>9.5920000000000005E-2</v>
      </c>
      <c r="V174" s="58">
        <f t="shared" si="67"/>
        <v>0</v>
      </c>
      <c r="W174" s="58">
        <f t="shared" si="68"/>
        <v>0</v>
      </c>
    </row>
    <row r="175" spans="1:23" s="7" customFormat="1" ht="14.4">
      <c r="A175" s="68" t="s">
        <v>293</v>
      </c>
      <c r="B175" s="97" t="s">
        <v>20</v>
      </c>
      <c r="C175" s="168"/>
      <c r="D175" s="168"/>
      <c r="E175" s="168"/>
      <c r="F175" s="168"/>
      <c r="G175" s="168"/>
      <c r="H175" s="168"/>
      <c r="I175" s="168"/>
      <c r="J175" s="83"/>
      <c r="K175" s="61"/>
      <c r="L175" s="10"/>
      <c r="M175" s="404"/>
      <c r="O175" s="10"/>
      <c r="Q175" s="108"/>
      <c r="R175" s="108"/>
      <c r="S175" s="108"/>
      <c r="T175" s="108"/>
      <c r="U175" s="108"/>
      <c r="V175" s="108"/>
      <c r="W175" s="108"/>
    </row>
    <row r="176" spans="1:23" s="7" customFormat="1">
      <c r="A176" s="93"/>
      <c r="B176" s="7" t="s">
        <v>870</v>
      </c>
      <c r="C176" s="83">
        <v>13.627000000000001</v>
      </c>
      <c r="D176" s="83">
        <v>15.32</v>
      </c>
      <c r="E176" s="83">
        <v>16.083500000000001</v>
      </c>
      <c r="F176" s="83">
        <v>15.26</v>
      </c>
      <c r="G176" s="83">
        <v>13.5275</v>
      </c>
      <c r="H176" s="83">
        <v>11.86875</v>
      </c>
      <c r="I176" s="83">
        <v>11.14</v>
      </c>
      <c r="J176" s="7">
        <v>25</v>
      </c>
      <c r="K176" s="7">
        <v>5</v>
      </c>
      <c r="L176" s="7" t="s">
        <v>152</v>
      </c>
      <c r="M176" s="404" t="s">
        <v>8</v>
      </c>
      <c r="O176" s="10" t="s">
        <v>33</v>
      </c>
      <c r="P176" s="61">
        <v>25</v>
      </c>
      <c r="Q176" s="58">
        <f t="shared" si="49"/>
        <v>3.4067500000000002</v>
      </c>
      <c r="R176" s="58">
        <f t="shared" si="63"/>
        <v>3.83</v>
      </c>
      <c r="S176" s="58">
        <f t="shared" si="64"/>
        <v>4.0208750000000002</v>
      </c>
      <c r="T176" s="58">
        <f t="shared" si="65"/>
        <v>3.8149999999999999</v>
      </c>
      <c r="U176" s="58">
        <f t="shared" si="66"/>
        <v>3.381875</v>
      </c>
      <c r="V176" s="58">
        <f t="shared" si="67"/>
        <v>2.9671875000000001</v>
      </c>
      <c r="W176" s="58">
        <f t="shared" si="68"/>
        <v>2.7850000000000001</v>
      </c>
    </row>
    <row r="177" spans="1:23" s="7" customFormat="1">
      <c r="A177" s="93"/>
      <c r="B177" s="7" t="s">
        <v>871</v>
      </c>
      <c r="C177" s="83">
        <v>6.3847500000000004</v>
      </c>
      <c r="D177" s="83">
        <v>8.7850000000000001</v>
      </c>
      <c r="E177" s="83">
        <v>11.385</v>
      </c>
      <c r="F177" s="83">
        <v>10.5</v>
      </c>
      <c r="G177" s="83">
        <v>6.3849999999999998</v>
      </c>
      <c r="H177" s="83">
        <v>0</v>
      </c>
      <c r="I177" s="83">
        <v>0</v>
      </c>
      <c r="J177" s="7">
        <v>25</v>
      </c>
      <c r="K177" s="7">
        <v>5</v>
      </c>
      <c r="L177" s="7" t="s">
        <v>152</v>
      </c>
      <c r="M177" s="404" t="s">
        <v>8</v>
      </c>
      <c r="O177" s="10" t="s">
        <v>33</v>
      </c>
      <c r="P177" s="61"/>
      <c r="Q177" s="58"/>
      <c r="R177" s="58"/>
      <c r="S177" s="58"/>
      <c r="T177" s="58"/>
      <c r="U177" s="58"/>
      <c r="V177" s="58"/>
      <c r="W177" s="58"/>
    </row>
    <row r="178" spans="1:23" s="7" customFormat="1">
      <c r="A178" s="93"/>
      <c r="B178" s="7" t="s">
        <v>872</v>
      </c>
      <c r="C178" s="83">
        <v>15.943</v>
      </c>
      <c r="D178" s="83">
        <v>28.541</v>
      </c>
      <c r="E178" s="83">
        <v>27.956</v>
      </c>
      <c r="F178" s="83">
        <v>17.402999999999999</v>
      </c>
      <c r="G178" s="83">
        <v>13.621</v>
      </c>
      <c r="H178" s="83">
        <v>9.609</v>
      </c>
      <c r="I178" s="83">
        <v>9.9469999999999992</v>
      </c>
      <c r="J178" s="7">
        <v>30</v>
      </c>
      <c r="K178" s="7">
        <v>5</v>
      </c>
      <c r="L178" s="7" t="s">
        <v>152</v>
      </c>
      <c r="M178" s="404" t="s">
        <v>8</v>
      </c>
      <c r="O178" s="10" t="s">
        <v>33</v>
      </c>
      <c r="P178" s="61">
        <v>30</v>
      </c>
      <c r="Q178" s="58">
        <f t="shared" si="49"/>
        <v>4.7828999999999997</v>
      </c>
      <c r="R178" s="58">
        <f t="shared" ref="R178:R179" si="69">+$P178/100*D178</f>
        <v>8.5623000000000005</v>
      </c>
      <c r="S178" s="58">
        <f t="shared" ref="S178:S179" si="70">+$P178/100*E178</f>
        <v>8.3867999999999991</v>
      </c>
      <c r="T178" s="58">
        <f t="shared" ref="T178:T179" si="71">+$P178/100*F178</f>
        <v>5.2208999999999994</v>
      </c>
      <c r="U178" s="58">
        <f t="shared" ref="U178:U179" si="72">+$P178/100*G178</f>
        <v>4.0862999999999996</v>
      </c>
      <c r="V178" s="58">
        <f t="shared" ref="V178:V179" si="73">+$P178/100*H178</f>
        <v>2.8826999999999998</v>
      </c>
      <c r="W178" s="58">
        <f t="shared" ref="W178:W179" si="74">+$P178/100*I178</f>
        <v>2.9840999999999998</v>
      </c>
    </row>
    <row r="179" spans="1:23" s="7" customFormat="1">
      <c r="A179" s="93"/>
      <c r="B179" s="7" t="s">
        <v>873</v>
      </c>
      <c r="C179" s="83">
        <v>1.4670000000000001</v>
      </c>
      <c r="D179" s="83">
        <v>0.74299999999999999</v>
      </c>
      <c r="E179" s="83">
        <v>1.589</v>
      </c>
      <c r="F179" s="83">
        <v>0.50900000000000001</v>
      </c>
      <c r="G179" s="83">
        <v>0.50900000000000001</v>
      </c>
      <c r="H179" s="83">
        <v>0.50900000000000001</v>
      </c>
      <c r="I179" s="83">
        <v>0.50900000000000001</v>
      </c>
      <c r="J179" s="7">
        <v>30</v>
      </c>
      <c r="K179" s="7">
        <v>5</v>
      </c>
      <c r="L179" s="7" t="s">
        <v>152</v>
      </c>
      <c r="M179" s="404" t="s">
        <v>8</v>
      </c>
      <c r="O179" s="10" t="s">
        <v>33</v>
      </c>
      <c r="P179" s="61">
        <v>30</v>
      </c>
      <c r="Q179" s="58">
        <f t="shared" si="49"/>
        <v>0.44009999999999999</v>
      </c>
      <c r="R179" s="58">
        <f t="shared" si="69"/>
        <v>0.22289999999999999</v>
      </c>
      <c r="S179" s="58">
        <f t="shared" si="70"/>
        <v>0.47669999999999996</v>
      </c>
      <c r="T179" s="58">
        <f t="shared" si="71"/>
        <v>0.1527</v>
      </c>
      <c r="U179" s="58">
        <f t="shared" si="72"/>
        <v>0.1527</v>
      </c>
      <c r="V179" s="58">
        <f t="shared" si="73"/>
        <v>0.1527</v>
      </c>
      <c r="W179" s="58">
        <f t="shared" si="74"/>
        <v>0.1527</v>
      </c>
    </row>
    <row r="180" spans="1:23" s="7" customFormat="1">
      <c r="A180" s="93" t="s">
        <v>294</v>
      </c>
      <c r="B180" s="7" t="s">
        <v>874</v>
      </c>
      <c r="C180" s="83">
        <v>0.45850000000000002</v>
      </c>
      <c r="D180" s="83">
        <v>0.54674999999999996</v>
      </c>
      <c r="E180" s="83">
        <v>0.59199999999999997</v>
      </c>
      <c r="F180" s="83">
        <v>0.59199999999999997</v>
      </c>
      <c r="G180" s="83">
        <v>0.59199999999999997</v>
      </c>
      <c r="H180" s="83">
        <v>0.59199999999999997</v>
      </c>
      <c r="I180" s="83">
        <v>0.59199999999999997</v>
      </c>
      <c r="J180" s="7">
        <v>25</v>
      </c>
      <c r="K180" s="7">
        <v>5</v>
      </c>
      <c r="L180" s="7" t="s">
        <v>875</v>
      </c>
      <c r="M180" s="404" t="s">
        <v>8</v>
      </c>
      <c r="O180" s="10" t="s">
        <v>33</v>
      </c>
      <c r="P180" s="61">
        <v>24</v>
      </c>
      <c r="Q180" s="58">
        <f>+$P180/100*C180</f>
        <v>0.11004</v>
      </c>
      <c r="R180" s="58">
        <f t="shared" si="63"/>
        <v>0.13121999999999998</v>
      </c>
      <c r="S180" s="58">
        <f t="shared" si="64"/>
        <v>0.14207999999999998</v>
      </c>
      <c r="T180" s="58">
        <f t="shared" si="65"/>
        <v>0.14207999999999998</v>
      </c>
      <c r="U180" s="58">
        <f t="shared" si="66"/>
        <v>0.14207999999999998</v>
      </c>
      <c r="V180" s="58">
        <f t="shared" si="67"/>
        <v>0.14207999999999998</v>
      </c>
      <c r="W180" s="58">
        <f t="shared" si="68"/>
        <v>0.14207999999999998</v>
      </c>
    </row>
    <row r="181" spans="1:23" s="7" customFormat="1">
      <c r="A181" s="93" t="s">
        <v>294</v>
      </c>
      <c r="B181" s="7" t="s">
        <v>751</v>
      </c>
      <c r="C181" s="83">
        <v>0</v>
      </c>
      <c r="D181" s="83">
        <v>0</v>
      </c>
      <c r="E181" s="83">
        <v>0</v>
      </c>
      <c r="F181" s="83">
        <v>0</v>
      </c>
      <c r="G181" s="83">
        <v>0</v>
      </c>
      <c r="H181" s="83">
        <v>0</v>
      </c>
      <c r="I181" s="83">
        <v>0</v>
      </c>
      <c r="J181" s="7">
        <v>25</v>
      </c>
      <c r="K181" s="7">
        <v>5</v>
      </c>
      <c r="L181" s="7" t="s">
        <v>152</v>
      </c>
      <c r="M181" s="404" t="s">
        <v>8</v>
      </c>
      <c r="O181" s="10" t="s">
        <v>33</v>
      </c>
      <c r="P181" s="61">
        <v>25</v>
      </c>
      <c r="Q181" s="58">
        <f t="shared" si="49"/>
        <v>0</v>
      </c>
      <c r="R181" s="58">
        <f t="shared" si="63"/>
        <v>0</v>
      </c>
      <c r="S181" s="58">
        <f t="shared" si="64"/>
        <v>0</v>
      </c>
      <c r="T181" s="58">
        <f t="shared" si="65"/>
        <v>0</v>
      </c>
      <c r="U181" s="58">
        <f t="shared" si="66"/>
        <v>0</v>
      </c>
      <c r="V181" s="58">
        <f t="shared" si="67"/>
        <v>0</v>
      </c>
      <c r="W181" s="58">
        <f t="shared" si="68"/>
        <v>0</v>
      </c>
    </row>
    <row r="182" spans="1:23" s="7" customFormat="1">
      <c r="A182" s="93" t="s">
        <v>294</v>
      </c>
      <c r="B182" s="7" t="s">
        <v>21</v>
      </c>
      <c r="C182" s="83">
        <v>3.927</v>
      </c>
      <c r="D182" s="83">
        <v>2.78</v>
      </c>
      <c r="E182" s="83">
        <v>4.58</v>
      </c>
      <c r="F182" s="83">
        <v>6.38</v>
      </c>
      <c r="G182" s="83">
        <v>5.38</v>
      </c>
      <c r="H182" s="83">
        <v>5.38</v>
      </c>
      <c r="I182" s="83">
        <v>5.38</v>
      </c>
      <c r="J182" s="7">
        <v>100</v>
      </c>
      <c r="K182" s="7">
        <v>5</v>
      </c>
      <c r="L182" s="7" t="s">
        <v>152</v>
      </c>
      <c r="M182" s="404" t="s">
        <v>660</v>
      </c>
      <c r="O182" s="10" t="s">
        <v>33</v>
      </c>
      <c r="P182" s="61">
        <v>50</v>
      </c>
      <c r="Q182" s="58">
        <f t="shared" si="49"/>
        <v>1.9635</v>
      </c>
      <c r="R182" s="58">
        <f t="shared" si="63"/>
        <v>1.39</v>
      </c>
      <c r="S182" s="58">
        <f t="shared" si="64"/>
        <v>2.29</v>
      </c>
      <c r="T182" s="58">
        <f t="shared" si="65"/>
        <v>3.19</v>
      </c>
      <c r="U182" s="58">
        <f t="shared" si="66"/>
        <v>2.69</v>
      </c>
      <c r="V182" s="58">
        <f t="shared" si="67"/>
        <v>2.69</v>
      </c>
      <c r="W182" s="58">
        <f t="shared" si="68"/>
        <v>2.69</v>
      </c>
    </row>
    <row r="183" spans="1:23" s="7" customFormat="1">
      <c r="A183" s="93" t="s">
        <v>294</v>
      </c>
      <c r="B183" s="7" t="s">
        <v>241</v>
      </c>
      <c r="C183" s="83">
        <v>6.4009999999999998</v>
      </c>
      <c r="D183" s="83">
        <v>6.4009999999999998</v>
      </c>
      <c r="E183" s="83">
        <v>6.4009999999999998</v>
      </c>
      <c r="F183" s="83">
        <v>5.4009999999999998</v>
      </c>
      <c r="G183" s="83">
        <v>5.4009999999999998</v>
      </c>
      <c r="H183" s="83">
        <v>5.4009999999999998</v>
      </c>
      <c r="I183" s="83">
        <v>5.4009999999999998</v>
      </c>
      <c r="J183" s="7">
        <v>100</v>
      </c>
      <c r="K183" s="7">
        <v>5</v>
      </c>
      <c r="L183" s="7" t="s">
        <v>152</v>
      </c>
      <c r="M183" s="404" t="s">
        <v>22</v>
      </c>
      <c r="O183" s="7" t="s">
        <v>32</v>
      </c>
      <c r="P183" s="61">
        <v>25</v>
      </c>
      <c r="Q183" s="58">
        <f t="shared" si="49"/>
        <v>1.60025</v>
      </c>
      <c r="R183" s="58">
        <f t="shared" si="63"/>
        <v>1.60025</v>
      </c>
      <c r="S183" s="58">
        <f t="shared" si="64"/>
        <v>1.60025</v>
      </c>
      <c r="T183" s="58">
        <f t="shared" si="65"/>
        <v>1.35025</v>
      </c>
      <c r="U183" s="58">
        <f t="shared" si="66"/>
        <v>1.35025</v>
      </c>
      <c r="V183" s="58">
        <f t="shared" si="67"/>
        <v>1.35025</v>
      </c>
      <c r="W183" s="58">
        <f t="shared" si="68"/>
        <v>1.35025</v>
      </c>
    </row>
    <row r="184" spans="1:23" s="7" customFormat="1">
      <c r="A184" s="93" t="s">
        <v>295</v>
      </c>
      <c r="B184" s="7" t="s">
        <v>661</v>
      </c>
      <c r="C184" s="83">
        <v>3.556</v>
      </c>
      <c r="D184" s="83">
        <v>4.641</v>
      </c>
      <c r="E184" s="83">
        <v>5.71</v>
      </c>
      <c r="F184" s="83">
        <v>3.71</v>
      </c>
      <c r="G184" s="83">
        <v>3.71</v>
      </c>
      <c r="H184" s="83">
        <v>3.71</v>
      </c>
      <c r="I184" s="83">
        <v>3.71</v>
      </c>
      <c r="J184" s="7">
        <v>100</v>
      </c>
      <c r="K184" s="7">
        <v>5</v>
      </c>
      <c r="L184" s="7" t="s">
        <v>152</v>
      </c>
      <c r="M184" s="415" t="s">
        <v>33</v>
      </c>
      <c r="N184" s="10"/>
      <c r="O184" s="7" t="s">
        <v>33</v>
      </c>
      <c r="P184" s="61">
        <v>0</v>
      </c>
      <c r="Q184" s="58">
        <f t="shared" si="49"/>
        <v>0</v>
      </c>
      <c r="R184" s="58">
        <f t="shared" si="63"/>
        <v>0</v>
      </c>
      <c r="S184" s="58">
        <f t="shared" si="64"/>
        <v>0</v>
      </c>
      <c r="T184" s="58">
        <f t="shared" si="65"/>
        <v>0</v>
      </c>
      <c r="U184" s="58">
        <f t="shared" si="66"/>
        <v>0</v>
      </c>
      <c r="V184" s="58">
        <f t="shared" si="67"/>
        <v>0</v>
      </c>
      <c r="W184" s="58">
        <f t="shared" si="68"/>
        <v>0</v>
      </c>
    </row>
    <row r="185" spans="1:23" s="7" customFormat="1">
      <c r="A185" s="93" t="s">
        <v>296</v>
      </c>
      <c r="B185" s="7" t="s">
        <v>876</v>
      </c>
      <c r="C185" s="83">
        <v>7.3959999999999999</v>
      </c>
      <c r="D185" s="83">
        <v>7.6680000000000001</v>
      </c>
      <c r="E185" s="83">
        <v>7.6790000000000003</v>
      </c>
      <c r="F185" s="83">
        <v>7.6790000000000003</v>
      </c>
      <c r="G185" s="83">
        <v>9.1639999999999997</v>
      </c>
      <c r="H185" s="83">
        <v>9.1639999999999997</v>
      </c>
      <c r="I185" s="83">
        <v>9.1639999999999997</v>
      </c>
      <c r="J185" s="7">
        <v>100</v>
      </c>
      <c r="K185" s="7">
        <v>5</v>
      </c>
      <c r="L185" s="7" t="s">
        <v>152</v>
      </c>
      <c r="M185" s="404" t="s">
        <v>24</v>
      </c>
      <c r="O185" s="7" t="s">
        <v>32</v>
      </c>
      <c r="P185" s="61">
        <v>100</v>
      </c>
      <c r="Q185" s="58">
        <f t="shared" si="49"/>
        <v>7.3959999999999999</v>
      </c>
      <c r="R185" s="58">
        <f t="shared" si="63"/>
        <v>7.6680000000000001</v>
      </c>
      <c r="S185" s="58">
        <f t="shared" si="64"/>
        <v>7.6790000000000003</v>
      </c>
      <c r="T185" s="58">
        <f t="shared" si="65"/>
        <v>7.6790000000000003</v>
      </c>
      <c r="U185" s="58">
        <f t="shared" si="66"/>
        <v>9.1639999999999997</v>
      </c>
      <c r="V185" s="58">
        <f t="shared" si="67"/>
        <v>9.1639999999999997</v>
      </c>
      <c r="W185" s="58">
        <f t="shared" si="68"/>
        <v>9.1639999999999997</v>
      </c>
    </row>
    <row r="186" spans="1:23" s="7" customFormat="1">
      <c r="A186" s="93" t="s">
        <v>295</v>
      </c>
      <c r="B186" s="7" t="s">
        <v>627</v>
      </c>
      <c r="C186" s="83">
        <v>1.6419999999999999</v>
      </c>
      <c r="D186" s="83">
        <v>2.9159999999999999</v>
      </c>
      <c r="E186" s="83">
        <v>4.0359999999999996</v>
      </c>
      <c r="F186" s="83">
        <v>4.0369999999999999</v>
      </c>
      <c r="G186" s="83">
        <v>4.1120000000000001</v>
      </c>
      <c r="H186" s="83">
        <v>2.097</v>
      </c>
      <c r="I186" s="83">
        <v>2.1219999999999999</v>
      </c>
      <c r="J186" s="7">
        <v>100</v>
      </c>
      <c r="K186" s="7">
        <v>5</v>
      </c>
      <c r="L186" s="7" t="s">
        <v>152</v>
      </c>
      <c r="M186" s="415" t="s">
        <v>33</v>
      </c>
      <c r="N186" s="10"/>
      <c r="O186" s="7" t="s">
        <v>33</v>
      </c>
      <c r="P186" s="61">
        <v>0</v>
      </c>
      <c r="Q186" s="58">
        <f t="shared" si="49"/>
        <v>0</v>
      </c>
      <c r="R186" s="58">
        <f t="shared" si="63"/>
        <v>0</v>
      </c>
      <c r="S186" s="58">
        <f t="shared" si="64"/>
        <v>0</v>
      </c>
      <c r="T186" s="58">
        <f t="shared" si="65"/>
        <v>0</v>
      </c>
      <c r="U186" s="58">
        <f t="shared" si="66"/>
        <v>0</v>
      </c>
      <c r="V186" s="58">
        <f t="shared" si="67"/>
        <v>0</v>
      </c>
      <c r="W186" s="58">
        <f t="shared" si="68"/>
        <v>0</v>
      </c>
    </row>
    <row r="187" spans="1:23" s="7" customFormat="1">
      <c r="A187" s="93" t="s">
        <v>297</v>
      </c>
      <c r="B187" s="7" t="s">
        <v>877</v>
      </c>
      <c r="C187" s="83">
        <v>34.688000000000002</v>
      </c>
      <c r="D187" s="83">
        <v>34.278999999999996</v>
      </c>
      <c r="E187" s="83">
        <v>33.601999999999997</v>
      </c>
      <c r="F187" s="83">
        <v>33.515999999999998</v>
      </c>
      <c r="G187" s="83">
        <v>33.515999999999998</v>
      </c>
      <c r="H187" s="83">
        <v>32.93</v>
      </c>
      <c r="I187" s="83">
        <v>32.899000000000001</v>
      </c>
      <c r="J187" s="7">
        <v>100</v>
      </c>
      <c r="K187" s="7">
        <v>5</v>
      </c>
      <c r="L187" s="7" t="s">
        <v>152</v>
      </c>
      <c r="M187" s="404" t="s">
        <v>13</v>
      </c>
      <c r="O187" s="7" t="s">
        <v>32</v>
      </c>
      <c r="P187" s="61">
        <v>50</v>
      </c>
      <c r="Q187" s="58">
        <f t="shared" ref="Q187" si="75">+$P187/100*C187</f>
        <v>17.344000000000001</v>
      </c>
      <c r="R187" s="58">
        <f t="shared" ref="R187" si="76">+$P187/100*D187</f>
        <v>17.139499999999998</v>
      </c>
      <c r="S187" s="58">
        <f t="shared" ref="S187" si="77">+$P187/100*E187</f>
        <v>16.800999999999998</v>
      </c>
      <c r="T187" s="58">
        <f t="shared" ref="T187" si="78">+$P187/100*F187</f>
        <v>16.757999999999999</v>
      </c>
      <c r="U187" s="58">
        <f t="shared" ref="U187" si="79">+$P187/100*G187</f>
        <v>16.757999999999999</v>
      </c>
      <c r="V187" s="58">
        <f t="shared" ref="V187" si="80">+$P187/100*H187</f>
        <v>16.465</v>
      </c>
      <c r="W187" s="58">
        <f t="shared" ref="W187" si="81">+$P187/100*I187</f>
        <v>16.4495</v>
      </c>
    </row>
    <row r="188" spans="1:23" s="7" customFormat="1">
      <c r="A188" s="93" t="s">
        <v>365</v>
      </c>
      <c r="B188" s="7" t="s">
        <v>878</v>
      </c>
      <c r="C188" s="83">
        <v>1.0720000000000001</v>
      </c>
      <c r="D188" s="83">
        <v>1.7909999999999999</v>
      </c>
      <c r="E188" s="83">
        <v>1.7909999999999999</v>
      </c>
      <c r="F188" s="83">
        <v>1.95</v>
      </c>
      <c r="G188" s="83">
        <v>1.95</v>
      </c>
      <c r="H188" s="83">
        <v>1.95</v>
      </c>
      <c r="I188" s="83">
        <v>1.95</v>
      </c>
      <c r="J188" s="7">
        <v>100</v>
      </c>
      <c r="K188" s="7">
        <v>5</v>
      </c>
      <c r="L188" s="7" t="s">
        <v>152</v>
      </c>
      <c r="M188" s="404" t="s">
        <v>13</v>
      </c>
      <c r="O188" s="7" t="s">
        <v>32</v>
      </c>
      <c r="P188" s="61">
        <v>50</v>
      </c>
      <c r="Q188" s="58">
        <f t="shared" si="49"/>
        <v>0.53600000000000003</v>
      </c>
      <c r="R188" s="58">
        <f t="shared" si="63"/>
        <v>0.89549999999999996</v>
      </c>
      <c r="S188" s="58">
        <f t="shared" si="64"/>
        <v>0.89549999999999996</v>
      </c>
      <c r="T188" s="58">
        <f t="shared" si="65"/>
        <v>0.97499999999999998</v>
      </c>
      <c r="U188" s="58">
        <f t="shared" si="66"/>
        <v>0.97499999999999998</v>
      </c>
      <c r="V188" s="58">
        <f t="shared" si="67"/>
        <v>0.97499999999999998</v>
      </c>
      <c r="W188" s="58">
        <f t="shared" si="68"/>
        <v>0.97499999999999998</v>
      </c>
    </row>
    <row r="189" spans="1:23" s="7" customFormat="1">
      <c r="A189" s="93"/>
      <c r="B189" s="7" t="s">
        <v>582</v>
      </c>
      <c r="C189" s="83">
        <v>0</v>
      </c>
      <c r="D189" s="83">
        <v>0</v>
      </c>
      <c r="E189" s="83">
        <v>0</v>
      </c>
      <c r="F189" s="83">
        <v>0</v>
      </c>
      <c r="G189" s="83">
        <v>0</v>
      </c>
      <c r="H189" s="83">
        <v>0</v>
      </c>
      <c r="I189" s="83">
        <v>0</v>
      </c>
      <c r="J189" s="7">
        <v>100</v>
      </c>
      <c r="K189" s="7">
        <v>5</v>
      </c>
      <c r="L189" s="7" t="s">
        <v>152</v>
      </c>
      <c r="M189" s="404" t="s">
        <v>7</v>
      </c>
      <c r="O189" s="7" t="s">
        <v>33</v>
      </c>
      <c r="P189" s="61">
        <v>100</v>
      </c>
      <c r="Q189" s="58">
        <f t="shared" si="49"/>
        <v>0</v>
      </c>
      <c r="R189" s="58">
        <f t="shared" si="63"/>
        <v>0</v>
      </c>
      <c r="S189" s="58">
        <f t="shared" si="64"/>
        <v>0</v>
      </c>
      <c r="T189" s="58">
        <f t="shared" si="65"/>
        <v>0</v>
      </c>
      <c r="U189" s="58">
        <f t="shared" si="66"/>
        <v>0</v>
      </c>
      <c r="V189" s="58">
        <f t="shared" si="67"/>
        <v>0</v>
      </c>
      <c r="W189" s="58">
        <f t="shared" si="68"/>
        <v>0</v>
      </c>
    </row>
    <row r="190" spans="1:23" s="7" customFormat="1">
      <c r="A190" s="93"/>
      <c r="B190" s="7" t="s">
        <v>879</v>
      </c>
      <c r="C190" s="83">
        <v>0</v>
      </c>
      <c r="D190" s="83">
        <v>0</v>
      </c>
      <c r="E190" s="83">
        <v>11.25</v>
      </c>
      <c r="F190" s="83">
        <v>11.25</v>
      </c>
      <c r="G190" s="83">
        <v>7.5</v>
      </c>
      <c r="H190" s="83">
        <v>0</v>
      </c>
      <c r="I190" s="83">
        <v>0</v>
      </c>
      <c r="J190" s="7">
        <v>15</v>
      </c>
      <c r="K190" s="7">
        <v>5</v>
      </c>
      <c r="L190" s="7" t="s">
        <v>152</v>
      </c>
      <c r="M190" s="404" t="s">
        <v>804</v>
      </c>
      <c r="O190" s="7" t="s">
        <v>33</v>
      </c>
      <c r="P190" s="61">
        <v>100</v>
      </c>
      <c r="Q190" s="58">
        <f t="shared" si="49"/>
        <v>0</v>
      </c>
      <c r="R190" s="58">
        <f t="shared" si="63"/>
        <v>0</v>
      </c>
      <c r="S190" s="58">
        <f t="shared" si="64"/>
        <v>11.25</v>
      </c>
      <c r="T190" s="58">
        <f t="shared" si="65"/>
        <v>11.25</v>
      </c>
      <c r="U190" s="58">
        <f t="shared" si="66"/>
        <v>7.5</v>
      </c>
      <c r="V190" s="58">
        <f t="shared" si="67"/>
        <v>0</v>
      </c>
      <c r="W190" s="58">
        <f t="shared" si="68"/>
        <v>0</v>
      </c>
    </row>
    <row r="191" spans="1:23" s="7" customFormat="1">
      <c r="A191" s="93"/>
      <c r="B191" s="7" t="s">
        <v>805</v>
      </c>
      <c r="C191" s="83">
        <v>0</v>
      </c>
      <c r="D191" s="83">
        <v>1.5</v>
      </c>
      <c r="E191" s="83">
        <v>80</v>
      </c>
      <c r="F191" s="83">
        <v>152.5</v>
      </c>
      <c r="G191" s="83">
        <v>313.5</v>
      </c>
      <c r="H191" s="83">
        <v>197.5</v>
      </c>
      <c r="I191" s="83">
        <v>60</v>
      </c>
      <c r="J191" s="7">
        <v>50</v>
      </c>
      <c r="K191" s="7">
        <v>5</v>
      </c>
      <c r="L191" s="7" t="s">
        <v>152</v>
      </c>
      <c r="M191" s="404" t="s">
        <v>797</v>
      </c>
      <c r="O191" s="7" t="s">
        <v>33</v>
      </c>
      <c r="P191" s="61">
        <v>100</v>
      </c>
      <c r="Q191" s="58">
        <f t="shared" si="49"/>
        <v>0</v>
      </c>
      <c r="R191" s="58">
        <f t="shared" si="63"/>
        <v>1.5</v>
      </c>
      <c r="S191" s="58">
        <f t="shared" si="64"/>
        <v>80</v>
      </c>
      <c r="T191" s="58">
        <f t="shared" si="65"/>
        <v>152.5</v>
      </c>
      <c r="U191" s="58">
        <f t="shared" si="66"/>
        <v>313.5</v>
      </c>
      <c r="V191" s="58">
        <f t="shared" si="67"/>
        <v>197.5</v>
      </c>
      <c r="W191" s="58">
        <f t="shared" si="68"/>
        <v>60</v>
      </c>
    </row>
    <row r="192" spans="1:23" s="7" customFormat="1">
      <c r="A192" s="93"/>
      <c r="B192" s="7" t="s">
        <v>806</v>
      </c>
      <c r="C192" s="83">
        <v>0</v>
      </c>
      <c r="D192" s="83">
        <v>6.3014000000000001</v>
      </c>
      <c r="E192" s="83">
        <v>8.4979999999999993</v>
      </c>
      <c r="F192" s="83">
        <v>8.5890000000000004</v>
      </c>
      <c r="G192" s="83">
        <v>8.6519999999999992</v>
      </c>
      <c r="H192" s="83">
        <v>0</v>
      </c>
      <c r="I192" s="83">
        <v>0</v>
      </c>
      <c r="J192" s="7">
        <v>70</v>
      </c>
      <c r="K192" s="7" t="s">
        <v>807</v>
      </c>
      <c r="M192" s="404" t="s">
        <v>8</v>
      </c>
      <c r="O192" s="7" t="s">
        <v>33</v>
      </c>
      <c r="P192" s="61">
        <v>0</v>
      </c>
      <c r="Q192" s="58">
        <f t="shared" si="49"/>
        <v>0</v>
      </c>
      <c r="R192" s="58">
        <f t="shared" si="63"/>
        <v>0</v>
      </c>
      <c r="S192" s="58">
        <f t="shared" si="64"/>
        <v>0</v>
      </c>
      <c r="T192" s="58">
        <f t="shared" si="65"/>
        <v>0</v>
      </c>
      <c r="U192" s="58">
        <f t="shared" si="66"/>
        <v>0</v>
      </c>
      <c r="V192" s="58">
        <f t="shared" si="67"/>
        <v>0</v>
      </c>
      <c r="W192" s="58">
        <f t="shared" si="68"/>
        <v>0</v>
      </c>
    </row>
    <row r="193" spans="1:25" s="7" customFormat="1" ht="14.4">
      <c r="B193" s="68" t="s">
        <v>400</v>
      </c>
      <c r="C193" s="97">
        <f t="shared" ref="C193:I193" si="82">SUM(C118:C192)</f>
        <v>865.25767999999982</v>
      </c>
      <c r="D193" s="97">
        <f t="shared" si="82"/>
        <v>1233.1829949999999</v>
      </c>
      <c r="E193" s="97">
        <f t="shared" si="82"/>
        <v>1613.3165250000002</v>
      </c>
      <c r="F193" s="97">
        <f t="shared" si="82"/>
        <v>1514.2012550000009</v>
      </c>
      <c r="G193" s="97">
        <f t="shared" si="82"/>
        <v>1551.330235000001</v>
      </c>
      <c r="H193" s="97">
        <f t="shared" si="82"/>
        <v>1251.3448000000001</v>
      </c>
      <c r="I193" s="97">
        <f t="shared" si="82"/>
        <v>1102.2818249999998</v>
      </c>
      <c r="M193" s="404"/>
      <c r="P193" s="61"/>
      <c r="Q193" s="97">
        <f t="shared" ref="Q193:W193" si="83">SUM(Q118:Q192)</f>
        <v>712.89379889999987</v>
      </c>
      <c r="R193" s="97">
        <f t="shared" si="83"/>
        <v>938.84612140000002</v>
      </c>
      <c r="S193" s="97">
        <f t="shared" si="83"/>
        <v>1274.1292129999997</v>
      </c>
      <c r="T193" s="97">
        <f t="shared" si="83"/>
        <v>1214.3029895000002</v>
      </c>
      <c r="U193" s="97">
        <f t="shared" si="83"/>
        <v>1346.8327865000001</v>
      </c>
      <c r="V193" s="97">
        <f t="shared" si="83"/>
        <v>1094.1411800000001</v>
      </c>
      <c r="W193" s="97">
        <f t="shared" si="83"/>
        <v>957.12009250000017</v>
      </c>
    </row>
    <row r="194" spans="1:25">
      <c r="C194" s="53"/>
      <c r="D194" s="53"/>
      <c r="E194" s="53"/>
      <c r="F194" s="53"/>
      <c r="G194" s="53"/>
      <c r="H194" s="53"/>
      <c r="I194" s="53"/>
    </row>
    <row r="195" spans="1:25" s="2" customFormat="1" ht="14.4">
      <c r="A195" s="16"/>
      <c r="B195" s="15" t="s">
        <v>471</v>
      </c>
      <c r="C195" s="16"/>
      <c r="D195" s="16"/>
      <c r="E195" s="16"/>
      <c r="F195" s="16"/>
      <c r="G195" s="16"/>
      <c r="H195" s="16"/>
      <c r="I195" s="16"/>
      <c r="J195" s="16"/>
      <c r="K195" s="16"/>
      <c r="L195" s="17"/>
      <c r="M195" s="414"/>
      <c r="N195" s="16"/>
      <c r="O195" s="16"/>
      <c r="P195" s="15" t="s">
        <v>471</v>
      </c>
      <c r="Q195" s="184"/>
      <c r="R195" s="184"/>
      <c r="S195" s="184"/>
      <c r="T195" s="184"/>
      <c r="U195" s="184"/>
      <c r="V195" s="184"/>
      <c r="W195" s="184"/>
    </row>
    <row r="196" spans="1:25" s="68" customFormat="1" ht="14.4">
      <c r="A196" s="68" t="s">
        <v>299</v>
      </c>
      <c r="B196" s="97" t="s">
        <v>25</v>
      </c>
      <c r="C196" s="98"/>
      <c r="D196" s="98"/>
      <c r="E196" s="98"/>
      <c r="F196" s="98"/>
      <c r="G196" s="98"/>
      <c r="H196" s="98"/>
      <c r="I196" s="98"/>
      <c r="L196" s="20"/>
      <c r="M196" s="408"/>
      <c r="P196" s="99"/>
    </row>
    <row r="197" spans="1:25" s="7" customFormat="1">
      <c r="A197" s="94" t="s">
        <v>300</v>
      </c>
      <c r="B197" s="10" t="s">
        <v>370</v>
      </c>
      <c r="C197" s="55">
        <v>12.922000000000001</v>
      </c>
      <c r="D197" s="55">
        <v>9.7170000000000005</v>
      </c>
      <c r="E197" s="55">
        <v>31.236999999999998</v>
      </c>
      <c r="F197" s="55">
        <v>28.59</v>
      </c>
      <c r="G197" s="55">
        <v>19.831</v>
      </c>
      <c r="H197" s="55">
        <v>15.298</v>
      </c>
      <c r="I197" s="161">
        <v>11.476000000000001</v>
      </c>
      <c r="J197" s="10">
        <v>100</v>
      </c>
      <c r="K197" s="11">
        <v>6</v>
      </c>
      <c r="L197" s="10" t="s">
        <v>153</v>
      </c>
      <c r="M197" s="415" t="s">
        <v>4</v>
      </c>
      <c r="N197" s="10"/>
      <c r="O197" s="10" t="s">
        <v>33</v>
      </c>
      <c r="P197" s="61">
        <v>100</v>
      </c>
      <c r="Q197" s="58">
        <f t="shared" ref="Q197" si="84">+$P197/100*C197</f>
        <v>12.922000000000001</v>
      </c>
      <c r="R197" s="58">
        <f t="shared" ref="R197:R199" si="85">+$P197/100*D197</f>
        <v>9.7170000000000005</v>
      </c>
      <c r="S197" s="58">
        <f t="shared" ref="S197:S199" si="86">+$P197/100*E197</f>
        <v>31.236999999999998</v>
      </c>
      <c r="T197" s="58">
        <f t="shared" ref="T197:T199" si="87">+$P197/100*F197</f>
        <v>28.59</v>
      </c>
      <c r="U197" s="58">
        <f t="shared" ref="U197:U199" si="88">+$P197/100*G197</f>
        <v>19.831</v>
      </c>
      <c r="V197" s="58">
        <f t="shared" ref="V197:W201" si="89">+$P197/100*H197</f>
        <v>15.298</v>
      </c>
      <c r="W197" s="58">
        <f t="shared" si="89"/>
        <v>11.476000000000001</v>
      </c>
      <c r="Y197" s="363"/>
    </row>
    <row r="198" spans="1:25" s="7" customFormat="1">
      <c r="A198" s="94" t="s">
        <v>300</v>
      </c>
      <c r="B198" s="10" t="s">
        <v>483</v>
      </c>
      <c r="C198" s="55">
        <v>0.63200000000000001</v>
      </c>
      <c r="D198" s="55">
        <v>1.002</v>
      </c>
      <c r="E198" s="55">
        <v>1.0720000000000001</v>
      </c>
      <c r="F198" s="55">
        <v>1.262</v>
      </c>
      <c r="G198" s="55">
        <v>1.3620000000000001</v>
      </c>
      <c r="H198" s="55">
        <v>1.3620000000000001</v>
      </c>
      <c r="I198" s="161">
        <v>1.3620000000000001</v>
      </c>
      <c r="J198" s="10">
        <v>100</v>
      </c>
      <c r="K198" s="10">
        <v>6</v>
      </c>
      <c r="L198" s="10" t="s">
        <v>153</v>
      </c>
      <c r="M198" s="415" t="s">
        <v>4</v>
      </c>
      <c r="N198" s="10"/>
      <c r="O198" s="10" t="s">
        <v>33</v>
      </c>
      <c r="P198" s="61">
        <v>100</v>
      </c>
      <c r="Q198" s="58">
        <f t="shared" ref="Q198:Q206" si="90">+$P198/100*C198</f>
        <v>0.63200000000000001</v>
      </c>
      <c r="R198" s="58">
        <f t="shared" si="85"/>
        <v>1.002</v>
      </c>
      <c r="S198" s="58">
        <f t="shared" si="86"/>
        <v>1.0720000000000001</v>
      </c>
      <c r="T198" s="58">
        <f t="shared" si="87"/>
        <v>1.262</v>
      </c>
      <c r="U198" s="58">
        <f t="shared" si="88"/>
        <v>1.3620000000000001</v>
      </c>
      <c r="V198" s="58">
        <f t="shared" si="89"/>
        <v>1.3620000000000001</v>
      </c>
      <c r="W198" s="58">
        <f t="shared" si="89"/>
        <v>1.3620000000000001</v>
      </c>
    </row>
    <row r="199" spans="1:25" s="7" customFormat="1">
      <c r="A199" s="94" t="s">
        <v>698</v>
      </c>
      <c r="B199" s="10" t="s">
        <v>371</v>
      </c>
      <c r="C199" s="55">
        <v>0.503</v>
      </c>
      <c r="D199" s="55">
        <v>0.503</v>
      </c>
      <c r="E199" s="55">
        <v>0.99299999999999999</v>
      </c>
      <c r="F199" s="55">
        <v>0.77700000000000002</v>
      </c>
      <c r="G199" s="55">
        <v>0.77700000000000002</v>
      </c>
      <c r="H199" s="55">
        <v>0.77700000000000002</v>
      </c>
      <c r="I199" s="161">
        <v>0.77700000000000002</v>
      </c>
      <c r="J199" s="10">
        <v>100</v>
      </c>
      <c r="K199" s="10">
        <v>6</v>
      </c>
      <c r="L199" s="10" t="s">
        <v>153</v>
      </c>
      <c r="M199" s="415" t="s">
        <v>4</v>
      </c>
      <c r="N199" s="10"/>
      <c r="O199" s="10" t="s">
        <v>33</v>
      </c>
      <c r="P199" s="61">
        <v>100</v>
      </c>
      <c r="Q199" s="58">
        <f t="shared" si="90"/>
        <v>0.503</v>
      </c>
      <c r="R199" s="58">
        <f t="shared" si="85"/>
        <v>0.503</v>
      </c>
      <c r="S199" s="58">
        <f t="shared" si="86"/>
        <v>0.99299999999999999</v>
      </c>
      <c r="T199" s="58">
        <f t="shared" si="87"/>
        <v>0.77700000000000002</v>
      </c>
      <c r="U199" s="58">
        <f t="shared" si="88"/>
        <v>0.77700000000000002</v>
      </c>
      <c r="V199" s="58">
        <f t="shared" si="89"/>
        <v>0.77700000000000002</v>
      </c>
      <c r="W199" s="58">
        <f t="shared" si="89"/>
        <v>0.77700000000000002</v>
      </c>
    </row>
    <row r="200" spans="1:25" s="7" customFormat="1">
      <c r="A200" s="94" t="s">
        <v>698</v>
      </c>
      <c r="B200" s="10" t="s">
        <v>485</v>
      </c>
      <c r="C200" s="55">
        <v>2.9645000000000001</v>
      </c>
      <c r="D200" s="55">
        <v>1.5289999999999999</v>
      </c>
      <c r="E200" s="55">
        <v>0.8</v>
      </c>
      <c r="F200" s="55">
        <v>0.8</v>
      </c>
      <c r="G200" s="55">
        <v>0.35599999999999998</v>
      </c>
      <c r="H200" s="55">
        <v>0</v>
      </c>
      <c r="I200" s="161">
        <v>0</v>
      </c>
      <c r="J200" s="10">
        <v>100</v>
      </c>
      <c r="K200" s="10">
        <v>8</v>
      </c>
      <c r="L200" s="10" t="s">
        <v>188</v>
      </c>
      <c r="M200" s="415" t="s">
        <v>17</v>
      </c>
      <c r="N200" s="10"/>
      <c r="O200" s="10" t="s">
        <v>33</v>
      </c>
      <c r="P200" s="61">
        <v>50</v>
      </c>
      <c r="Q200" s="58">
        <f t="shared" si="90"/>
        <v>1.4822500000000001</v>
      </c>
      <c r="R200" s="58">
        <f t="shared" ref="R200:U201" si="91">+$P200/100*D200</f>
        <v>0.76449999999999996</v>
      </c>
      <c r="S200" s="58">
        <f t="shared" si="91"/>
        <v>0.4</v>
      </c>
      <c r="T200" s="58">
        <f t="shared" si="91"/>
        <v>0.4</v>
      </c>
      <c r="U200" s="58">
        <f t="shared" si="91"/>
        <v>0.17799999999999999</v>
      </c>
      <c r="V200" s="58">
        <f t="shared" si="89"/>
        <v>0</v>
      </c>
      <c r="W200" s="58">
        <f t="shared" si="89"/>
        <v>0</v>
      </c>
    </row>
    <row r="201" spans="1:25" s="7" customFormat="1">
      <c r="A201" s="94" t="s">
        <v>698</v>
      </c>
      <c r="B201" s="10" t="s">
        <v>697</v>
      </c>
      <c r="C201" s="55">
        <v>3.5999999999999997E-2</v>
      </c>
      <c r="D201" s="55">
        <v>0.46124999999999999</v>
      </c>
      <c r="E201" s="55">
        <v>0.89524999999999999</v>
      </c>
      <c r="F201" s="55">
        <v>0.85775000000000001</v>
      </c>
      <c r="G201" s="55">
        <v>0.85775000000000001</v>
      </c>
      <c r="H201" s="55">
        <v>0.85775000000000001</v>
      </c>
      <c r="I201" s="161">
        <v>1.026</v>
      </c>
      <c r="J201" s="10">
        <v>25</v>
      </c>
      <c r="K201" s="10">
        <v>8</v>
      </c>
      <c r="L201" s="10" t="s">
        <v>188</v>
      </c>
      <c r="M201" s="415" t="s">
        <v>8</v>
      </c>
      <c r="N201" s="10"/>
      <c r="O201" s="10" t="s">
        <v>33</v>
      </c>
      <c r="P201" s="61">
        <v>10</v>
      </c>
      <c r="Q201" s="58">
        <f t="shared" si="90"/>
        <v>3.5999999999999999E-3</v>
      </c>
      <c r="R201" s="58">
        <f t="shared" si="91"/>
        <v>4.6124999999999999E-2</v>
      </c>
      <c r="S201" s="58">
        <f t="shared" si="91"/>
        <v>8.9525000000000007E-2</v>
      </c>
      <c r="T201" s="58">
        <f t="shared" si="91"/>
        <v>8.5775000000000004E-2</v>
      </c>
      <c r="U201" s="58">
        <f t="shared" si="91"/>
        <v>8.5775000000000004E-2</v>
      </c>
      <c r="V201" s="58">
        <f t="shared" si="89"/>
        <v>8.5775000000000004E-2</v>
      </c>
      <c r="W201" s="58">
        <f t="shared" si="89"/>
        <v>0.10260000000000001</v>
      </c>
    </row>
    <row r="202" spans="1:25" s="7" customFormat="1">
      <c r="A202" s="94" t="s">
        <v>698</v>
      </c>
      <c r="B202" s="10" t="s">
        <v>696</v>
      </c>
      <c r="C202" s="55">
        <v>4.7500000000000001E-2</v>
      </c>
      <c r="D202" s="55">
        <v>9.1249999999999998E-2</v>
      </c>
      <c r="E202" s="55">
        <v>0.23230000000000001</v>
      </c>
      <c r="F202" s="55">
        <v>9.0800000000000006E-2</v>
      </c>
      <c r="G202" s="55">
        <v>0.10280000000000002</v>
      </c>
      <c r="H202" s="55">
        <v>0.12155000000000001</v>
      </c>
      <c r="I202" s="161">
        <v>0.14530000000000001</v>
      </c>
      <c r="J202" s="10">
        <v>5</v>
      </c>
      <c r="K202" s="10">
        <v>8</v>
      </c>
      <c r="L202" s="10" t="s">
        <v>188</v>
      </c>
      <c r="M202" s="415" t="s">
        <v>8</v>
      </c>
      <c r="N202" s="10"/>
      <c r="O202" s="10" t="s">
        <v>33</v>
      </c>
      <c r="P202" s="61">
        <v>25</v>
      </c>
      <c r="Q202" s="58">
        <f t="shared" si="90"/>
        <v>1.1875E-2</v>
      </c>
      <c r="R202" s="58">
        <f t="shared" ref="R202" si="92">+$P202/100*D202</f>
        <v>2.2812499999999999E-2</v>
      </c>
      <c r="S202" s="58">
        <f t="shared" ref="S202" si="93">+$P202/100*E202</f>
        <v>5.8075000000000002E-2</v>
      </c>
      <c r="T202" s="58">
        <f t="shared" ref="T202" si="94">+$P202/100*F202</f>
        <v>2.2700000000000001E-2</v>
      </c>
      <c r="U202" s="58">
        <f t="shared" ref="U202" si="95">+$P202/100*G202</f>
        <v>2.5700000000000004E-2</v>
      </c>
      <c r="V202" s="58">
        <f t="shared" ref="V202" si="96">+$P202/100*H202</f>
        <v>3.0387500000000001E-2</v>
      </c>
      <c r="W202" s="58">
        <f t="shared" ref="W202" si="97">+$P202/100*I202</f>
        <v>3.6325000000000003E-2</v>
      </c>
    </row>
    <row r="203" spans="1:25" s="7" customFormat="1">
      <c r="A203" s="94" t="s">
        <v>484</v>
      </c>
      <c r="B203" s="10" t="s">
        <v>486</v>
      </c>
      <c r="C203" s="55">
        <v>1.544</v>
      </c>
      <c r="D203" s="55">
        <v>3.0720000000000001</v>
      </c>
      <c r="E203" s="55">
        <v>3.0794999999999999</v>
      </c>
      <c r="F203" s="55">
        <v>3.0794999999999999</v>
      </c>
      <c r="G203" s="55">
        <v>3.0794999999999999</v>
      </c>
      <c r="H203" s="55">
        <v>3.0794999999999999</v>
      </c>
      <c r="I203" s="161">
        <v>3.0794999999999999</v>
      </c>
      <c r="J203" s="10">
        <v>100</v>
      </c>
      <c r="K203" s="10">
        <v>8</v>
      </c>
      <c r="L203" s="10" t="s">
        <v>188</v>
      </c>
      <c r="M203" s="415" t="s">
        <v>8</v>
      </c>
      <c r="N203" s="10"/>
      <c r="O203" s="10" t="s">
        <v>33</v>
      </c>
      <c r="P203" s="61">
        <v>50</v>
      </c>
      <c r="Q203" s="58">
        <f t="shared" si="90"/>
        <v>0.77200000000000002</v>
      </c>
      <c r="R203" s="58">
        <f t="shared" ref="R203:W206" si="98">+$P203/100*D203</f>
        <v>1.536</v>
      </c>
      <c r="S203" s="58">
        <f t="shared" si="98"/>
        <v>1.53975</v>
      </c>
      <c r="T203" s="58">
        <f t="shared" si="98"/>
        <v>1.53975</v>
      </c>
      <c r="U203" s="58">
        <f t="shared" si="98"/>
        <v>1.53975</v>
      </c>
      <c r="V203" s="58">
        <f t="shared" si="98"/>
        <v>1.53975</v>
      </c>
      <c r="W203" s="58">
        <f t="shared" si="98"/>
        <v>1.53975</v>
      </c>
    </row>
    <row r="204" spans="1:25" s="7" customFormat="1">
      <c r="A204" s="94" t="s">
        <v>698</v>
      </c>
      <c r="B204" s="10" t="s">
        <v>765</v>
      </c>
      <c r="C204" s="55">
        <v>0</v>
      </c>
      <c r="D204" s="55">
        <v>0.15</v>
      </c>
      <c r="E204" s="55">
        <v>18.775500000000001</v>
      </c>
      <c r="F204" s="55">
        <v>18.803249999999998</v>
      </c>
      <c r="G204" s="55">
        <v>18.812249999999999</v>
      </c>
      <c r="H204" s="55">
        <v>18.813749999999999</v>
      </c>
      <c r="I204" s="161">
        <v>18.675000000000001</v>
      </c>
      <c r="J204" s="10">
        <v>62</v>
      </c>
      <c r="K204" s="10">
        <v>8</v>
      </c>
      <c r="L204" s="10" t="s">
        <v>188</v>
      </c>
      <c r="M204" s="415" t="s">
        <v>813</v>
      </c>
      <c r="N204" s="10"/>
      <c r="O204" s="10" t="s">
        <v>33</v>
      </c>
      <c r="P204" s="61">
        <v>75</v>
      </c>
      <c r="Q204" s="58">
        <f t="shared" si="90"/>
        <v>0</v>
      </c>
      <c r="R204" s="58">
        <f t="shared" si="98"/>
        <v>0.11249999999999999</v>
      </c>
      <c r="S204" s="58">
        <f t="shared" si="98"/>
        <v>14.081625000000001</v>
      </c>
      <c r="T204" s="58">
        <f t="shared" si="98"/>
        <v>14.102437499999999</v>
      </c>
      <c r="U204" s="58">
        <f t="shared" si="98"/>
        <v>14.109187499999999</v>
      </c>
      <c r="V204" s="58">
        <f t="shared" si="98"/>
        <v>14.110312499999999</v>
      </c>
      <c r="W204" s="58">
        <f t="shared" si="98"/>
        <v>14.006250000000001</v>
      </c>
    </row>
    <row r="205" spans="1:25" s="7" customFormat="1">
      <c r="A205" s="94" t="s">
        <v>698</v>
      </c>
      <c r="B205" s="10" t="s">
        <v>766</v>
      </c>
      <c r="C205" s="55">
        <v>0</v>
      </c>
      <c r="D205" s="55">
        <v>0</v>
      </c>
      <c r="E205" s="55">
        <v>0</v>
      </c>
      <c r="F205" s="55">
        <v>0</v>
      </c>
      <c r="G205" s="55">
        <v>0</v>
      </c>
      <c r="H205" s="55">
        <v>0</v>
      </c>
      <c r="I205" s="161">
        <v>0</v>
      </c>
      <c r="J205" s="10">
        <v>62</v>
      </c>
      <c r="K205" s="10">
        <v>8</v>
      </c>
      <c r="L205" s="10" t="s">
        <v>188</v>
      </c>
      <c r="M205" s="415" t="s">
        <v>813</v>
      </c>
      <c r="N205" s="10"/>
      <c r="O205" s="10" t="s">
        <v>33</v>
      </c>
      <c r="P205" s="61">
        <v>0</v>
      </c>
      <c r="Q205" s="58">
        <f t="shared" si="90"/>
        <v>0</v>
      </c>
      <c r="R205" s="58">
        <f t="shared" si="98"/>
        <v>0</v>
      </c>
      <c r="S205" s="58">
        <f t="shared" si="98"/>
        <v>0</v>
      </c>
      <c r="T205" s="58">
        <f t="shared" si="98"/>
        <v>0</v>
      </c>
      <c r="U205" s="58">
        <f t="shared" si="98"/>
        <v>0</v>
      </c>
      <c r="V205" s="58">
        <f t="shared" si="98"/>
        <v>0</v>
      </c>
      <c r="W205" s="58">
        <f t="shared" si="98"/>
        <v>0</v>
      </c>
    </row>
    <row r="206" spans="1:25" s="7" customFormat="1">
      <c r="A206" s="94" t="s">
        <v>698</v>
      </c>
      <c r="B206" s="10" t="s">
        <v>767</v>
      </c>
      <c r="C206" s="55">
        <v>0</v>
      </c>
      <c r="D206" s="55">
        <v>0.05</v>
      </c>
      <c r="E206" s="55">
        <v>5.1520000000000001</v>
      </c>
      <c r="F206" s="55">
        <v>7.6669999999999998</v>
      </c>
      <c r="G206" s="55">
        <v>9.1709999999999994</v>
      </c>
      <c r="H206" s="55">
        <v>10.922499999999999</v>
      </c>
      <c r="I206" s="161">
        <v>9.85</v>
      </c>
      <c r="J206" s="10">
        <v>50</v>
      </c>
      <c r="K206" s="10">
        <v>8</v>
      </c>
      <c r="L206" s="10" t="s">
        <v>188</v>
      </c>
      <c r="M206" s="415" t="s">
        <v>813</v>
      </c>
      <c r="N206" s="10"/>
      <c r="O206" s="10" t="s">
        <v>33</v>
      </c>
      <c r="P206" s="61">
        <v>50</v>
      </c>
      <c r="Q206" s="58">
        <f t="shared" si="90"/>
        <v>0</v>
      </c>
      <c r="R206" s="58">
        <f t="shared" si="98"/>
        <v>2.5000000000000001E-2</v>
      </c>
      <c r="S206" s="58">
        <f t="shared" si="98"/>
        <v>2.5760000000000001</v>
      </c>
      <c r="T206" s="58">
        <f t="shared" si="98"/>
        <v>3.8334999999999999</v>
      </c>
      <c r="U206" s="58">
        <f t="shared" si="98"/>
        <v>4.5854999999999997</v>
      </c>
      <c r="V206" s="58">
        <f t="shared" si="98"/>
        <v>5.4612499999999997</v>
      </c>
      <c r="W206" s="58">
        <f t="shared" si="98"/>
        <v>4.9249999999999998</v>
      </c>
    </row>
    <row r="207" spans="1:25" s="7" customFormat="1">
      <c r="A207" s="94" t="s">
        <v>302</v>
      </c>
      <c r="B207" s="9" t="s">
        <v>814</v>
      </c>
      <c r="C207" s="355">
        <v>31.862005123987899</v>
      </c>
      <c r="D207" s="355">
        <v>32.840351435981802</v>
      </c>
      <c r="E207" s="355">
        <v>36.414729092864398</v>
      </c>
      <c r="F207" s="355">
        <v>36.3289682439271</v>
      </c>
      <c r="G207" s="355">
        <v>36.2818838562753</v>
      </c>
      <c r="H207" s="355">
        <v>36.194777739119402</v>
      </c>
      <c r="I207" s="355">
        <v>36.0165297001518</v>
      </c>
      <c r="J207" s="10">
        <v>100</v>
      </c>
      <c r="K207" s="111" t="s">
        <v>301</v>
      </c>
      <c r="L207" s="10" t="s">
        <v>188</v>
      </c>
      <c r="M207" s="415" t="s">
        <v>26</v>
      </c>
      <c r="N207" s="10"/>
      <c r="O207" s="10" t="s">
        <v>32</v>
      </c>
      <c r="P207" s="61">
        <v>50</v>
      </c>
      <c r="Q207" s="58">
        <f t="shared" ref="Q207:W207" si="99">$P207*C207/100</f>
        <v>15.931002561993951</v>
      </c>
      <c r="R207" s="58">
        <f t="shared" si="99"/>
        <v>16.420175717990901</v>
      </c>
      <c r="S207" s="58">
        <f t="shared" si="99"/>
        <v>18.207364546432199</v>
      </c>
      <c r="T207" s="58">
        <f t="shared" si="99"/>
        <v>18.16448412196355</v>
      </c>
      <c r="U207" s="58">
        <f t="shared" si="99"/>
        <v>18.14094192813765</v>
      </c>
      <c r="V207" s="58">
        <f t="shared" si="99"/>
        <v>18.097388869559701</v>
      </c>
      <c r="W207" s="58">
        <f t="shared" si="99"/>
        <v>18.0082648500759</v>
      </c>
    </row>
    <row r="208" spans="1:25" s="7" customFormat="1">
      <c r="A208" s="94" t="s">
        <v>302</v>
      </c>
      <c r="B208" s="9" t="s">
        <v>815</v>
      </c>
      <c r="C208" s="355">
        <v>62.875994876012101</v>
      </c>
      <c r="D208" s="355">
        <v>64.806648564018204</v>
      </c>
      <c r="E208" s="355">
        <v>71.8602709071356</v>
      </c>
      <c r="F208" s="355">
        <v>71.691031756072903</v>
      </c>
      <c r="G208" s="355">
        <v>71.598116143724695</v>
      </c>
      <c r="H208" s="355">
        <v>71.426222260880607</v>
      </c>
      <c r="I208" s="355">
        <v>71.074470299848201</v>
      </c>
      <c r="J208" s="10">
        <v>100</v>
      </c>
      <c r="K208" s="111">
        <v>8</v>
      </c>
      <c r="L208" s="10" t="s">
        <v>188</v>
      </c>
      <c r="M208" s="415" t="s">
        <v>26</v>
      </c>
      <c r="N208" s="10"/>
      <c r="O208" s="10" t="s">
        <v>33</v>
      </c>
      <c r="P208" s="61">
        <v>50</v>
      </c>
      <c r="Q208" s="58">
        <f>$P208*C208/100</f>
        <v>31.43799743800605</v>
      </c>
      <c r="R208" s="58">
        <f t="shared" ref="R208" si="100">$P208*D208/100</f>
        <v>32.403324282009102</v>
      </c>
      <c r="S208" s="58">
        <f t="shared" ref="S208" si="101">$P208*E208/100</f>
        <v>35.9301354535678</v>
      </c>
      <c r="T208" s="58">
        <f t="shared" ref="T208" si="102">$P208*F208/100</f>
        <v>35.845515878036451</v>
      </c>
      <c r="U208" s="58">
        <f t="shared" ref="U208" si="103">$P208*G208/100</f>
        <v>35.799058071862348</v>
      </c>
      <c r="V208" s="58">
        <f t="shared" ref="V208" si="104">$P208*H208/100</f>
        <v>35.713111130440303</v>
      </c>
      <c r="W208" s="58">
        <f t="shared" ref="W208" si="105">$P208*I208/100</f>
        <v>35.537235149924101</v>
      </c>
    </row>
    <row r="209" spans="1:23" s="7" customFormat="1">
      <c r="A209" s="94" t="s">
        <v>302</v>
      </c>
      <c r="B209" s="9" t="s">
        <v>374</v>
      </c>
      <c r="C209" s="55">
        <v>54.085999999999999</v>
      </c>
      <c r="D209" s="55">
        <v>50.005000000000003</v>
      </c>
      <c r="E209" s="55">
        <v>31.59</v>
      </c>
      <c r="F209" s="55">
        <v>28.012</v>
      </c>
      <c r="G209" s="55">
        <v>23.911999999999999</v>
      </c>
      <c r="H209" s="55">
        <v>21.823</v>
      </c>
      <c r="I209" s="55">
        <v>19.332999999999998</v>
      </c>
      <c r="J209" s="10">
        <v>100</v>
      </c>
      <c r="K209" s="10">
        <v>8</v>
      </c>
      <c r="L209" s="10" t="s">
        <v>151</v>
      </c>
      <c r="M209" s="415" t="s">
        <v>26</v>
      </c>
      <c r="N209" s="10"/>
      <c r="O209" s="10" t="s">
        <v>33</v>
      </c>
      <c r="P209" s="61">
        <v>50</v>
      </c>
      <c r="Q209" s="58">
        <f t="shared" ref="Q209:W210" si="106">+$P209/100*C209</f>
        <v>27.042999999999999</v>
      </c>
      <c r="R209" s="58">
        <f t="shared" si="106"/>
        <v>25.002500000000001</v>
      </c>
      <c r="S209" s="58">
        <f t="shared" si="106"/>
        <v>15.795</v>
      </c>
      <c r="T209" s="58">
        <f t="shared" si="106"/>
        <v>14.006</v>
      </c>
      <c r="U209" s="58">
        <f t="shared" si="106"/>
        <v>11.956</v>
      </c>
      <c r="V209" s="58">
        <f t="shared" si="106"/>
        <v>10.9115</v>
      </c>
      <c r="W209" s="58">
        <f t="shared" si="106"/>
        <v>9.6664999999999992</v>
      </c>
    </row>
    <row r="210" spans="1:23" s="7" customFormat="1">
      <c r="A210" s="94" t="s">
        <v>302</v>
      </c>
      <c r="B210" s="9" t="s">
        <v>27</v>
      </c>
      <c r="C210" s="55">
        <v>57.076999999999998</v>
      </c>
      <c r="D210" s="55">
        <v>67.962999999999994</v>
      </c>
      <c r="E210" s="55">
        <v>67.417000000000002</v>
      </c>
      <c r="F210" s="55">
        <v>67.349999999999994</v>
      </c>
      <c r="G210" s="55">
        <v>67.245000000000005</v>
      </c>
      <c r="H210" s="55">
        <v>67.14</v>
      </c>
      <c r="I210" s="55">
        <v>67.14</v>
      </c>
      <c r="J210" s="10">
        <v>100</v>
      </c>
      <c r="K210" s="10">
        <v>8</v>
      </c>
      <c r="L210" s="10" t="s">
        <v>151</v>
      </c>
      <c r="M210" s="415" t="s">
        <v>26</v>
      </c>
      <c r="N210" s="10"/>
      <c r="O210" s="10" t="s">
        <v>33</v>
      </c>
      <c r="P210" s="61">
        <v>100</v>
      </c>
      <c r="Q210" s="58">
        <f t="shared" si="106"/>
        <v>57.076999999999998</v>
      </c>
      <c r="R210" s="58">
        <f t="shared" si="106"/>
        <v>67.962999999999994</v>
      </c>
      <c r="S210" s="58">
        <f t="shared" si="106"/>
        <v>67.417000000000002</v>
      </c>
      <c r="T210" s="58">
        <f t="shared" si="106"/>
        <v>67.349999999999994</v>
      </c>
      <c r="U210" s="58">
        <f t="shared" si="106"/>
        <v>67.245000000000005</v>
      </c>
      <c r="V210" s="58">
        <f t="shared" si="106"/>
        <v>67.14</v>
      </c>
      <c r="W210" s="58">
        <f t="shared" si="106"/>
        <v>67.14</v>
      </c>
    </row>
    <row r="211" spans="1:23" s="7" customFormat="1">
      <c r="A211" s="94" t="s">
        <v>302</v>
      </c>
      <c r="B211" s="10" t="s">
        <v>375</v>
      </c>
      <c r="C211" s="55">
        <v>0</v>
      </c>
      <c r="D211" s="55">
        <v>0.107</v>
      </c>
      <c r="E211" s="55">
        <v>0.30399999999999999</v>
      </c>
      <c r="F211" s="55">
        <v>0.59</v>
      </c>
      <c r="G211" s="55">
        <v>0.61899999999999999</v>
      </c>
      <c r="H211" s="55">
        <v>1.0249999999999999</v>
      </c>
      <c r="I211" s="55">
        <v>2.125</v>
      </c>
      <c r="J211" s="10">
        <v>100</v>
      </c>
      <c r="K211" s="10">
        <v>8</v>
      </c>
      <c r="L211" s="10" t="s">
        <v>151</v>
      </c>
      <c r="M211" s="415" t="s">
        <v>155</v>
      </c>
      <c r="N211" s="10"/>
      <c r="O211" s="10" t="s">
        <v>33</v>
      </c>
      <c r="P211" s="61">
        <v>50</v>
      </c>
      <c r="Q211" s="58">
        <f>+$P211/100*C211</f>
        <v>0</v>
      </c>
      <c r="R211" s="58">
        <f t="shared" ref="R211:R224" si="107">+$P211/100*D211</f>
        <v>5.3499999999999999E-2</v>
      </c>
      <c r="S211" s="58">
        <f t="shared" ref="S211:S224" si="108">+$P211/100*E211</f>
        <v>0.152</v>
      </c>
      <c r="T211" s="58">
        <f t="shared" ref="T211:T224" si="109">+$P211/100*F211</f>
        <v>0.29499999999999998</v>
      </c>
      <c r="U211" s="58">
        <f t="shared" ref="U211:U224" si="110">+$P211/100*G211</f>
        <v>0.3095</v>
      </c>
      <c r="V211" s="58">
        <f t="shared" ref="V211:V224" si="111">+$P211/100*H211</f>
        <v>0.51249999999999996</v>
      </c>
      <c r="W211" s="58">
        <f t="shared" ref="W211:W224" si="112">+$P211/100*I211</f>
        <v>1.0625</v>
      </c>
    </row>
    <row r="212" spans="1:23" s="7" customFormat="1">
      <c r="A212" s="94" t="s">
        <v>302</v>
      </c>
      <c r="B212" s="10" t="s">
        <v>376</v>
      </c>
      <c r="C212" s="55">
        <v>3.403</v>
      </c>
      <c r="D212" s="55">
        <v>1.3109999999999999</v>
      </c>
      <c r="E212" s="55">
        <v>1.946</v>
      </c>
      <c r="F212" s="55">
        <v>2.536</v>
      </c>
      <c r="G212" s="55">
        <v>2.7189999999999999</v>
      </c>
      <c r="H212" s="55">
        <v>2.286</v>
      </c>
      <c r="I212" s="55">
        <v>2.206</v>
      </c>
      <c r="J212" s="10">
        <v>100</v>
      </c>
      <c r="K212" s="11">
        <v>8</v>
      </c>
      <c r="L212" s="10" t="s">
        <v>151</v>
      </c>
      <c r="M212" s="415" t="s">
        <v>8</v>
      </c>
      <c r="N212" s="10"/>
      <c r="O212" s="10" t="s">
        <v>33</v>
      </c>
      <c r="P212" s="61">
        <v>30</v>
      </c>
      <c r="Q212" s="58">
        <f t="shared" ref="Q212:Q224" si="113">+$P212/100*C212</f>
        <v>1.0208999999999999</v>
      </c>
      <c r="R212" s="58">
        <f t="shared" si="107"/>
        <v>0.39329999999999998</v>
      </c>
      <c r="S212" s="58">
        <f t="shared" si="108"/>
        <v>0.58379999999999999</v>
      </c>
      <c r="T212" s="58">
        <f t="shared" si="109"/>
        <v>0.76080000000000003</v>
      </c>
      <c r="U212" s="58">
        <f t="shared" si="110"/>
        <v>0.81569999999999998</v>
      </c>
      <c r="V212" s="58">
        <f t="shared" si="111"/>
        <v>0.68579999999999997</v>
      </c>
      <c r="W212" s="58">
        <f t="shared" si="112"/>
        <v>0.66179999999999994</v>
      </c>
    </row>
    <row r="213" spans="1:23" s="7" customFormat="1">
      <c r="A213" s="94" t="s">
        <v>302</v>
      </c>
      <c r="B213" s="10" t="s">
        <v>448</v>
      </c>
      <c r="C213" s="55">
        <v>8.0000000000000002E-3</v>
      </c>
      <c r="D213" s="55">
        <v>0</v>
      </c>
      <c r="E213" s="55">
        <v>0</v>
      </c>
      <c r="F213" s="55">
        <v>0</v>
      </c>
      <c r="G213" s="55">
        <v>0</v>
      </c>
      <c r="H213" s="55">
        <v>0</v>
      </c>
      <c r="I213" s="55">
        <v>0</v>
      </c>
      <c r="J213" s="10">
        <v>100</v>
      </c>
      <c r="K213" s="11">
        <v>8</v>
      </c>
      <c r="L213" s="10" t="s">
        <v>188</v>
      </c>
      <c r="M213" s="415" t="s">
        <v>8</v>
      </c>
      <c r="N213" s="10"/>
      <c r="O213" s="10" t="s">
        <v>33</v>
      </c>
      <c r="P213" s="61">
        <v>30</v>
      </c>
      <c r="Q213" s="58">
        <f t="shared" si="113"/>
        <v>2.3999999999999998E-3</v>
      </c>
      <c r="R213" s="58">
        <f t="shared" si="107"/>
        <v>0</v>
      </c>
      <c r="S213" s="58">
        <f t="shared" si="108"/>
        <v>0</v>
      </c>
      <c r="T213" s="58">
        <f t="shared" si="109"/>
        <v>0</v>
      </c>
      <c r="U213" s="58">
        <f t="shared" si="110"/>
        <v>0</v>
      </c>
      <c r="V213" s="58">
        <f t="shared" si="111"/>
        <v>0</v>
      </c>
      <c r="W213" s="58">
        <f t="shared" si="112"/>
        <v>0</v>
      </c>
    </row>
    <row r="214" spans="1:23" s="7" customFormat="1">
      <c r="A214" s="94" t="s">
        <v>302</v>
      </c>
      <c r="B214" s="10" t="s">
        <v>377</v>
      </c>
      <c r="C214" s="55">
        <v>0.59</v>
      </c>
      <c r="D214" s="55">
        <v>2.3759999999999999</v>
      </c>
      <c r="E214" s="55">
        <v>2.754</v>
      </c>
      <c r="F214" s="55">
        <v>2.8039999999999998</v>
      </c>
      <c r="G214" s="55">
        <v>2.948</v>
      </c>
      <c r="H214" s="55">
        <v>3.073</v>
      </c>
      <c r="I214" s="55">
        <v>3.073</v>
      </c>
      <c r="J214" s="10">
        <v>100</v>
      </c>
      <c r="K214" s="11">
        <v>8</v>
      </c>
      <c r="L214" s="10" t="s">
        <v>151</v>
      </c>
      <c r="M214" s="415" t="s">
        <v>8</v>
      </c>
      <c r="N214" s="10"/>
      <c r="O214" s="10" t="s">
        <v>33</v>
      </c>
      <c r="P214" s="61">
        <v>30</v>
      </c>
      <c r="Q214" s="58">
        <f t="shared" si="113"/>
        <v>0.17699999999999999</v>
      </c>
      <c r="R214" s="58">
        <f t="shared" si="107"/>
        <v>0.71279999999999999</v>
      </c>
      <c r="S214" s="58">
        <f t="shared" si="108"/>
        <v>0.82619999999999993</v>
      </c>
      <c r="T214" s="58">
        <f t="shared" si="109"/>
        <v>0.84119999999999995</v>
      </c>
      <c r="U214" s="58">
        <f t="shared" si="110"/>
        <v>0.88439999999999996</v>
      </c>
      <c r="V214" s="58">
        <f t="shared" si="111"/>
        <v>0.92189999999999994</v>
      </c>
      <c r="W214" s="58">
        <f t="shared" si="112"/>
        <v>0.92189999999999994</v>
      </c>
    </row>
    <row r="215" spans="1:23" s="7" customFormat="1">
      <c r="A215" s="94" t="s">
        <v>302</v>
      </c>
      <c r="B215" s="10" t="s">
        <v>378</v>
      </c>
      <c r="C215" s="55">
        <v>0</v>
      </c>
      <c r="D215" s="55">
        <v>-0.217</v>
      </c>
      <c r="E215" s="55">
        <v>1.855</v>
      </c>
      <c r="F215" s="55">
        <v>1.73</v>
      </c>
      <c r="G215" s="55">
        <v>1.8460000000000001</v>
      </c>
      <c r="H215" s="55">
        <v>1.8460000000000001</v>
      </c>
      <c r="I215" s="55">
        <v>1.7949999999999999</v>
      </c>
      <c r="J215" s="10">
        <v>100</v>
      </c>
      <c r="K215" s="11">
        <v>8</v>
      </c>
      <c r="L215" s="10" t="s">
        <v>151</v>
      </c>
      <c r="M215" s="415" t="s">
        <v>8</v>
      </c>
      <c r="N215" s="10"/>
      <c r="O215" s="10" t="s">
        <v>33</v>
      </c>
      <c r="P215" s="61">
        <v>30</v>
      </c>
      <c r="Q215" s="58">
        <f t="shared" si="113"/>
        <v>0</v>
      </c>
      <c r="R215" s="58">
        <f t="shared" si="107"/>
        <v>-6.5099999999999991E-2</v>
      </c>
      <c r="S215" s="58">
        <f t="shared" si="108"/>
        <v>0.55649999999999999</v>
      </c>
      <c r="T215" s="58">
        <f t="shared" si="109"/>
        <v>0.51900000000000002</v>
      </c>
      <c r="U215" s="58">
        <f t="shared" si="110"/>
        <v>0.55379999999999996</v>
      </c>
      <c r="V215" s="58">
        <f t="shared" si="111"/>
        <v>0.55379999999999996</v>
      </c>
      <c r="W215" s="58">
        <f t="shared" si="112"/>
        <v>0.53849999999999998</v>
      </c>
    </row>
    <row r="216" spans="1:23" s="7" customFormat="1">
      <c r="A216" s="94" t="s">
        <v>302</v>
      </c>
      <c r="B216" s="10" t="s">
        <v>379</v>
      </c>
      <c r="C216" s="55">
        <v>0.77600000000000002</v>
      </c>
      <c r="D216" s="55">
        <v>0.154</v>
      </c>
      <c r="E216" s="55">
        <v>0.20100000000000001</v>
      </c>
      <c r="F216" s="55">
        <v>0.20100000000000001</v>
      </c>
      <c r="G216" s="55">
        <v>0.20100000000000001</v>
      </c>
      <c r="H216" s="55">
        <v>0.20100000000000001</v>
      </c>
      <c r="I216" s="55">
        <v>0.20100000000000001</v>
      </c>
      <c r="J216" s="10">
        <v>100</v>
      </c>
      <c r="K216" s="11">
        <v>8</v>
      </c>
      <c r="L216" s="10" t="s">
        <v>151</v>
      </c>
      <c r="M216" s="415" t="s">
        <v>8</v>
      </c>
      <c r="N216" s="10"/>
      <c r="O216" s="10" t="s">
        <v>33</v>
      </c>
      <c r="P216" s="61">
        <v>30</v>
      </c>
      <c r="Q216" s="58">
        <f t="shared" si="113"/>
        <v>0.23280000000000001</v>
      </c>
      <c r="R216" s="58">
        <f t="shared" si="107"/>
        <v>4.6199999999999998E-2</v>
      </c>
      <c r="S216" s="58">
        <f t="shared" si="108"/>
        <v>6.0299999999999999E-2</v>
      </c>
      <c r="T216" s="58">
        <f t="shared" si="109"/>
        <v>6.0299999999999999E-2</v>
      </c>
      <c r="U216" s="58">
        <f t="shared" si="110"/>
        <v>6.0299999999999999E-2</v>
      </c>
      <c r="V216" s="58">
        <f t="shared" si="111"/>
        <v>6.0299999999999999E-2</v>
      </c>
      <c r="W216" s="58">
        <f t="shared" si="112"/>
        <v>6.0299999999999999E-2</v>
      </c>
    </row>
    <row r="217" spans="1:23" s="7" customFormat="1">
      <c r="A217" s="94" t="s">
        <v>302</v>
      </c>
      <c r="B217" s="10" t="s">
        <v>380</v>
      </c>
      <c r="C217" s="55">
        <v>0</v>
      </c>
      <c r="D217" s="55">
        <v>0</v>
      </c>
      <c r="E217" s="55">
        <v>0</v>
      </c>
      <c r="F217" s="55">
        <v>0</v>
      </c>
      <c r="G217" s="55">
        <v>0</v>
      </c>
      <c r="H217" s="55">
        <v>0</v>
      </c>
      <c r="I217" s="55">
        <v>0</v>
      </c>
      <c r="J217" s="10">
        <v>100</v>
      </c>
      <c r="K217" s="11">
        <v>8</v>
      </c>
      <c r="L217" s="10" t="s">
        <v>151</v>
      </c>
      <c r="M217" s="415" t="s">
        <v>8</v>
      </c>
      <c r="N217" s="10"/>
      <c r="O217" s="10" t="s">
        <v>33</v>
      </c>
      <c r="P217" s="61">
        <v>30</v>
      </c>
      <c r="Q217" s="58">
        <f t="shared" si="113"/>
        <v>0</v>
      </c>
      <c r="R217" s="58">
        <f t="shared" si="107"/>
        <v>0</v>
      </c>
      <c r="S217" s="58">
        <f t="shared" si="108"/>
        <v>0</v>
      </c>
      <c r="T217" s="58">
        <f t="shared" si="109"/>
        <v>0</v>
      </c>
      <c r="U217" s="58">
        <f t="shared" si="110"/>
        <v>0</v>
      </c>
      <c r="V217" s="58">
        <f t="shared" si="111"/>
        <v>0</v>
      </c>
      <c r="W217" s="58">
        <f t="shared" si="112"/>
        <v>0</v>
      </c>
    </row>
    <row r="218" spans="1:23" s="7" customFormat="1">
      <c r="A218" s="94" t="s">
        <v>302</v>
      </c>
      <c r="B218" s="10" t="s">
        <v>381</v>
      </c>
      <c r="C218" s="55">
        <v>0.97799999999999998</v>
      </c>
      <c r="D218" s="55">
        <v>1.581</v>
      </c>
      <c r="E218" s="55">
        <v>1.8640000000000001</v>
      </c>
      <c r="F218" s="55">
        <v>2.343</v>
      </c>
      <c r="G218" s="55">
        <v>2.3580000000000001</v>
      </c>
      <c r="H218" s="55">
        <v>2.3679999999999999</v>
      </c>
      <c r="I218" s="55">
        <v>2.3809999999999998</v>
      </c>
      <c r="J218" s="10">
        <v>100</v>
      </c>
      <c r="K218" s="11">
        <v>8</v>
      </c>
      <c r="L218" s="10" t="s">
        <v>151</v>
      </c>
      <c r="M218" s="415" t="s">
        <v>8</v>
      </c>
      <c r="N218" s="10"/>
      <c r="O218" s="10" t="s">
        <v>33</v>
      </c>
      <c r="P218" s="61">
        <v>30</v>
      </c>
      <c r="Q218" s="58">
        <f t="shared" si="113"/>
        <v>0.29339999999999999</v>
      </c>
      <c r="R218" s="58">
        <f t="shared" si="107"/>
        <v>0.47429999999999994</v>
      </c>
      <c r="S218" s="58">
        <f t="shared" si="108"/>
        <v>0.55920000000000003</v>
      </c>
      <c r="T218" s="58">
        <f t="shared" si="109"/>
        <v>0.70289999999999997</v>
      </c>
      <c r="U218" s="58">
        <f t="shared" si="110"/>
        <v>0.70740000000000003</v>
      </c>
      <c r="V218" s="58">
        <f t="shared" si="111"/>
        <v>0.71039999999999992</v>
      </c>
      <c r="W218" s="58">
        <f t="shared" si="112"/>
        <v>0.71429999999999993</v>
      </c>
    </row>
    <row r="219" spans="1:23" s="7" customFormat="1">
      <c r="A219" s="94" t="s">
        <v>302</v>
      </c>
      <c r="B219" s="10" t="s">
        <v>382</v>
      </c>
      <c r="C219" s="55">
        <v>0</v>
      </c>
      <c r="D219" s="55">
        <v>0</v>
      </c>
      <c r="E219" s="55">
        <v>0</v>
      </c>
      <c r="F219" s="55">
        <v>0</v>
      </c>
      <c r="G219" s="55">
        <v>0</v>
      </c>
      <c r="H219" s="55">
        <v>0</v>
      </c>
      <c r="I219" s="55">
        <v>0</v>
      </c>
      <c r="J219" s="10">
        <v>100</v>
      </c>
      <c r="K219" s="11">
        <v>8</v>
      </c>
      <c r="L219" s="10" t="s">
        <v>151</v>
      </c>
      <c r="M219" s="415" t="s">
        <v>8</v>
      </c>
      <c r="N219" s="10"/>
      <c r="O219" s="10" t="s">
        <v>33</v>
      </c>
      <c r="P219" s="61">
        <v>30</v>
      </c>
      <c r="Q219" s="58">
        <f t="shared" si="113"/>
        <v>0</v>
      </c>
      <c r="R219" s="58">
        <f t="shared" si="107"/>
        <v>0</v>
      </c>
      <c r="S219" s="58">
        <f t="shared" si="108"/>
        <v>0</v>
      </c>
      <c r="T219" s="58">
        <f t="shared" si="109"/>
        <v>0</v>
      </c>
      <c r="U219" s="58">
        <f t="shared" si="110"/>
        <v>0</v>
      </c>
      <c r="V219" s="58">
        <f t="shared" si="111"/>
        <v>0</v>
      </c>
      <c r="W219" s="58">
        <f t="shared" si="112"/>
        <v>0</v>
      </c>
    </row>
    <row r="220" spans="1:23" s="7" customFormat="1">
      <c r="A220" s="94" t="s">
        <v>302</v>
      </c>
      <c r="B220" s="10" t="s">
        <v>303</v>
      </c>
      <c r="C220" s="55">
        <v>8.4179999999999993</v>
      </c>
      <c r="D220" s="55">
        <v>12.018000000000001</v>
      </c>
      <c r="E220" s="55">
        <v>6.734</v>
      </c>
      <c r="F220" s="55">
        <v>4.9569999999999999</v>
      </c>
      <c r="G220" s="55">
        <v>4.84</v>
      </c>
      <c r="H220" s="55">
        <v>3.9159999999999999</v>
      </c>
      <c r="I220" s="55">
        <v>3.4350000000000001</v>
      </c>
      <c r="J220" s="10">
        <v>100</v>
      </c>
      <c r="K220" s="11">
        <v>8</v>
      </c>
      <c r="L220" s="10" t="s">
        <v>151</v>
      </c>
      <c r="M220" s="415" t="s">
        <v>8</v>
      </c>
      <c r="N220" s="10"/>
      <c r="O220" s="10" t="s">
        <v>33</v>
      </c>
      <c r="P220" s="61">
        <v>30</v>
      </c>
      <c r="Q220" s="58">
        <f t="shared" si="113"/>
        <v>2.5253999999999999</v>
      </c>
      <c r="R220" s="58">
        <f t="shared" si="107"/>
        <v>3.6053999999999999</v>
      </c>
      <c r="S220" s="58">
        <f t="shared" si="108"/>
        <v>2.0202</v>
      </c>
      <c r="T220" s="58">
        <f t="shared" si="109"/>
        <v>1.4870999999999999</v>
      </c>
      <c r="U220" s="58">
        <f t="shared" si="110"/>
        <v>1.452</v>
      </c>
      <c r="V220" s="58">
        <f t="shared" si="111"/>
        <v>1.1747999999999998</v>
      </c>
      <c r="W220" s="58">
        <f t="shared" si="112"/>
        <v>1.0305</v>
      </c>
    </row>
    <row r="221" spans="1:23" s="7" customFormat="1">
      <c r="A221" s="94" t="s">
        <v>698</v>
      </c>
      <c r="B221" s="10" t="s">
        <v>768</v>
      </c>
      <c r="C221" s="55">
        <v>0</v>
      </c>
      <c r="D221" s="55">
        <v>0.66600000000000004</v>
      </c>
      <c r="E221" s="55">
        <v>9.8810000000000002</v>
      </c>
      <c r="F221" s="55">
        <v>5.0810000000000004</v>
      </c>
      <c r="G221" s="55">
        <v>5.0599999999999996</v>
      </c>
      <c r="H221" s="55">
        <v>2.5169999999999999</v>
      </c>
      <c r="I221" s="55">
        <v>2.5169999999999999</v>
      </c>
      <c r="J221" s="10">
        <v>100</v>
      </c>
      <c r="K221" s="11">
        <v>8</v>
      </c>
      <c r="L221" s="10" t="s">
        <v>151</v>
      </c>
      <c r="M221" s="415" t="s">
        <v>813</v>
      </c>
      <c r="N221" s="10"/>
      <c r="O221" s="10" t="s">
        <v>33</v>
      </c>
      <c r="P221" s="61">
        <v>100</v>
      </c>
      <c r="Q221" s="58">
        <f t="shared" si="113"/>
        <v>0</v>
      </c>
      <c r="R221" s="58">
        <f t="shared" si="107"/>
        <v>0.66600000000000004</v>
      </c>
      <c r="S221" s="58">
        <f t="shared" si="108"/>
        <v>9.8810000000000002</v>
      </c>
      <c r="T221" s="58">
        <f t="shared" si="109"/>
        <v>5.0810000000000004</v>
      </c>
      <c r="U221" s="58">
        <f t="shared" si="110"/>
        <v>5.0599999999999996</v>
      </c>
      <c r="V221" s="58">
        <f t="shared" si="111"/>
        <v>2.5169999999999999</v>
      </c>
      <c r="W221" s="58">
        <f t="shared" si="112"/>
        <v>2.5169999999999999</v>
      </c>
    </row>
    <row r="222" spans="1:23" s="7" customFormat="1">
      <c r="A222" s="94" t="s">
        <v>698</v>
      </c>
      <c r="B222" s="10" t="s">
        <v>769</v>
      </c>
      <c r="C222" s="55">
        <v>0</v>
      </c>
      <c r="D222" s="55">
        <v>3.121</v>
      </c>
      <c r="E222" s="55">
        <v>0</v>
      </c>
      <c r="F222" s="55">
        <v>0</v>
      </c>
      <c r="G222" s="55">
        <v>0</v>
      </c>
      <c r="H222" s="55">
        <v>0</v>
      </c>
      <c r="I222" s="55">
        <v>0</v>
      </c>
      <c r="J222" s="10">
        <v>100</v>
      </c>
      <c r="K222" s="11">
        <v>8</v>
      </c>
      <c r="L222" s="10" t="s">
        <v>151</v>
      </c>
      <c r="M222" s="415" t="s">
        <v>813</v>
      </c>
      <c r="N222" s="10"/>
      <c r="O222" s="10" t="s">
        <v>33</v>
      </c>
      <c r="P222" s="61">
        <v>0</v>
      </c>
      <c r="Q222" s="58">
        <f t="shared" si="113"/>
        <v>0</v>
      </c>
      <c r="R222" s="58">
        <f t="shared" si="107"/>
        <v>0</v>
      </c>
      <c r="S222" s="58">
        <f t="shared" si="108"/>
        <v>0</v>
      </c>
      <c r="T222" s="58">
        <f t="shared" si="109"/>
        <v>0</v>
      </c>
      <c r="U222" s="58">
        <f t="shared" si="110"/>
        <v>0</v>
      </c>
      <c r="V222" s="58">
        <f t="shared" si="111"/>
        <v>0</v>
      </c>
      <c r="W222" s="58">
        <f t="shared" si="112"/>
        <v>0</v>
      </c>
    </row>
    <row r="223" spans="1:23" s="7" customFormat="1">
      <c r="A223" s="94" t="s">
        <v>698</v>
      </c>
      <c r="B223" s="10" t="s">
        <v>770</v>
      </c>
      <c r="C223" s="55">
        <v>0</v>
      </c>
      <c r="D223" s="55">
        <v>0.85</v>
      </c>
      <c r="E223" s="55">
        <v>6.58</v>
      </c>
      <c r="F223" s="55">
        <v>4.3689999999999998</v>
      </c>
      <c r="G223" s="55">
        <v>3.9870000000000001</v>
      </c>
      <c r="H223" s="55">
        <v>4.2409999999999997</v>
      </c>
      <c r="I223" s="55">
        <v>4.2409999999999997</v>
      </c>
      <c r="J223" s="10">
        <v>100</v>
      </c>
      <c r="K223" s="11">
        <v>8</v>
      </c>
      <c r="L223" s="10" t="s">
        <v>151</v>
      </c>
      <c r="M223" s="415" t="s">
        <v>813</v>
      </c>
      <c r="N223" s="10"/>
      <c r="O223" s="10" t="s">
        <v>33</v>
      </c>
      <c r="P223" s="61">
        <v>100</v>
      </c>
      <c r="Q223" s="58">
        <f t="shared" si="113"/>
        <v>0</v>
      </c>
      <c r="R223" s="58">
        <f t="shared" si="107"/>
        <v>0.85</v>
      </c>
      <c r="S223" s="58">
        <f t="shared" si="108"/>
        <v>6.58</v>
      </c>
      <c r="T223" s="58">
        <f t="shared" si="109"/>
        <v>4.3689999999999998</v>
      </c>
      <c r="U223" s="58">
        <f t="shared" si="110"/>
        <v>3.9870000000000001</v>
      </c>
      <c r="V223" s="58">
        <f t="shared" si="111"/>
        <v>4.2409999999999997</v>
      </c>
      <c r="W223" s="58">
        <f t="shared" si="112"/>
        <v>4.2409999999999997</v>
      </c>
    </row>
    <row r="224" spans="1:23" s="7" customFormat="1">
      <c r="A224" s="94"/>
      <c r="B224" s="10" t="s">
        <v>826</v>
      </c>
      <c r="C224" s="55">
        <v>0</v>
      </c>
      <c r="D224" s="55">
        <v>0.7</v>
      </c>
      <c r="E224" s="55">
        <v>2.7090000000000001</v>
      </c>
      <c r="F224" s="55">
        <v>3.9620000000000002</v>
      </c>
      <c r="G224" s="55">
        <v>4.3019999999999996</v>
      </c>
      <c r="H224" s="55">
        <v>4.5220000000000002</v>
      </c>
      <c r="I224" s="55">
        <v>4.6360000000000001</v>
      </c>
      <c r="J224" s="10">
        <v>50</v>
      </c>
      <c r="K224" s="11">
        <v>8</v>
      </c>
      <c r="L224" s="10" t="s">
        <v>827</v>
      </c>
      <c r="M224" s="415" t="s">
        <v>813</v>
      </c>
      <c r="N224" s="10"/>
      <c r="O224" s="10" t="s">
        <v>33</v>
      </c>
      <c r="P224" s="61">
        <v>100</v>
      </c>
      <c r="Q224" s="58">
        <f t="shared" si="113"/>
        <v>0</v>
      </c>
      <c r="R224" s="58">
        <f t="shared" si="107"/>
        <v>0.7</v>
      </c>
      <c r="S224" s="58">
        <f t="shared" si="108"/>
        <v>2.7090000000000001</v>
      </c>
      <c r="T224" s="58">
        <f t="shared" si="109"/>
        <v>3.9620000000000002</v>
      </c>
      <c r="U224" s="58">
        <f t="shared" si="110"/>
        <v>4.3019999999999996</v>
      </c>
      <c r="V224" s="58">
        <f t="shared" si="111"/>
        <v>4.5220000000000002</v>
      </c>
      <c r="W224" s="58">
        <f t="shared" si="112"/>
        <v>4.6360000000000001</v>
      </c>
    </row>
    <row r="225" spans="1:25" s="68" customFormat="1" ht="14.4">
      <c r="B225" s="68" t="s">
        <v>472</v>
      </c>
      <c r="C225" s="98">
        <f t="shared" ref="C225:I225" si="114">SUM(C197:C224)</f>
        <v>238.72300000000004</v>
      </c>
      <c r="D225" s="98">
        <f t="shared" si="114"/>
        <v>254.85749999999999</v>
      </c>
      <c r="E225" s="98">
        <f t="shared" si="114"/>
        <v>304.34654999999998</v>
      </c>
      <c r="F225" s="98">
        <f t="shared" si="114"/>
        <v>293.88229999999999</v>
      </c>
      <c r="G225" s="98">
        <f t="shared" si="114"/>
        <v>282.26630000000006</v>
      </c>
      <c r="H225" s="98">
        <f t="shared" si="114"/>
        <v>273.81105000000002</v>
      </c>
      <c r="I225" s="98">
        <f t="shared" si="114"/>
        <v>266.56480000000005</v>
      </c>
      <c r="L225" s="20"/>
      <c r="M225" s="408"/>
      <c r="P225" s="99"/>
      <c r="Q225" s="97">
        <f>+SUM(Q197:Q224)</f>
        <v>152.06762499999996</v>
      </c>
      <c r="R225" s="97">
        <f t="shared" ref="R225:W225" si="115">+SUM(R197:R224)</f>
        <v>162.95433750000001</v>
      </c>
      <c r="S225" s="97">
        <f t="shared" si="115"/>
        <v>213.32467500000001</v>
      </c>
      <c r="T225" s="97">
        <f t="shared" si="115"/>
        <v>204.05746249999996</v>
      </c>
      <c r="U225" s="97">
        <f t="shared" si="115"/>
        <v>193.76701250000002</v>
      </c>
      <c r="V225" s="97">
        <f t="shared" si="115"/>
        <v>186.42597499999999</v>
      </c>
      <c r="W225" s="97">
        <f t="shared" si="115"/>
        <v>180.960725</v>
      </c>
      <c r="Y225" s="170"/>
    </row>
    <row r="226" spans="1:25">
      <c r="C226" s="53"/>
      <c r="D226" s="53"/>
      <c r="E226" s="53"/>
      <c r="F226" s="53"/>
      <c r="G226" s="53"/>
      <c r="H226" s="53"/>
      <c r="I226" s="53"/>
    </row>
    <row r="227" spans="1:25" s="17" customFormat="1" ht="14.4">
      <c r="A227" s="28"/>
      <c r="B227" s="25" t="s">
        <v>64</v>
      </c>
      <c r="C227" s="54"/>
      <c r="D227" s="54"/>
      <c r="E227" s="54"/>
      <c r="F227" s="54"/>
      <c r="G227" s="54"/>
      <c r="H227" s="54"/>
      <c r="I227" s="54"/>
      <c r="J227" s="25"/>
      <c r="K227" s="27"/>
      <c r="L227" s="79"/>
      <c r="M227" s="416"/>
      <c r="N227" s="25"/>
      <c r="O227" s="25"/>
      <c r="P227" s="25" t="s">
        <v>64</v>
      </c>
      <c r="Q227" s="274"/>
      <c r="R227" s="274"/>
      <c r="S227" s="274"/>
      <c r="T227" s="274"/>
      <c r="U227" s="274"/>
      <c r="V227" s="274"/>
      <c r="W227" s="274"/>
    </row>
    <row r="228" spans="1:25" s="7" customFormat="1">
      <c r="A228" s="7">
        <v>1</v>
      </c>
      <c r="B228" s="7" t="s">
        <v>279</v>
      </c>
      <c r="C228" s="83">
        <v>4.7130000000000001</v>
      </c>
      <c r="D228" s="83">
        <v>4.9409999999999998</v>
      </c>
      <c r="E228" s="83">
        <v>5.0430000000000001</v>
      </c>
      <c r="F228" s="83">
        <v>5.0430000000000001</v>
      </c>
      <c r="G228" s="83">
        <v>5.0430000000000001</v>
      </c>
      <c r="H228" s="83">
        <v>8.8149999999999995</v>
      </c>
      <c r="I228" s="83">
        <v>8.8149999999999995</v>
      </c>
      <c r="J228" s="171">
        <v>100</v>
      </c>
      <c r="K228" s="7">
        <v>7</v>
      </c>
      <c r="L228" s="92" t="s">
        <v>85</v>
      </c>
      <c r="M228" s="407" t="s">
        <v>348</v>
      </c>
      <c r="N228" s="92"/>
      <c r="O228" s="7" t="s">
        <v>32</v>
      </c>
      <c r="P228" s="61">
        <v>0</v>
      </c>
      <c r="Q228" s="58"/>
      <c r="R228" s="58"/>
      <c r="S228" s="58"/>
      <c r="T228" s="58"/>
      <c r="U228" s="58"/>
      <c r="V228" s="58"/>
      <c r="W228" s="58"/>
    </row>
    <row r="229" spans="1:25" s="7" customFormat="1">
      <c r="A229" s="7">
        <v>1</v>
      </c>
      <c r="B229" s="7" t="s">
        <v>279</v>
      </c>
      <c r="C229" s="83">
        <v>2.6112220900000001</v>
      </c>
      <c r="D229" s="83">
        <v>1.9790000000000001</v>
      </c>
      <c r="E229" s="83">
        <v>3.2029999999999998</v>
      </c>
      <c r="F229" s="83">
        <v>3.056</v>
      </c>
      <c r="G229" s="83">
        <v>2.8540000000000001</v>
      </c>
      <c r="H229" s="83">
        <v>3.254</v>
      </c>
      <c r="I229" s="83">
        <v>3.1709999999999998</v>
      </c>
      <c r="J229" s="171">
        <v>100</v>
      </c>
      <c r="K229" s="7">
        <v>11</v>
      </c>
      <c r="L229" s="92" t="s">
        <v>48</v>
      </c>
      <c r="M229" s="404" t="s">
        <v>8</v>
      </c>
      <c r="O229" s="7" t="s">
        <v>33</v>
      </c>
      <c r="P229" s="61">
        <v>0</v>
      </c>
      <c r="Q229" s="58"/>
      <c r="R229" s="58"/>
      <c r="S229" s="58"/>
      <c r="T229" s="58"/>
      <c r="U229" s="58"/>
      <c r="V229" s="58"/>
      <c r="W229" s="58"/>
    </row>
    <row r="230" spans="1:25" s="7" customFormat="1">
      <c r="A230" s="7">
        <v>1</v>
      </c>
      <c r="B230" s="7" t="s">
        <v>279</v>
      </c>
      <c r="C230" s="83">
        <v>0.45</v>
      </c>
      <c r="D230" s="83">
        <v>0.45</v>
      </c>
      <c r="E230" s="83">
        <v>0</v>
      </c>
      <c r="F230" s="83">
        <v>0</v>
      </c>
      <c r="G230" s="83">
        <v>0</v>
      </c>
      <c r="H230" s="83">
        <v>0</v>
      </c>
      <c r="I230" s="83">
        <v>0</v>
      </c>
      <c r="J230" s="171">
        <v>100</v>
      </c>
      <c r="K230" s="7">
        <v>11</v>
      </c>
      <c r="L230" s="92" t="s">
        <v>48</v>
      </c>
      <c r="M230" s="404" t="s">
        <v>349</v>
      </c>
      <c r="O230" s="7" t="s">
        <v>33</v>
      </c>
      <c r="P230" s="61">
        <v>0</v>
      </c>
      <c r="Q230" s="58"/>
      <c r="R230" s="58"/>
      <c r="S230" s="58"/>
      <c r="T230" s="58"/>
      <c r="U230" s="58"/>
      <c r="V230" s="58"/>
      <c r="W230" s="58"/>
    </row>
    <row r="231" spans="1:25" s="7" customFormat="1">
      <c r="A231" s="7">
        <v>7</v>
      </c>
      <c r="B231" s="7" t="s">
        <v>624</v>
      </c>
      <c r="C231" s="83">
        <v>0.96492715000000007</v>
      </c>
      <c r="D231" s="83">
        <v>1.7709999999999999</v>
      </c>
      <c r="E231" s="83">
        <v>2</v>
      </c>
      <c r="F231" s="83">
        <v>2</v>
      </c>
      <c r="G231" s="83">
        <v>2</v>
      </c>
      <c r="H231" s="83">
        <v>2</v>
      </c>
      <c r="I231" s="83">
        <v>2</v>
      </c>
      <c r="J231" s="171">
        <v>100</v>
      </c>
      <c r="K231" s="7">
        <v>11</v>
      </c>
      <c r="L231" s="92" t="s">
        <v>48</v>
      </c>
      <c r="M231" s="404" t="s">
        <v>8</v>
      </c>
      <c r="O231" s="7" t="s">
        <v>33</v>
      </c>
      <c r="P231" s="61">
        <v>0</v>
      </c>
      <c r="Q231" s="58"/>
      <c r="R231" s="58"/>
      <c r="S231" s="58"/>
      <c r="T231" s="58"/>
      <c r="U231" s="58"/>
      <c r="V231" s="58"/>
      <c r="W231" s="58"/>
    </row>
    <row r="232" spans="1:25" s="7" customFormat="1">
      <c r="A232" s="7">
        <v>13</v>
      </c>
      <c r="B232" s="7" t="s">
        <v>623</v>
      </c>
      <c r="C232" s="83">
        <v>0.29525997999999998</v>
      </c>
      <c r="D232" s="83">
        <v>0.4</v>
      </c>
      <c r="E232" s="83">
        <v>0.5</v>
      </c>
      <c r="F232" s="83">
        <v>0.5</v>
      </c>
      <c r="G232" s="83">
        <v>0.5</v>
      </c>
      <c r="H232" s="83">
        <v>0.5</v>
      </c>
      <c r="I232" s="83">
        <v>0.5</v>
      </c>
      <c r="J232" s="171">
        <v>100</v>
      </c>
      <c r="K232" s="7">
        <v>11</v>
      </c>
      <c r="L232" s="92" t="s">
        <v>48</v>
      </c>
      <c r="M232" s="404" t="s">
        <v>8</v>
      </c>
      <c r="O232" s="7" t="s">
        <v>33</v>
      </c>
      <c r="P232" s="61">
        <v>0</v>
      </c>
      <c r="Q232" s="58"/>
      <c r="R232" s="58"/>
      <c r="S232" s="58"/>
      <c r="T232" s="58"/>
      <c r="U232" s="58"/>
      <c r="V232" s="58"/>
      <c r="W232" s="58"/>
    </row>
    <row r="233" spans="1:25" s="7" customFormat="1">
      <c r="A233" s="7">
        <v>2</v>
      </c>
      <c r="B233" s="7" t="s">
        <v>625</v>
      </c>
      <c r="C233" s="83">
        <v>3.251458</v>
      </c>
      <c r="D233" s="83">
        <v>3.0979999999999999</v>
      </c>
      <c r="E233" s="83">
        <v>3.0430000000000001</v>
      </c>
      <c r="F233" s="83">
        <v>1.0780000000000001</v>
      </c>
      <c r="G233" s="83">
        <v>0.18329999999999999</v>
      </c>
      <c r="H233" s="83">
        <v>2.1629999999999998</v>
      </c>
      <c r="I233" s="83">
        <v>4.7720000000000002</v>
      </c>
      <c r="J233" s="171">
        <v>100</v>
      </c>
      <c r="K233" s="7">
        <v>11</v>
      </c>
      <c r="L233" s="92" t="s">
        <v>48</v>
      </c>
      <c r="M233" s="404" t="s">
        <v>8</v>
      </c>
      <c r="O233" s="7" t="s">
        <v>33</v>
      </c>
      <c r="P233" s="61">
        <v>0</v>
      </c>
      <c r="Q233" s="58"/>
      <c r="R233" s="58"/>
      <c r="S233" s="58"/>
      <c r="T233" s="58"/>
      <c r="U233" s="58"/>
      <c r="V233" s="58"/>
      <c r="W233" s="58"/>
    </row>
    <row r="234" spans="1:25" s="68" customFormat="1" ht="14.4">
      <c r="B234" s="68" t="s">
        <v>67</v>
      </c>
      <c r="C234" s="98">
        <f>SUM(C228:C233)</f>
        <v>12.28586722</v>
      </c>
      <c r="D234" s="98">
        <f t="shared" ref="D234:I234" si="116">SUM(D228:D233)</f>
        <v>12.638999999999999</v>
      </c>
      <c r="E234" s="98">
        <f t="shared" si="116"/>
        <v>13.789000000000001</v>
      </c>
      <c r="F234" s="98">
        <f t="shared" si="116"/>
        <v>11.677</v>
      </c>
      <c r="G234" s="98">
        <f t="shared" si="116"/>
        <v>10.580299999999999</v>
      </c>
      <c r="H234" s="98">
        <f t="shared" si="116"/>
        <v>16.731999999999999</v>
      </c>
      <c r="I234" s="98">
        <f t="shared" si="116"/>
        <v>19.257999999999999</v>
      </c>
      <c r="L234" s="20"/>
      <c r="M234" s="408"/>
      <c r="P234" s="99"/>
      <c r="Q234" s="97"/>
      <c r="R234" s="97"/>
      <c r="S234" s="97"/>
      <c r="T234" s="97"/>
      <c r="U234" s="97"/>
      <c r="V234" s="97"/>
      <c r="W234" s="97"/>
    </row>
    <row r="235" spans="1:25">
      <c r="A235" s="7"/>
      <c r="C235" s="53"/>
      <c r="D235" s="53"/>
      <c r="E235" s="53"/>
      <c r="F235" s="53"/>
      <c r="G235" s="53"/>
      <c r="H235" s="53"/>
      <c r="I235" s="53"/>
      <c r="Q235" s="5" t="s">
        <v>142</v>
      </c>
    </row>
    <row r="236" spans="1:25" s="17" customFormat="1" ht="14.4">
      <c r="A236" s="29"/>
      <c r="B236" s="25" t="s">
        <v>65</v>
      </c>
      <c r="C236" s="56"/>
      <c r="D236" s="56"/>
      <c r="E236" s="56"/>
      <c r="F236" s="56"/>
      <c r="G236" s="56"/>
      <c r="H236" s="56"/>
      <c r="I236" s="56"/>
      <c r="J236" s="29"/>
      <c r="K236" s="29"/>
      <c r="L236" s="80"/>
      <c r="M236" s="417"/>
      <c r="N236" s="29"/>
      <c r="O236" s="29"/>
      <c r="P236" s="25" t="s">
        <v>65</v>
      </c>
      <c r="Q236" s="274"/>
      <c r="R236" s="274"/>
      <c r="S236" s="274"/>
      <c r="T236" s="274"/>
      <c r="U236" s="274"/>
      <c r="V236" s="274"/>
      <c r="W236" s="274"/>
    </row>
    <row r="237" spans="1:25" s="7" customFormat="1">
      <c r="A237" s="92" t="s">
        <v>219</v>
      </c>
      <c r="B237" s="92" t="s">
        <v>201</v>
      </c>
      <c r="C237" s="95">
        <v>22</v>
      </c>
      <c r="D237" s="95">
        <v>22</v>
      </c>
      <c r="E237" s="95">
        <v>22</v>
      </c>
      <c r="F237" s="95">
        <v>22</v>
      </c>
      <c r="G237" s="95">
        <v>22</v>
      </c>
      <c r="H237" s="95">
        <v>22</v>
      </c>
      <c r="I237" s="95">
        <v>22</v>
      </c>
      <c r="J237" s="96">
        <v>2.6</v>
      </c>
      <c r="K237" s="100" t="s">
        <v>57</v>
      </c>
      <c r="L237" s="92" t="s">
        <v>90</v>
      </c>
      <c r="M237" s="407" t="s">
        <v>162</v>
      </c>
      <c r="N237" s="92"/>
      <c r="O237" s="92" t="s">
        <v>32</v>
      </c>
      <c r="P237" s="58"/>
      <c r="Q237" s="58">
        <f>+$P237/100*C237</f>
        <v>0</v>
      </c>
      <c r="R237" s="58">
        <f>+$P237/100*D237</f>
        <v>0</v>
      </c>
      <c r="S237" s="58">
        <f>+$P237/100*E237</f>
        <v>0</v>
      </c>
      <c r="T237" s="58">
        <f>+$P237/100*F237</f>
        <v>0</v>
      </c>
      <c r="U237" s="58">
        <f>+$P237/100*G237</f>
        <v>0</v>
      </c>
      <c r="V237" s="58">
        <f t="shared" ref="V237" si="117">+$P237/100*H237</f>
        <v>0</v>
      </c>
      <c r="W237" s="58">
        <f t="shared" ref="W237" si="118">+$P237/100*I237</f>
        <v>0</v>
      </c>
    </row>
    <row r="238" spans="1:25" s="7" customFormat="1">
      <c r="A238" s="92" t="s">
        <v>434</v>
      </c>
      <c r="B238" s="92" t="s">
        <v>435</v>
      </c>
      <c r="C238" s="95">
        <v>5.819</v>
      </c>
      <c r="D238" s="95">
        <v>6</v>
      </c>
      <c r="E238" s="95">
        <v>6</v>
      </c>
      <c r="F238" s="95">
        <v>6</v>
      </c>
      <c r="G238" s="95">
        <v>6</v>
      </c>
      <c r="H238" s="95">
        <v>6</v>
      </c>
      <c r="I238" s="95">
        <v>6</v>
      </c>
      <c r="J238" s="96">
        <v>25.1</v>
      </c>
      <c r="K238" s="100">
        <v>7</v>
      </c>
      <c r="L238" s="92" t="s">
        <v>85</v>
      </c>
      <c r="M238" s="407" t="s">
        <v>4</v>
      </c>
      <c r="N238" s="92"/>
      <c r="O238" s="92" t="s">
        <v>33</v>
      </c>
      <c r="P238" s="61"/>
      <c r="Q238" s="58"/>
      <c r="R238" s="58"/>
      <c r="S238" s="58"/>
      <c r="T238" s="58"/>
      <c r="U238" s="58"/>
      <c r="V238" s="58"/>
      <c r="W238" s="58"/>
    </row>
    <row r="239" spans="1:25" s="7" customFormat="1">
      <c r="A239" s="92" t="s">
        <v>156</v>
      </c>
      <c r="B239" s="92" t="s">
        <v>340</v>
      </c>
      <c r="C239" s="95">
        <v>37.161000000000001</v>
      </c>
      <c r="D239" s="95">
        <v>25.33</v>
      </c>
      <c r="E239" s="95">
        <v>19</v>
      </c>
      <c r="F239" s="95">
        <v>19</v>
      </c>
      <c r="G239" s="95">
        <v>19</v>
      </c>
      <c r="H239" s="95">
        <v>19</v>
      </c>
      <c r="I239" s="95">
        <v>19</v>
      </c>
      <c r="J239" s="96">
        <v>5.8</v>
      </c>
      <c r="K239" s="100" t="s">
        <v>57</v>
      </c>
      <c r="L239" s="92" t="s">
        <v>90</v>
      </c>
      <c r="M239" s="407" t="s">
        <v>23</v>
      </c>
      <c r="N239" s="92"/>
      <c r="O239" s="92" t="s">
        <v>32</v>
      </c>
      <c r="P239" s="58"/>
      <c r="Q239" s="58">
        <f>+$P239/100*C239</f>
        <v>0</v>
      </c>
      <c r="R239" s="58">
        <f>+$P239/100*D239</f>
        <v>0</v>
      </c>
      <c r="S239" s="58">
        <f>+$P239/100*E239</f>
        <v>0</v>
      </c>
      <c r="T239" s="58">
        <f>+$P239/100*F239</f>
        <v>0</v>
      </c>
      <c r="U239" s="58">
        <f>+$P239/100*G239</f>
        <v>0</v>
      </c>
      <c r="V239" s="58">
        <f t="shared" ref="V239" si="119">+$P239/100*H239</f>
        <v>0</v>
      </c>
      <c r="W239" s="58">
        <f t="shared" ref="W239" si="120">+$P239/100*I239</f>
        <v>0</v>
      </c>
    </row>
    <row r="240" spans="1:25" s="7" customFormat="1">
      <c r="A240" s="92" t="s">
        <v>430</v>
      </c>
      <c r="B240" s="92" t="s">
        <v>431</v>
      </c>
      <c r="C240" s="95">
        <v>9.3089999999999993</v>
      </c>
      <c r="D240" s="95">
        <v>10.55</v>
      </c>
      <c r="E240" s="95">
        <v>10.154999999999999</v>
      </c>
      <c r="F240" s="95">
        <v>10.051</v>
      </c>
      <c r="G240" s="95">
        <v>9.74</v>
      </c>
      <c r="H240" s="95">
        <v>9.74</v>
      </c>
      <c r="I240" s="95">
        <v>9.74</v>
      </c>
      <c r="J240" s="96">
        <v>35.4</v>
      </c>
      <c r="K240" s="100">
        <v>7</v>
      </c>
      <c r="L240" s="92" t="s">
        <v>85</v>
      </c>
      <c r="M240" s="407" t="s">
        <v>33</v>
      </c>
      <c r="N240" s="92"/>
      <c r="O240" s="92" t="s">
        <v>33</v>
      </c>
      <c r="P240" s="58"/>
      <c r="Q240" s="58"/>
      <c r="R240" s="58"/>
      <c r="S240" s="58"/>
      <c r="T240" s="58"/>
      <c r="U240" s="58"/>
      <c r="V240" s="58"/>
      <c r="W240" s="58"/>
    </row>
    <row r="241" spans="1:23" s="7" customFormat="1">
      <c r="A241" s="92" t="s">
        <v>157</v>
      </c>
      <c r="B241" s="92" t="s">
        <v>560</v>
      </c>
      <c r="C241" s="95">
        <v>18.239000000000001</v>
      </c>
      <c r="D241" s="95">
        <v>18.853000000000002</v>
      </c>
      <c r="E241" s="95">
        <v>18.853000000000002</v>
      </c>
      <c r="F241" s="95">
        <v>18.853000000000002</v>
      </c>
      <c r="G241" s="95">
        <v>18.853000000000002</v>
      </c>
      <c r="H241" s="95">
        <v>18.853000000000002</v>
      </c>
      <c r="I241" s="95">
        <v>18.853000000000002</v>
      </c>
      <c r="J241" s="96">
        <v>5.2</v>
      </c>
      <c r="K241" s="100">
        <v>7</v>
      </c>
      <c r="L241" s="92" t="s">
        <v>85</v>
      </c>
      <c r="M241" s="407" t="s">
        <v>4</v>
      </c>
      <c r="N241" s="92"/>
      <c r="O241" s="92" t="s">
        <v>32</v>
      </c>
      <c r="P241" s="58"/>
      <c r="Q241" s="58"/>
      <c r="R241" s="58"/>
      <c r="S241" s="58"/>
      <c r="T241" s="58"/>
      <c r="U241" s="58"/>
      <c r="V241" s="58"/>
      <c r="W241" s="58"/>
    </row>
    <row r="242" spans="1:23" s="7" customFormat="1">
      <c r="A242" s="92" t="s">
        <v>154</v>
      </c>
      <c r="B242" s="92" t="s">
        <v>220</v>
      </c>
      <c r="C242" s="95">
        <v>9.5</v>
      </c>
      <c r="D242" s="95">
        <v>15.1</v>
      </c>
      <c r="E242" s="95">
        <v>20.7</v>
      </c>
      <c r="F242" s="95">
        <v>9.5</v>
      </c>
      <c r="G242" s="95">
        <v>9.5</v>
      </c>
      <c r="H242" s="95">
        <v>9.5</v>
      </c>
      <c r="I242" s="95">
        <v>9.5</v>
      </c>
      <c r="J242" s="96">
        <v>57.5</v>
      </c>
      <c r="K242" s="100">
        <v>7</v>
      </c>
      <c r="L242" s="92" t="s">
        <v>85</v>
      </c>
      <c r="M242" s="407" t="s">
        <v>4</v>
      </c>
      <c r="N242" s="92"/>
      <c r="O242" s="92" t="s">
        <v>32</v>
      </c>
      <c r="P242" s="58"/>
      <c r="Q242" s="58">
        <f>+$P242/100*C242</f>
        <v>0</v>
      </c>
      <c r="R242" s="58">
        <f>+$P242/100*D242</f>
        <v>0</v>
      </c>
      <c r="S242" s="58">
        <f>+$P242/100*E242</f>
        <v>0</v>
      </c>
      <c r="T242" s="58">
        <f>+$P242/100*F242</f>
        <v>0</v>
      </c>
      <c r="U242" s="58">
        <f>+$P242/100*G242</f>
        <v>0</v>
      </c>
      <c r="V242" s="58">
        <f t="shared" ref="V242" si="121">+$P242/100*H242</f>
        <v>0</v>
      </c>
      <c r="W242" s="58">
        <f t="shared" ref="W242" si="122">+$P242/100*I242</f>
        <v>0</v>
      </c>
    </row>
    <row r="243" spans="1:23" s="7" customFormat="1">
      <c r="A243" s="92" t="s">
        <v>434</v>
      </c>
      <c r="B243" s="92" t="s">
        <v>487</v>
      </c>
      <c r="C243" s="95">
        <v>374.90899999999999</v>
      </c>
      <c r="D243" s="95">
        <v>347.75599999999997</v>
      </c>
      <c r="E243" s="95">
        <v>305.42500000000001</v>
      </c>
      <c r="F243" s="95">
        <v>266.10599999999999</v>
      </c>
      <c r="G243" s="95">
        <v>213.05500000000001</v>
      </c>
      <c r="H243" s="95">
        <v>192.74199999999999</v>
      </c>
      <c r="I243" s="95">
        <v>175.16900000000001</v>
      </c>
      <c r="J243" s="96">
        <v>93.6</v>
      </c>
      <c r="K243" s="100">
        <v>7</v>
      </c>
      <c r="L243" s="92" t="s">
        <v>85</v>
      </c>
      <c r="M243" s="407" t="s">
        <v>155</v>
      </c>
      <c r="N243" s="92"/>
      <c r="O243" s="92" t="s">
        <v>33</v>
      </c>
      <c r="P243" s="58"/>
      <c r="Q243" s="58"/>
      <c r="R243" s="58"/>
      <c r="S243" s="58"/>
      <c r="T243" s="58"/>
      <c r="U243" s="58"/>
      <c r="V243" s="58"/>
      <c r="W243" s="58"/>
    </row>
    <row r="244" spans="1:23" s="7" customFormat="1">
      <c r="A244" s="92" t="s">
        <v>626</v>
      </c>
      <c r="B244" s="92" t="s">
        <v>488</v>
      </c>
      <c r="C244" s="95">
        <v>7.1550000000000002</v>
      </c>
      <c r="D244" s="95">
        <v>6.9249999999999998</v>
      </c>
      <c r="E244" s="95">
        <v>6.5650000000000004</v>
      </c>
      <c r="F244" s="95">
        <v>6.5350000000000001</v>
      </c>
      <c r="G244" s="95">
        <v>6.5049999999999999</v>
      </c>
      <c r="H244" s="95">
        <v>6.5049999999999999</v>
      </c>
      <c r="I244" s="95">
        <v>6.5049999999999999</v>
      </c>
      <c r="J244" s="96">
        <v>17.7</v>
      </c>
      <c r="K244" s="100">
        <v>7</v>
      </c>
      <c r="L244" s="92" t="s">
        <v>85</v>
      </c>
      <c r="M244" s="407" t="s">
        <v>91</v>
      </c>
      <c r="N244" s="92"/>
      <c r="O244" s="92" t="s">
        <v>32</v>
      </c>
      <c r="P244" s="58"/>
      <c r="Q244" s="58"/>
      <c r="R244" s="58"/>
      <c r="S244" s="58"/>
      <c r="T244" s="58"/>
      <c r="U244" s="58"/>
      <c r="V244" s="58"/>
      <c r="W244" s="58"/>
    </row>
    <row r="245" spans="1:23" s="7" customFormat="1">
      <c r="A245" s="92" t="s">
        <v>154</v>
      </c>
      <c r="B245" s="92" t="s">
        <v>757</v>
      </c>
      <c r="C245" s="95">
        <v>19.015000000000001</v>
      </c>
      <c r="D245" s="95">
        <v>21.5</v>
      </c>
      <c r="E245" s="95">
        <v>20.8</v>
      </c>
      <c r="F245" s="95">
        <v>20.9</v>
      </c>
      <c r="G245" s="95">
        <v>20.399999999999999</v>
      </c>
      <c r="H245" s="95">
        <v>20.399999999999999</v>
      </c>
      <c r="I245" s="95">
        <v>20.399999999999999</v>
      </c>
      <c r="J245" s="96">
        <v>6.4</v>
      </c>
      <c r="K245" s="100">
        <v>7</v>
      </c>
      <c r="L245" s="92" t="s">
        <v>85</v>
      </c>
      <c r="M245" s="407" t="s">
        <v>155</v>
      </c>
      <c r="N245" s="92"/>
      <c r="O245" s="92" t="s">
        <v>33</v>
      </c>
      <c r="P245" s="58"/>
      <c r="Q245" s="58">
        <f>+$P245/100*C245</f>
        <v>0</v>
      </c>
      <c r="R245" s="58">
        <f>+$P245/100*D245</f>
        <v>0</v>
      </c>
      <c r="S245" s="58">
        <f>+$P245/100*E245</f>
        <v>0</v>
      </c>
      <c r="T245" s="58">
        <f>+$P245/100*F245</f>
        <v>0</v>
      </c>
      <c r="U245" s="58">
        <f>+$P245/100*G245</f>
        <v>0</v>
      </c>
      <c r="V245" s="58">
        <f t="shared" ref="V245" si="123">+$P245/100*H245</f>
        <v>0</v>
      </c>
      <c r="W245" s="58">
        <f t="shared" ref="W245" si="124">+$P245/100*I245</f>
        <v>0</v>
      </c>
    </row>
    <row r="246" spans="1:23" s="7" customFormat="1">
      <c r="A246" s="92" t="s">
        <v>432</v>
      </c>
      <c r="B246" s="92" t="s">
        <v>433</v>
      </c>
      <c r="C246" s="95">
        <v>0</v>
      </c>
      <c r="D246" s="95">
        <v>0</v>
      </c>
      <c r="E246" s="95">
        <v>7.3</v>
      </c>
      <c r="F246" s="95">
        <v>7.5</v>
      </c>
      <c r="G246" s="95">
        <v>7.5</v>
      </c>
      <c r="H246" s="95">
        <v>7</v>
      </c>
      <c r="I246" s="95">
        <v>7</v>
      </c>
      <c r="J246" s="96">
        <v>3.3</v>
      </c>
      <c r="K246" s="100">
        <v>7</v>
      </c>
      <c r="L246" s="92" t="s">
        <v>85</v>
      </c>
      <c r="M246" s="407" t="s">
        <v>33</v>
      </c>
      <c r="N246" s="92"/>
      <c r="O246" s="92" t="s">
        <v>33</v>
      </c>
      <c r="P246" s="58"/>
      <c r="Q246" s="58"/>
      <c r="R246" s="58"/>
      <c r="S246" s="58"/>
      <c r="T246" s="58"/>
      <c r="U246" s="58"/>
      <c r="V246" s="58"/>
      <c r="W246" s="58"/>
    </row>
    <row r="247" spans="1:23" s="7" customFormat="1">
      <c r="A247" s="92" t="s">
        <v>200</v>
      </c>
      <c r="B247" s="92" t="s">
        <v>204</v>
      </c>
      <c r="C247" s="95">
        <v>12.833</v>
      </c>
      <c r="D247" s="95">
        <v>13.97638139798746</v>
      </c>
      <c r="E247" s="95">
        <v>15.107169185114424</v>
      </c>
      <c r="F247" s="95">
        <v>15.107169185114424</v>
      </c>
      <c r="G247" s="95">
        <v>15.107169185114424</v>
      </c>
      <c r="H247" s="95">
        <v>15.107169185114424</v>
      </c>
      <c r="I247" s="95">
        <v>15.107169185114424</v>
      </c>
      <c r="J247" s="96">
        <v>95.5</v>
      </c>
      <c r="K247" s="100" t="s">
        <v>57</v>
      </c>
      <c r="L247" s="92" t="s">
        <v>90</v>
      </c>
      <c r="M247" s="407" t="s">
        <v>23</v>
      </c>
      <c r="N247" s="92"/>
      <c r="O247" s="92" t="s">
        <v>32</v>
      </c>
      <c r="P247" s="58"/>
      <c r="Q247" s="58"/>
      <c r="R247" s="58"/>
      <c r="S247" s="58"/>
      <c r="T247" s="58"/>
      <c r="U247" s="58"/>
      <c r="V247" s="58"/>
      <c r="W247" s="58"/>
    </row>
    <row r="248" spans="1:23" s="7" customFormat="1">
      <c r="A248" s="92"/>
      <c r="B248" s="92" t="s">
        <v>828</v>
      </c>
      <c r="C248" s="95">
        <v>0</v>
      </c>
      <c r="D248" s="95">
        <v>0</v>
      </c>
      <c r="E248" s="95">
        <v>17.399999999999999</v>
      </c>
      <c r="F248" s="95">
        <v>29.5</v>
      </c>
      <c r="G248" s="95">
        <v>3.4</v>
      </c>
      <c r="H248" s="95">
        <v>12.7</v>
      </c>
      <c r="I248" s="95">
        <v>12.5</v>
      </c>
      <c r="J248" s="96">
        <v>50</v>
      </c>
      <c r="K248" s="100">
        <v>7</v>
      </c>
      <c r="L248" s="92" t="s">
        <v>85</v>
      </c>
      <c r="M248" s="407" t="s">
        <v>816</v>
      </c>
      <c r="N248" s="92"/>
      <c r="O248" s="92" t="s">
        <v>33</v>
      </c>
      <c r="P248" s="171">
        <v>100</v>
      </c>
      <c r="Q248" s="58">
        <f t="shared" ref="Q248:W248" si="125">$P248*C248/100</f>
        <v>0</v>
      </c>
      <c r="R248" s="58">
        <f t="shared" si="125"/>
        <v>0</v>
      </c>
      <c r="S248" s="58">
        <f t="shared" si="125"/>
        <v>17.399999999999999</v>
      </c>
      <c r="T248" s="58">
        <f t="shared" si="125"/>
        <v>29.5</v>
      </c>
      <c r="U248" s="58">
        <f t="shared" si="125"/>
        <v>3.4</v>
      </c>
      <c r="V248" s="58">
        <f t="shared" si="125"/>
        <v>12.7</v>
      </c>
      <c r="W248" s="58">
        <f t="shared" si="125"/>
        <v>12.5</v>
      </c>
    </row>
    <row r="249" spans="1:23" s="68" customFormat="1" ht="14.4">
      <c r="B249" s="68" t="s">
        <v>68</v>
      </c>
      <c r="C249" s="97">
        <f t="shared" ref="C249:I249" si="126">SUM(C237:C248)</f>
        <v>515.93999999999994</v>
      </c>
      <c r="D249" s="97">
        <f t="shared" si="126"/>
        <v>487.99038139798739</v>
      </c>
      <c r="E249" s="97">
        <f t="shared" si="126"/>
        <v>469.30516918511444</v>
      </c>
      <c r="F249" s="97">
        <f t="shared" si="126"/>
        <v>431.05216918511439</v>
      </c>
      <c r="G249" s="97">
        <f t="shared" si="126"/>
        <v>351.06016918511438</v>
      </c>
      <c r="H249" s="97">
        <f t="shared" si="126"/>
        <v>339.54716918511434</v>
      </c>
      <c r="I249" s="97">
        <f t="shared" si="126"/>
        <v>321.77416918511437</v>
      </c>
      <c r="L249" s="20"/>
      <c r="M249" s="408"/>
      <c r="P249" s="99"/>
      <c r="Q249" s="98">
        <f>SUM(Q237:Q248)</f>
        <v>0</v>
      </c>
      <c r="R249" s="98">
        <f t="shared" ref="R249:W249" si="127">SUM(R237:R248)</f>
        <v>0</v>
      </c>
      <c r="S249" s="98">
        <f t="shared" si="127"/>
        <v>17.399999999999999</v>
      </c>
      <c r="T249" s="98">
        <f t="shared" si="127"/>
        <v>29.5</v>
      </c>
      <c r="U249" s="98">
        <f t="shared" si="127"/>
        <v>3.4</v>
      </c>
      <c r="V249" s="98">
        <f t="shared" si="127"/>
        <v>12.7</v>
      </c>
      <c r="W249" s="98">
        <f t="shared" si="127"/>
        <v>12.5</v>
      </c>
    </row>
    <row r="250" spans="1:23" s="68" customFormat="1" ht="14.4">
      <c r="C250" s="97"/>
      <c r="D250" s="97"/>
      <c r="E250" s="97"/>
      <c r="F250" s="97"/>
      <c r="G250" s="97"/>
      <c r="H250" s="97"/>
      <c r="I250" s="97"/>
      <c r="L250" s="20"/>
      <c r="M250" s="408"/>
      <c r="P250" s="99"/>
      <c r="Q250" s="98"/>
      <c r="R250" s="98"/>
      <c r="S250" s="98"/>
      <c r="T250" s="98"/>
      <c r="U250" s="98"/>
      <c r="V250" s="98"/>
      <c r="W250" s="98"/>
    </row>
    <row r="251" spans="1:23" s="15" customFormat="1" ht="14.4">
      <c r="A251" s="29"/>
      <c r="B251" s="25" t="s">
        <v>584</v>
      </c>
      <c r="C251" s="56"/>
      <c r="D251" s="56"/>
      <c r="E251" s="56"/>
      <c r="F251" s="56"/>
      <c r="G251" s="56"/>
      <c r="H251" s="56"/>
      <c r="I251" s="56"/>
      <c r="J251" s="29"/>
      <c r="K251" s="29"/>
      <c r="L251" s="80"/>
      <c r="M251" s="417"/>
      <c r="N251" s="29"/>
      <c r="O251" s="29"/>
      <c r="P251" s="25" t="s">
        <v>584</v>
      </c>
      <c r="Q251" s="51"/>
      <c r="R251" s="51"/>
      <c r="S251" s="51"/>
      <c r="T251" s="51"/>
      <c r="U251" s="51"/>
      <c r="V251" s="51"/>
      <c r="W251" s="51"/>
    </row>
    <row r="252" spans="1:23" s="170" customFormat="1" ht="14.4">
      <c r="A252" s="107">
        <v>2</v>
      </c>
      <c r="B252" s="92" t="s">
        <v>808</v>
      </c>
      <c r="C252" s="95">
        <v>0</v>
      </c>
      <c r="D252" s="95">
        <v>0</v>
      </c>
      <c r="E252" s="95">
        <v>227.59399999999999</v>
      </c>
      <c r="F252" s="95">
        <v>326.32799999999997</v>
      </c>
      <c r="G252" s="95">
        <v>250.34200000000001</v>
      </c>
      <c r="H252" s="95">
        <v>158.506</v>
      </c>
      <c r="I252" s="95">
        <v>36.192999999999998</v>
      </c>
      <c r="J252" s="117">
        <v>50</v>
      </c>
      <c r="K252" s="100" t="s">
        <v>811</v>
      </c>
      <c r="L252" s="95"/>
      <c r="M252" s="407" t="s">
        <v>812</v>
      </c>
      <c r="N252" s="92"/>
      <c r="O252" s="92" t="s">
        <v>33</v>
      </c>
      <c r="P252" s="158">
        <v>100</v>
      </c>
      <c r="Q252" s="58">
        <f t="shared" ref="Q252:W252" si="128">C252</f>
        <v>0</v>
      </c>
      <c r="R252" s="58">
        <f t="shared" si="128"/>
        <v>0</v>
      </c>
      <c r="S252" s="58">
        <f t="shared" si="128"/>
        <v>227.59399999999999</v>
      </c>
      <c r="T252" s="58">
        <f t="shared" si="128"/>
        <v>326.32799999999997</v>
      </c>
      <c r="U252" s="58">
        <f t="shared" si="128"/>
        <v>250.34200000000001</v>
      </c>
      <c r="V252" s="58">
        <f t="shared" si="128"/>
        <v>158.506</v>
      </c>
      <c r="W252" s="58">
        <f t="shared" si="128"/>
        <v>36.192999999999998</v>
      </c>
    </row>
    <row r="253" spans="1:23" s="170" customFormat="1" ht="14.4">
      <c r="A253" s="107">
        <v>2</v>
      </c>
      <c r="B253" s="92" t="s">
        <v>809</v>
      </c>
      <c r="C253" s="95">
        <v>0</v>
      </c>
      <c r="D253" s="95">
        <v>0</v>
      </c>
      <c r="E253" s="95">
        <v>52.149000000000001</v>
      </c>
      <c r="F253" s="95">
        <v>194.327</v>
      </c>
      <c r="G253" s="95">
        <v>105.059</v>
      </c>
      <c r="H253" s="95">
        <v>131.31700000000001</v>
      </c>
      <c r="I253" s="95">
        <v>104.4045</v>
      </c>
      <c r="J253" s="117">
        <v>50</v>
      </c>
      <c r="K253" s="100" t="s">
        <v>811</v>
      </c>
      <c r="L253" s="95"/>
      <c r="M253" s="407" t="s">
        <v>812</v>
      </c>
      <c r="N253" s="92"/>
      <c r="O253" s="92" t="s">
        <v>33</v>
      </c>
      <c r="P253" s="158">
        <v>100</v>
      </c>
      <c r="Q253" s="58">
        <f t="shared" ref="Q253:Q254" si="129">C253</f>
        <v>0</v>
      </c>
      <c r="R253" s="58">
        <f t="shared" ref="R253:R254" si="130">D253</f>
        <v>0</v>
      </c>
      <c r="S253" s="58">
        <f t="shared" ref="S253:S254" si="131">E253</f>
        <v>52.149000000000001</v>
      </c>
      <c r="T253" s="58">
        <f t="shared" ref="T253:T254" si="132">F253</f>
        <v>194.327</v>
      </c>
      <c r="U253" s="58">
        <f t="shared" ref="U253:U254" si="133">G253</f>
        <v>105.059</v>
      </c>
      <c r="V253" s="58">
        <f t="shared" ref="V253:V254" si="134">H253</f>
        <v>131.31700000000001</v>
      </c>
      <c r="W253" s="58">
        <f t="shared" ref="W253:W254" si="135">I253</f>
        <v>104.4045</v>
      </c>
    </row>
    <row r="254" spans="1:23" s="170" customFormat="1" ht="14.4">
      <c r="A254" s="107">
        <v>2</v>
      </c>
      <c r="B254" s="92" t="s">
        <v>810</v>
      </c>
      <c r="C254" s="95">
        <v>0</v>
      </c>
      <c r="D254" s="95">
        <v>0</v>
      </c>
      <c r="E254" s="378">
        <v>100</v>
      </c>
      <c r="F254" s="378">
        <v>200</v>
      </c>
      <c r="G254" s="378">
        <v>300</v>
      </c>
      <c r="H254" s="378">
        <v>400</v>
      </c>
      <c r="I254" s="378">
        <v>500</v>
      </c>
      <c r="J254" s="117">
        <v>50</v>
      </c>
      <c r="K254" s="100" t="s">
        <v>811</v>
      </c>
      <c r="L254" s="95"/>
      <c r="M254" s="407" t="s">
        <v>812</v>
      </c>
      <c r="N254" s="92"/>
      <c r="O254" s="92" t="s">
        <v>33</v>
      </c>
      <c r="P254" s="158">
        <v>100</v>
      </c>
      <c r="Q254" s="58">
        <f t="shared" si="129"/>
        <v>0</v>
      </c>
      <c r="R254" s="58">
        <f t="shared" si="130"/>
        <v>0</v>
      </c>
      <c r="S254" s="58">
        <f t="shared" si="131"/>
        <v>100</v>
      </c>
      <c r="T254" s="58">
        <f t="shared" si="132"/>
        <v>200</v>
      </c>
      <c r="U254" s="58">
        <f t="shared" si="133"/>
        <v>300</v>
      </c>
      <c r="V254" s="58">
        <f t="shared" si="134"/>
        <v>400</v>
      </c>
      <c r="W254" s="58">
        <f t="shared" si="135"/>
        <v>500</v>
      </c>
    </row>
    <row r="255" spans="1:23" s="170" customFormat="1" ht="14.4">
      <c r="B255" s="68" t="s">
        <v>588</v>
      </c>
      <c r="C255" s="97">
        <f t="shared" ref="C255:I255" si="136">SUM(C252:C254)</f>
        <v>0</v>
      </c>
      <c r="D255" s="97">
        <f t="shared" si="136"/>
        <v>0</v>
      </c>
      <c r="E255" s="379">
        <f>SUM(E252:E254)</f>
        <v>379.74299999999999</v>
      </c>
      <c r="F255" s="379">
        <f t="shared" si="136"/>
        <v>720.65499999999997</v>
      </c>
      <c r="G255" s="379">
        <f t="shared" si="136"/>
        <v>655.40100000000007</v>
      </c>
      <c r="H255" s="379">
        <f t="shared" si="136"/>
        <v>689.82299999999998</v>
      </c>
      <c r="I255" s="379">
        <f t="shared" si="136"/>
        <v>640.59749999999997</v>
      </c>
      <c r="K255" s="100"/>
      <c r="L255" s="92"/>
      <c r="M255" s="407"/>
      <c r="N255" s="92"/>
      <c r="O255" s="92"/>
      <c r="P255" s="158"/>
      <c r="Q255" s="98">
        <f>SUM(Q252:Q254)</f>
        <v>0</v>
      </c>
      <c r="R255" s="98">
        <f t="shared" ref="R255:W255" si="137">SUM(R252:R254)</f>
        <v>0</v>
      </c>
      <c r="S255" s="98">
        <f t="shared" si="137"/>
        <v>379.74299999999999</v>
      </c>
      <c r="T255" s="98">
        <f t="shared" si="137"/>
        <v>720.65499999999997</v>
      </c>
      <c r="U255" s="98">
        <f t="shared" si="137"/>
        <v>655.40100000000007</v>
      </c>
      <c r="V255" s="98">
        <f t="shared" si="137"/>
        <v>689.82299999999998</v>
      </c>
      <c r="W255" s="98">
        <f t="shared" si="137"/>
        <v>640.59749999999997</v>
      </c>
    </row>
    <row r="256" spans="1:23" s="7" customFormat="1" ht="14.4">
      <c r="A256" s="215"/>
      <c r="B256" s="68"/>
      <c r="C256" s="97"/>
      <c r="D256" s="97"/>
      <c r="E256" s="97"/>
      <c r="F256" s="97"/>
      <c r="G256" s="97"/>
      <c r="H256" s="97"/>
      <c r="I256" s="97"/>
      <c r="M256" s="404"/>
      <c r="P256" s="61"/>
      <c r="Q256" s="58"/>
      <c r="R256" s="58"/>
      <c r="S256" s="58"/>
      <c r="T256" s="58"/>
      <c r="U256" s="58"/>
      <c r="V256" s="58"/>
      <c r="W256" s="58"/>
    </row>
    <row r="257" spans="1:26" s="1" customFormat="1" ht="15.6">
      <c r="A257" s="30"/>
      <c r="B257" s="31" t="s">
        <v>66</v>
      </c>
      <c r="C257" s="32">
        <f>C8+C18+C25+C31+C68+C79+C114+C193+C225+C234+C249+C255</f>
        <v>6847.0641661142872</v>
      </c>
      <c r="D257" s="32">
        <f>D8+D18+D25+D31+D68+D79+D114+D193+D225+D234+D249+D255</f>
        <v>7766.5633075262876</v>
      </c>
      <c r="E257" s="421">
        <f>E8+E18+E25+E31+E68+E79+E114+E193+E225+E234+E249+E255</f>
        <v>8869.5237741863202</v>
      </c>
      <c r="F257" s="421">
        <f>F8+F18+F25+F31+F68+F79+F114+F193+F225+F234+F249+F255</f>
        <v>8994.2118678116803</v>
      </c>
      <c r="G257" s="421">
        <f>G8+G18+G25+G31+G68+G79+G114+G193+G225+G234+G249+G255</f>
        <v>8850.1566594277792</v>
      </c>
      <c r="H257" s="421">
        <f>H8+H18+H25+H31+H68+H79+H114+H193+H225+H234+H249+H255</f>
        <v>8589.4213995339887</v>
      </c>
      <c r="I257" s="421">
        <f>I8+I18+I25+I31+I68+I79+I114+I193+I225+I234+I249+I255</f>
        <v>8361.4684158237433</v>
      </c>
      <c r="J257" s="14"/>
      <c r="K257" s="14"/>
      <c r="L257" s="14"/>
      <c r="M257" s="406"/>
      <c r="N257" s="14"/>
      <c r="O257" s="14"/>
      <c r="P257" s="14"/>
      <c r="Q257" s="51">
        <f>+Q8+Q18+Q25+Q31+Q68+Q79+Q114+Q193+Q225+Q234+Q249+Q255</f>
        <v>1314.9775103999998</v>
      </c>
      <c r="R257" s="51">
        <f>+R8+R18+R25+R31+R68+R79+R114+R193+R225+R234+R249+R255</f>
        <v>1555.5556939000001</v>
      </c>
      <c r="S257" s="51">
        <f>+S8+S18+S25+S31+S68+S79+S114+S193+S225+S234+S249+S255</f>
        <v>2486.0598884999995</v>
      </c>
      <c r="T257" s="51">
        <f>+T8+T18+T25+T31+T68+T79+T114+T193+T225+T234+T249+T255</f>
        <v>2773.044449</v>
      </c>
      <c r="U257" s="51">
        <f>+U8+U18+U25+U31+U68+U79+U114+U193+U225+U234+U249+U255</f>
        <v>2738.7572115000003</v>
      </c>
      <c r="V257" s="51">
        <f>+V8+V18+V25+V31+V68+V79+V114+V193+V225+V234+V249+V255</f>
        <v>2527.9966680000002</v>
      </c>
      <c r="W257" s="51">
        <f>+W8+W18+W25+W31+W68+W79+W114+W193+W225+W234+W249+W255</f>
        <v>2319.3163454999999</v>
      </c>
    </row>
    <row r="258" spans="1:26">
      <c r="C258" s="364"/>
      <c r="D258" s="364"/>
      <c r="E258" s="364"/>
      <c r="F258" s="364"/>
      <c r="G258" s="364"/>
      <c r="H258" s="364"/>
      <c r="I258" s="364"/>
      <c r="J258" s="5"/>
    </row>
    <row r="259" spans="1:26" ht="14.4">
      <c r="B259" s="3" t="s">
        <v>137</v>
      </c>
      <c r="P259" s="86" t="s">
        <v>243</v>
      </c>
    </row>
    <row r="260" spans="1:26" s="7" customFormat="1">
      <c r="B260" s="20"/>
      <c r="C260" s="20">
        <f t="shared" ref="C260:I260" si="138">C4</f>
        <v>2021</v>
      </c>
      <c r="D260" s="20">
        <f t="shared" si="138"/>
        <v>2022</v>
      </c>
      <c r="E260" s="20">
        <f t="shared" si="138"/>
        <v>2023</v>
      </c>
      <c r="F260" s="20">
        <f t="shared" si="138"/>
        <v>2024</v>
      </c>
      <c r="G260" s="20">
        <f t="shared" si="138"/>
        <v>2025</v>
      </c>
      <c r="H260" s="20">
        <f t="shared" si="138"/>
        <v>2026</v>
      </c>
      <c r="I260" s="20">
        <f t="shared" si="138"/>
        <v>2027</v>
      </c>
      <c r="K260" s="20" t="s">
        <v>742</v>
      </c>
      <c r="L260" s="154" t="s">
        <v>520</v>
      </c>
      <c r="M260" s="418" t="s">
        <v>519</v>
      </c>
      <c r="N260" s="356"/>
      <c r="P260" s="61"/>
      <c r="Q260" s="20">
        <f t="shared" ref="Q260:W260" si="139">C260</f>
        <v>2021</v>
      </c>
      <c r="R260" s="20">
        <f t="shared" si="139"/>
        <v>2022</v>
      </c>
      <c r="S260" s="20">
        <f t="shared" si="139"/>
        <v>2023</v>
      </c>
      <c r="T260" s="20">
        <f t="shared" si="139"/>
        <v>2024</v>
      </c>
      <c r="U260" s="20">
        <f t="shared" si="139"/>
        <v>2025</v>
      </c>
      <c r="V260" s="20">
        <f t="shared" si="139"/>
        <v>2026</v>
      </c>
      <c r="W260" s="20">
        <f t="shared" si="139"/>
        <v>2027</v>
      </c>
      <c r="Y260" s="20"/>
      <c r="Z260" s="154"/>
    </row>
    <row r="261" spans="1:26" s="7" customFormat="1">
      <c r="B261" s="7" t="s">
        <v>129</v>
      </c>
      <c r="C261" s="83">
        <f t="shared" ref="C261:I261" si="140">C8</f>
        <v>0.72</v>
      </c>
      <c r="D261" s="83">
        <f t="shared" si="140"/>
        <v>0.59399999999999997</v>
      </c>
      <c r="E261" s="83">
        <f t="shared" si="140"/>
        <v>0.59399999999999997</v>
      </c>
      <c r="F261" s="83">
        <f t="shared" si="140"/>
        <v>0.59399999999999997</v>
      </c>
      <c r="G261" s="83">
        <f t="shared" si="140"/>
        <v>0.59399999999999997</v>
      </c>
      <c r="H261" s="83">
        <f t="shared" si="140"/>
        <v>0.59399999999999997</v>
      </c>
      <c r="I261" s="83">
        <f t="shared" si="140"/>
        <v>0.59399999999999997</v>
      </c>
      <c r="K261" s="38">
        <f t="shared" ref="K261:K273" si="141">+I261-C261</f>
        <v>-0.126</v>
      </c>
      <c r="L261" s="172">
        <f t="shared" ref="L261:L273" si="142">+(I261-C261)/C261*100</f>
        <v>-17.5</v>
      </c>
      <c r="M261" s="419">
        <f t="shared" ref="M261:M273" si="143">E261/E$273</f>
        <v>6.6970901158049242E-5</v>
      </c>
      <c r="N261" s="357"/>
      <c r="P261" s="61" t="s">
        <v>143</v>
      </c>
      <c r="Q261" s="38">
        <f t="shared" ref="Q261:W261" si="144">+Q8</f>
        <v>0</v>
      </c>
      <c r="R261" s="38">
        <f t="shared" si="144"/>
        <v>0</v>
      </c>
      <c r="S261" s="38">
        <f t="shared" si="144"/>
        <v>0</v>
      </c>
      <c r="T261" s="38">
        <f t="shared" si="144"/>
        <v>0</v>
      </c>
      <c r="U261" s="38">
        <f t="shared" si="144"/>
        <v>0</v>
      </c>
      <c r="V261" s="38">
        <f t="shared" si="144"/>
        <v>0</v>
      </c>
      <c r="W261" s="38">
        <f t="shared" si="144"/>
        <v>0</v>
      </c>
      <c r="Y261" s="38"/>
      <c r="Z261" s="172"/>
    </row>
    <row r="262" spans="1:26" s="7" customFormat="1">
      <c r="B262" s="7" t="s">
        <v>130</v>
      </c>
      <c r="C262" s="83">
        <f t="shared" ref="C262:I262" si="145">C18</f>
        <v>46.192</v>
      </c>
      <c r="D262" s="83">
        <f t="shared" si="145"/>
        <v>118.85999999999999</v>
      </c>
      <c r="E262" s="83">
        <f t="shared" si="145"/>
        <v>45.067000000000007</v>
      </c>
      <c r="F262" s="83">
        <f t="shared" si="145"/>
        <v>41.980000000000004</v>
      </c>
      <c r="G262" s="83">
        <f t="shared" si="145"/>
        <v>41.285000000000004</v>
      </c>
      <c r="H262" s="83">
        <f t="shared" si="145"/>
        <v>41.027000000000008</v>
      </c>
      <c r="I262" s="83">
        <f t="shared" si="145"/>
        <v>41.027000000000008</v>
      </c>
      <c r="K262" s="38">
        <f t="shared" si="141"/>
        <v>-5.164999999999992</v>
      </c>
      <c r="L262" s="172">
        <f t="shared" si="142"/>
        <v>-11.181589885694475</v>
      </c>
      <c r="M262" s="419">
        <f t="shared" si="143"/>
        <v>5.0811070748986633E-3</v>
      </c>
      <c r="N262" s="357"/>
      <c r="P262" s="61" t="s">
        <v>144</v>
      </c>
      <c r="Q262" s="38">
        <f t="shared" ref="Q262:W262" si="146">+Q18</f>
        <v>0</v>
      </c>
      <c r="R262" s="38">
        <f t="shared" si="146"/>
        <v>0</v>
      </c>
      <c r="S262" s="38">
        <f t="shared" si="146"/>
        <v>0</v>
      </c>
      <c r="T262" s="38">
        <f t="shared" si="146"/>
        <v>0</v>
      </c>
      <c r="U262" s="38">
        <f t="shared" si="146"/>
        <v>0</v>
      </c>
      <c r="V262" s="38">
        <f t="shared" si="146"/>
        <v>0</v>
      </c>
      <c r="W262" s="38">
        <f t="shared" si="146"/>
        <v>0</v>
      </c>
      <c r="Y262" s="38"/>
      <c r="Z262" s="172"/>
    </row>
    <row r="263" spans="1:26" s="7" customFormat="1">
      <c r="B263" s="7" t="s">
        <v>392</v>
      </c>
      <c r="C263" s="83">
        <f t="shared" ref="C263:I263" si="147">C25</f>
        <v>24.02805</v>
      </c>
      <c r="D263" s="83">
        <f t="shared" si="147"/>
        <v>24.780499999999996</v>
      </c>
      <c r="E263" s="83">
        <f t="shared" si="147"/>
        <v>25.78285</v>
      </c>
      <c r="F263" s="83">
        <f t="shared" si="147"/>
        <v>25.886900000000001</v>
      </c>
      <c r="G263" s="83">
        <f t="shared" si="147"/>
        <v>25.234249999999999</v>
      </c>
      <c r="H263" s="83">
        <f t="shared" si="147"/>
        <v>25.100099999999998</v>
      </c>
      <c r="I263" s="83">
        <f t="shared" si="147"/>
        <v>25.085599999999999</v>
      </c>
      <c r="K263" s="38">
        <f t="shared" si="141"/>
        <v>1.0575499999999991</v>
      </c>
      <c r="L263" s="172">
        <f t="shared" si="142"/>
        <v>4.4013142972484198</v>
      </c>
      <c r="M263" s="419">
        <f t="shared" si="143"/>
        <v>2.9069035335400843E-3</v>
      </c>
      <c r="N263" s="357"/>
      <c r="P263" s="61" t="s">
        <v>395</v>
      </c>
      <c r="Q263" s="38">
        <f t="shared" ref="Q263:W263" si="148">+Q25</f>
        <v>3.9662864999999998</v>
      </c>
      <c r="R263" s="38">
        <f t="shared" si="148"/>
        <v>3.9169349999999996</v>
      </c>
      <c r="S263" s="38">
        <f t="shared" si="148"/>
        <v>4.2916005000000004</v>
      </c>
      <c r="T263" s="38">
        <f t="shared" si="148"/>
        <v>4.3265970000000005</v>
      </c>
      <c r="U263" s="38">
        <f t="shared" si="148"/>
        <v>4.1320125000000001</v>
      </c>
      <c r="V263" s="38">
        <f t="shared" si="148"/>
        <v>4.0874129999999997</v>
      </c>
      <c r="W263" s="38">
        <f t="shared" si="148"/>
        <v>4.085928</v>
      </c>
      <c r="Y263" s="38"/>
      <c r="Z263" s="172"/>
    </row>
    <row r="264" spans="1:26" s="7" customFormat="1">
      <c r="B264" s="7" t="s">
        <v>131</v>
      </c>
      <c r="C264" s="83">
        <f t="shared" ref="C264:I264" si="149">C31</f>
        <v>11.148</v>
      </c>
      <c r="D264" s="83">
        <f t="shared" si="149"/>
        <v>11.643000000000001</v>
      </c>
      <c r="E264" s="83">
        <f t="shared" si="149"/>
        <v>10.194000000000001</v>
      </c>
      <c r="F264" s="83">
        <f t="shared" si="149"/>
        <v>9.8640000000000008</v>
      </c>
      <c r="G264" s="83">
        <f t="shared" si="149"/>
        <v>9.8140000000000001</v>
      </c>
      <c r="H264" s="83">
        <f t="shared" si="149"/>
        <v>9.9610000000000003</v>
      </c>
      <c r="I264" s="83">
        <f t="shared" si="149"/>
        <v>9.9610000000000003</v>
      </c>
      <c r="K264" s="358">
        <f t="shared" si="141"/>
        <v>-1.1869999999999994</v>
      </c>
      <c r="L264" s="172">
        <f t="shared" si="142"/>
        <v>-10.647649802655179</v>
      </c>
      <c r="M264" s="419">
        <f t="shared" si="143"/>
        <v>1.1493288996719767E-3</v>
      </c>
      <c r="N264" s="357"/>
      <c r="P264" s="61" t="s">
        <v>145</v>
      </c>
      <c r="Q264" s="38">
        <f t="shared" ref="Q264:W264" si="150">+Q31</f>
        <v>1.1148000000000002</v>
      </c>
      <c r="R264" s="38">
        <f t="shared" si="150"/>
        <v>1.1643000000000001</v>
      </c>
      <c r="S264" s="38">
        <f t="shared" si="150"/>
        <v>1.0194000000000001</v>
      </c>
      <c r="T264" s="38">
        <f t="shared" si="150"/>
        <v>0.98640000000000017</v>
      </c>
      <c r="U264" s="38">
        <f t="shared" si="150"/>
        <v>0.98140000000000005</v>
      </c>
      <c r="V264" s="38">
        <f t="shared" si="150"/>
        <v>0.9961000000000001</v>
      </c>
      <c r="W264" s="38">
        <f t="shared" si="150"/>
        <v>0.9961000000000001</v>
      </c>
      <c r="Y264" s="358"/>
      <c r="Z264" s="172"/>
    </row>
    <row r="265" spans="1:26" s="7" customFormat="1">
      <c r="B265" s="7" t="s">
        <v>132</v>
      </c>
      <c r="C265" s="38">
        <f t="shared" ref="C265:I265" si="151">C68</f>
        <v>4853.8555478942872</v>
      </c>
      <c r="D265" s="38">
        <f t="shared" si="151"/>
        <v>5323.6829311283</v>
      </c>
      <c r="E265" s="38">
        <f t="shared" si="151"/>
        <v>5598.7826800012053</v>
      </c>
      <c r="F265" s="38">
        <f t="shared" si="151"/>
        <v>5522.1582436265653</v>
      </c>
      <c r="G265" s="38">
        <f t="shared" si="151"/>
        <v>5513.5734052426642</v>
      </c>
      <c r="H265" s="38">
        <f t="shared" si="151"/>
        <v>5527.106280348874</v>
      </c>
      <c r="I265" s="38">
        <f t="shared" si="151"/>
        <v>5541.4425216386289</v>
      </c>
      <c r="K265" s="38">
        <f t="shared" si="141"/>
        <v>687.58697374434178</v>
      </c>
      <c r="L265" s="172">
        <f t="shared" si="142"/>
        <v>14.165789792459577</v>
      </c>
      <c r="M265" s="419">
        <f t="shared" si="143"/>
        <v>0.63123825162922365</v>
      </c>
      <c r="N265" s="357"/>
      <c r="P265" s="61" t="s">
        <v>146</v>
      </c>
      <c r="Q265" s="38">
        <f t="shared" ref="Q265:W265" si="152">+Q68</f>
        <v>308.39999999999998</v>
      </c>
      <c r="R265" s="38">
        <f t="shared" si="152"/>
        <v>309.53999999999996</v>
      </c>
      <c r="S265" s="38">
        <f t="shared" si="152"/>
        <v>356.12</v>
      </c>
      <c r="T265" s="38">
        <f t="shared" si="152"/>
        <v>351.14</v>
      </c>
      <c r="U265" s="38">
        <f t="shared" si="152"/>
        <v>308.39999999999998</v>
      </c>
      <c r="V265" s="38">
        <f t="shared" si="152"/>
        <v>308.39999999999998</v>
      </c>
      <c r="W265" s="38">
        <f t="shared" si="152"/>
        <v>308.39999999999998</v>
      </c>
      <c r="Y265" s="38"/>
      <c r="Z265" s="172"/>
    </row>
    <row r="266" spans="1:26" s="7" customFormat="1">
      <c r="B266" s="7" t="s">
        <v>46</v>
      </c>
      <c r="C266" s="83">
        <f t="shared" ref="C266:I266" si="153">C79</f>
        <v>189.76399999999998</v>
      </c>
      <c r="D266" s="83">
        <f t="shared" si="153"/>
        <v>180.50500000000002</v>
      </c>
      <c r="E266" s="83">
        <f t="shared" si="153"/>
        <v>252.70399999999998</v>
      </c>
      <c r="F266" s="83">
        <f t="shared" si="153"/>
        <v>251.84300000000002</v>
      </c>
      <c r="G266" s="83">
        <f t="shared" si="153"/>
        <v>261.392</v>
      </c>
      <c r="H266" s="83">
        <f t="shared" si="153"/>
        <v>268.35000000000002</v>
      </c>
      <c r="I266" s="83">
        <f t="shared" si="153"/>
        <v>273.39500000000004</v>
      </c>
      <c r="K266" s="38">
        <f t="shared" si="141"/>
        <v>83.631000000000057</v>
      </c>
      <c r="L266" s="172">
        <f t="shared" si="142"/>
        <v>44.071056680930035</v>
      </c>
      <c r="M266" s="419">
        <f t="shared" si="143"/>
        <v>2.849127038088161E-2</v>
      </c>
      <c r="N266" s="357"/>
      <c r="P266" s="61" t="s">
        <v>147</v>
      </c>
      <c r="Q266" s="38">
        <f t="shared" ref="Q266:W266" si="154">+Q79</f>
        <v>136.535</v>
      </c>
      <c r="R266" s="38">
        <f t="shared" si="154"/>
        <v>125.96000000000001</v>
      </c>
      <c r="S266" s="38">
        <f t="shared" si="154"/>
        <v>177.00899999999999</v>
      </c>
      <c r="T266" s="38">
        <f t="shared" si="154"/>
        <v>165.93600000000001</v>
      </c>
      <c r="U266" s="38">
        <f t="shared" si="154"/>
        <v>165.90900000000002</v>
      </c>
      <c r="V266" s="38">
        <f t="shared" si="154"/>
        <v>170.886</v>
      </c>
      <c r="W266" s="38">
        <f t="shared" si="154"/>
        <v>175.93100000000001</v>
      </c>
      <c r="Y266" s="38"/>
      <c r="Z266" s="172"/>
    </row>
    <row r="267" spans="1:26" s="7" customFormat="1">
      <c r="B267" s="7" t="s">
        <v>393</v>
      </c>
      <c r="C267" s="83">
        <f t="shared" ref="C267:I267" si="155">C114</f>
        <v>89.150020999999995</v>
      </c>
      <c r="D267" s="83">
        <f t="shared" si="155"/>
        <v>117.82799999999999</v>
      </c>
      <c r="E267" s="83">
        <f t="shared" si="155"/>
        <v>155.89899999999997</v>
      </c>
      <c r="F267" s="83">
        <f t="shared" si="155"/>
        <v>170.41799999999998</v>
      </c>
      <c r="G267" s="83">
        <f t="shared" si="155"/>
        <v>147.62599999999998</v>
      </c>
      <c r="H267" s="83">
        <f t="shared" si="155"/>
        <v>146.02499999999998</v>
      </c>
      <c r="I267" s="83">
        <f t="shared" si="155"/>
        <v>119.48699999999999</v>
      </c>
      <c r="K267" s="38">
        <f t="shared" si="141"/>
        <v>30.336978999999999</v>
      </c>
      <c r="L267" s="172">
        <f t="shared" si="142"/>
        <v>34.029132758140349</v>
      </c>
      <c r="M267" s="419">
        <f t="shared" si="143"/>
        <v>1.757693016774195E-2</v>
      </c>
      <c r="N267" s="357"/>
      <c r="P267" s="61" t="s">
        <v>396</v>
      </c>
      <c r="Q267" s="38">
        <f t="shared" ref="Q267:W267" si="156">+Q114</f>
        <v>0</v>
      </c>
      <c r="R267" s="38">
        <f t="shared" si="156"/>
        <v>13.173999999999999</v>
      </c>
      <c r="S267" s="38">
        <f t="shared" si="156"/>
        <v>63.023000000000003</v>
      </c>
      <c r="T267" s="38">
        <f t="shared" si="156"/>
        <v>82.14</v>
      </c>
      <c r="U267" s="38">
        <f t="shared" si="156"/>
        <v>59.933999999999997</v>
      </c>
      <c r="V267" s="38">
        <f t="shared" si="156"/>
        <v>60.536999999999999</v>
      </c>
      <c r="W267" s="38">
        <f t="shared" si="156"/>
        <v>38.725000000000001</v>
      </c>
      <c r="Y267" s="38"/>
      <c r="Z267" s="172"/>
    </row>
    <row r="268" spans="1:26" s="7" customFormat="1">
      <c r="B268" s="7" t="s">
        <v>394</v>
      </c>
      <c r="C268" s="83">
        <f t="shared" ref="C268:I268" si="157">C193</f>
        <v>865.25767999999982</v>
      </c>
      <c r="D268" s="83">
        <f t="shared" si="157"/>
        <v>1233.1829949999999</v>
      </c>
      <c r="E268" s="83">
        <f t="shared" si="157"/>
        <v>1613.3165250000002</v>
      </c>
      <c r="F268" s="83">
        <f t="shared" si="157"/>
        <v>1514.2012550000009</v>
      </c>
      <c r="G268" s="83">
        <f t="shared" si="157"/>
        <v>1551.330235000001</v>
      </c>
      <c r="H268" s="83">
        <f t="shared" si="157"/>
        <v>1251.3448000000001</v>
      </c>
      <c r="I268" s="83">
        <f t="shared" si="157"/>
        <v>1102.2818249999998</v>
      </c>
      <c r="K268" s="38">
        <f t="shared" si="141"/>
        <v>237.02414499999998</v>
      </c>
      <c r="L268" s="172">
        <f t="shared" si="142"/>
        <v>27.393474854797017</v>
      </c>
      <c r="M268" s="419">
        <f t="shared" si="143"/>
        <v>0.18189437968421299</v>
      </c>
      <c r="N268" s="357"/>
      <c r="P268" s="61" t="s">
        <v>397</v>
      </c>
      <c r="Q268" s="172">
        <f t="shared" ref="Q268:W268" si="158">Q193</f>
        <v>712.89379889999987</v>
      </c>
      <c r="R268" s="172">
        <f t="shared" si="158"/>
        <v>938.84612140000002</v>
      </c>
      <c r="S268" s="172">
        <f t="shared" si="158"/>
        <v>1274.1292129999997</v>
      </c>
      <c r="T268" s="172">
        <f t="shared" si="158"/>
        <v>1214.3029895000002</v>
      </c>
      <c r="U268" s="172">
        <f t="shared" si="158"/>
        <v>1346.8327865000001</v>
      </c>
      <c r="V268" s="172">
        <f t="shared" si="158"/>
        <v>1094.1411800000001</v>
      </c>
      <c r="W268" s="172">
        <f t="shared" si="158"/>
        <v>957.12009250000017</v>
      </c>
      <c r="Y268" s="38"/>
      <c r="Z268" s="172"/>
    </row>
    <row r="269" spans="1:26" s="7" customFormat="1">
      <c r="B269" s="7" t="s">
        <v>473</v>
      </c>
      <c r="C269" s="83">
        <f t="shared" ref="C269:I269" si="159">C225</f>
        <v>238.72300000000004</v>
      </c>
      <c r="D269" s="83">
        <f t="shared" si="159"/>
        <v>254.85749999999999</v>
      </c>
      <c r="E269" s="83">
        <f t="shared" si="159"/>
        <v>304.34654999999998</v>
      </c>
      <c r="F269" s="83">
        <f t="shared" si="159"/>
        <v>293.88229999999999</v>
      </c>
      <c r="G269" s="83">
        <f t="shared" si="159"/>
        <v>282.26630000000006</v>
      </c>
      <c r="H269" s="83">
        <f t="shared" si="159"/>
        <v>273.81105000000002</v>
      </c>
      <c r="I269" s="83">
        <f t="shared" si="159"/>
        <v>266.56480000000005</v>
      </c>
      <c r="K269" s="38">
        <f t="shared" si="141"/>
        <v>27.841800000000006</v>
      </c>
      <c r="L269" s="172">
        <f t="shared" si="142"/>
        <v>11.662805846106156</v>
      </c>
      <c r="M269" s="419">
        <f t="shared" si="143"/>
        <v>3.4313741949231133E-2</v>
      </c>
      <c r="N269" s="357"/>
      <c r="P269" s="61" t="s">
        <v>477</v>
      </c>
      <c r="Q269" s="38">
        <f t="shared" ref="Q269:W269" si="160">Q225</f>
        <v>152.06762499999996</v>
      </c>
      <c r="R269" s="38">
        <f t="shared" si="160"/>
        <v>162.95433750000001</v>
      </c>
      <c r="S269" s="38">
        <f t="shared" si="160"/>
        <v>213.32467500000001</v>
      </c>
      <c r="T269" s="38">
        <f t="shared" si="160"/>
        <v>204.05746249999996</v>
      </c>
      <c r="U269" s="38">
        <f t="shared" si="160"/>
        <v>193.76701250000002</v>
      </c>
      <c r="V269" s="38">
        <f t="shared" si="160"/>
        <v>186.42597499999999</v>
      </c>
      <c r="W269" s="38">
        <f t="shared" si="160"/>
        <v>180.960725</v>
      </c>
      <c r="Y269" s="38"/>
      <c r="Z269" s="172"/>
    </row>
    <row r="270" spans="1:26" s="7" customFormat="1">
      <c r="B270" s="7" t="s">
        <v>133</v>
      </c>
      <c r="C270" s="83">
        <f t="shared" ref="C270:I270" si="161">C234</f>
        <v>12.28586722</v>
      </c>
      <c r="D270" s="83">
        <f t="shared" si="161"/>
        <v>12.638999999999999</v>
      </c>
      <c r="E270" s="83">
        <f t="shared" si="161"/>
        <v>13.789000000000001</v>
      </c>
      <c r="F270" s="83">
        <f t="shared" si="161"/>
        <v>11.677</v>
      </c>
      <c r="G270" s="83">
        <f t="shared" si="161"/>
        <v>10.580299999999999</v>
      </c>
      <c r="H270" s="83">
        <f t="shared" si="161"/>
        <v>16.731999999999999</v>
      </c>
      <c r="I270" s="83">
        <f t="shared" si="161"/>
        <v>19.257999999999999</v>
      </c>
      <c r="K270" s="38">
        <f t="shared" si="141"/>
        <v>6.972132779999999</v>
      </c>
      <c r="L270" s="172">
        <f t="shared" si="142"/>
        <v>56.749211554640254</v>
      </c>
      <c r="M270" s="419">
        <f t="shared" si="143"/>
        <v>1.5546494209904733E-3</v>
      </c>
      <c r="N270" s="357"/>
      <c r="P270" s="61" t="s">
        <v>148</v>
      </c>
      <c r="Q270" s="38">
        <f t="shared" ref="Q270:W270" si="162">+Q234</f>
        <v>0</v>
      </c>
      <c r="R270" s="38">
        <f t="shared" si="162"/>
        <v>0</v>
      </c>
      <c r="S270" s="38">
        <f t="shared" si="162"/>
        <v>0</v>
      </c>
      <c r="T270" s="38">
        <f t="shared" si="162"/>
        <v>0</v>
      </c>
      <c r="U270" s="38">
        <f t="shared" si="162"/>
        <v>0</v>
      </c>
      <c r="V270" s="38">
        <f t="shared" si="162"/>
        <v>0</v>
      </c>
      <c r="W270" s="38">
        <f t="shared" si="162"/>
        <v>0</v>
      </c>
      <c r="Y270" s="38"/>
      <c r="Z270" s="172"/>
    </row>
    <row r="271" spans="1:26" s="7" customFormat="1">
      <c r="B271" s="7" t="s">
        <v>134</v>
      </c>
      <c r="C271" s="83">
        <f t="shared" ref="C271:I271" si="163">C249</f>
        <v>515.93999999999994</v>
      </c>
      <c r="D271" s="83">
        <f t="shared" si="163"/>
        <v>487.99038139798739</v>
      </c>
      <c r="E271" s="83">
        <f t="shared" si="163"/>
        <v>469.30516918511444</v>
      </c>
      <c r="F271" s="83">
        <f t="shared" si="163"/>
        <v>431.05216918511439</v>
      </c>
      <c r="G271" s="83">
        <f t="shared" si="163"/>
        <v>351.06016918511438</v>
      </c>
      <c r="H271" s="83">
        <f t="shared" si="163"/>
        <v>339.54716918511434</v>
      </c>
      <c r="I271" s="83">
        <f t="shared" si="163"/>
        <v>321.77416918511437</v>
      </c>
      <c r="K271" s="38">
        <f t="shared" si="141"/>
        <v>-194.16583081488557</v>
      </c>
      <c r="L271" s="172">
        <f t="shared" si="142"/>
        <v>-37.633412957879905</v>
      </c>
      <c r="M271" s="419">
        <f t="shared" si="143"/>
        <v>5.2912104542858385E-2</v>
      </c>
      <c r="N271" s="357"/>
      <c r="P271" s="61" t="s">
        <v>149</v>
      </c>
      <c r="Q271" s="38">
        <f t="shared" ref="Q271:W271" si="164">+Q249</f>
        <v>0</v>
      </c>
      <c r="R271" s="38">
        <f t="shared" si="164"/>
        <v>0</v>
      </c>
      <c r="S271" s="38">
        <f t="shared" si="164"/>
        <v>17.399999999999999</v>
      </c>
      <c r="T271" s="38">
        <f t="shared" si="164"/>
        <v>29.5</v>
      </c>
      <c r="U271" s="38">
        <f t="shared" si="164"/>
        <v>3.4</v>
      </c>
      <c r="V271" s="38">
        <f t="shared" si="164"/>
        <v>12.7</v>
      </c>
      <c r="W271" s="38">
        <f t="shared" si="164"/>
        <v>12.5</v>
      </c>
      <c r="Y271" s="38"/>
      <c r="Z271" s="172"/>
    </row>
    <row r="272" spans="1:26" s="7" customFormat="1">
      <c r="B272" s="7" t="s">
        <v>589</v>
      </c>
      <c r="C272" s="83">
        <f t="shared" ref="C272:I272" si="165">C255</f>
        <v>0</v>
      </c>
      <c r="D272" s="83">
        <f t="shared" si="165"/>
        <v>0</v>
      </c>
      <c r="E272" s="83">
        <f t="shared" si="165"/>
        <v>379.74299999999999</v>
      </c>
      <c r="F272" s="83">
        <f t="shared" si="165"/>
        <v>720.65499999999997</v>
      </c>
      <c r="G272" s="83">
        <f t="shared" si="165"/>
        <v>655.40100000000007</v>
      </c>
      <c r="H272" s="83">
        <f t="shared" si="165"/>
        <v>689.82299999999998</v>
      </c>
      <c r="I272" s="83">
        <f t="shared" si="165"/>
        <v>640.59749999999997</v>
      </c>
      <c r="K272" s="38">
        <f t="shared" si="141"/>
        <v>640.59749999999997</v>
      </c>
      <c r="L272" s="172"/>
      <c r="M272" s="419">
        <f t="shared" si="143"/>
        <v>4.2814361815591069E-2</v>
      </c>
      <c r="N272" s="357"/>
      <c r="P272" s="61" t="s">
        <v>590</v>
      </c>
      <c r="Q272" s="38">
        <f t="shared" ref="Q272:W272" si="166">Q255</f>
        <v>0</v>
      </c>
      <c r="R272" s="38">
        <f t="shared" si="166"/>
        <v>0</v>
      </c>
      <c r="S272" s="38">
        <f t="shared" si="166"/>
        <v>379.74299999999999</v>
      </c>
      <c r="T272" s="38">
        <f t="shared" si="166"/>
        <v>720.65499999999997</v>
      </c>
      <c r="U272" s="38">
        <f t="shared" si="166"/>
        <v>655.40100000000007</v>
      </c>
      <c r="V272" s="38">
        <f t="shared" si="166"/>
        <v>689.82299999999998</v>
      </c>
      <c r="W272" s="38">
        <f t="shared" si="166"/>
        <v>640.59749999999997</v>
      </c>
      <c r="Y272" s="38"/>
      <c r="Z272" s="172"/>
    </row>
    <row r="273" spans="1:26" s="7" customFormat="1">
      <c r="B273" s="20" t="s">
        <v>44</v>
      </c>
      <c r="C273" s="168">
        <f>SUM(C261:C272)</f>
        <v>6847.0641661142872</v>
      </c>
      <c r="D273" s="168">
        <f t="shared" ref="D273:I273" si="167">SUM(D261:D272)</f>
        <v>7766.5633075262876</v>
      </c>
      <c r="E273" s="380">
        <f t="shared" si="167"/>
        <v>8869.5237741863202</v>
      </c>
      <c r="F273" s="380">
        <f t="shared" si="167"/>
        <v>8994.2118678116803</v>
      </c>
      <c r="G273" s="380">
        <f t="shared" si="167"/>
        <v>8850.1566594277792</v>
      </c>
      <c r="H273" s="380">
        <f t="shared" si="167"/>
        <v>8589.4213995339887</v>
      </c>
      <c r="I273" s="380">
        <f t="shared" si="167"/>
        <v>8361.4684158237433</v>
      </c>
      <c r="K273" s="38">
        <f t="shared" si="141"/>
        <v>1514.4042497094561</v>
      </c>
      <c r="L273" s="172">
        <f t="shared" si="142"/>
        <v>22.117570581624641</v>
      </c>
      <c r="M273" s="419">
        <f t="shared" si="143"/>
        <v>1</v>
      </c>
      <c r="N273" s="357"/>
      <c r="P273" s="61" t="s">
        <v>127</v>
      </c>
      <c r="Q273" s="39">
        <f>SUM(Q261:Q272)</f>
        <v>1314.9775103999998</v>
      </c>
      <c r="R273" s="39">
        <f t="shared" ref="R273:W273" si="168">SUM(R261:R272)</f>
        <v>1555.5556939000001</v>
      </c>
      <c r="S273" s="39">
        <f t="shared" si="168"/>
        <v>2486.0598884999995</v>
      </c>
      <c r="T273" s="39">
        <f t="shared" si="168"/>
        <v>2773.044449</v>
      </c>
      <c r="U273" s="39">
        <f t="shared" si="168"/>
        <v>2738.7572115000003</v>
      </c>
      <c r="V273" s="39">
        <f t="shared" si="168"/>
        <v>2527.9966680000002</v>
      </c>
      <c r="W273" s="39">
        <f t="shared" si="168"/>
        <v>2319.3163454999999</v>
      </c>
      <c r="Y273" s="38"/>
      <c r="Z273" s="172"/>
    </row>
    <row r="274" spans="1:26" s="170" customFormat="1" ht="14.4">
      <c r="C274" s="176"/>
      <c r="D274" s="176"/>
      <c r="E274" s="176"/>
      <c r="F274" s="176"/>
      <c r="G274" s="176"/>
      <c r="H274" s="176"/>
      <c r="I274" s="176"/>
      <c r="L274" s="92"/>
      <c r="M274" s="407"/>
      <c r="N274" s="92"/>
      <c r="O274" s="92"/>
      <c r="P274" s="158"/>
      <c r="Q274" s="220"/>
      <c r="R274" s="220"/>
      <c r="S274" s="220"/>
      <c r="T274" s="220"/>
      <c r="U274" s="220"/>
      <c r="V274" s="220"/>
      <c r="W274" s="220"/>
    </row>
    <row r="276" spans="1:26" s="2" customFormat="1" ht="14.4">
      <c r="A276" s="365" t="s">
        <v>315</v>
      </c>
      <c r="C276" s="366"/>
      <c r="D276" s="366"/>
      <c r="E276" s="366"/>
      <c r="F276" s="366"/>
      <c r="G276" s="366"/>
      <c r="H276" s="366"/>
      <c r="I276" s="369"/>
      <c r="K276" s="367"/>
      <c r="L276" s="4"/>
      <c r="M276" s="420"/>
      <c r="P276" s="368"/>
      <c r="Q276" s="369"/>
      <c r="R276" s="369"/>
      <c r="S276" s="369"/>
      <c r="T276" s="369"/>
      <c r="U276" s="369"/>
      <c r="V276" s="369"/>
      <c r="W276" s="369"/>
    </row>
    <row r="277" spans="1:26">
      <c r="C277" s="53"/>
      <c r="D277" s="53"/>
      <c r="E277" s="53"/>
      <c r="F277" s="53"/>
      <c r="G277" s="53"/>
      <c r="H277" s="53"/>
      <c r="I277" s="53"/>
    </row>
    <row r="278" spans="1:26">
      <c r="B278" s="7"/>
      <c r="Q278" s="143"/>
    </row>
    <row r="280" spans="1:26">
      <c r="B280"/>
      <c r="C280"/>
      <c r="D280"/>
      <c r="E280"/>
      <c r="F280"/>
      <c r="G280"/>
      <c r="H280"/>
      <c r="I280"/>
      <c r="P280" s="4"/>
      <c r="Q280" s="4"/>
      <c r="R280" s="4"/>
      <c r="S280" s="4"/>
      <c r="T280" s="4"/>
      <c r="U280" s="4"/>
      <c r="V280" s="4"/>
      <c r="W280" s="4"/>
    </row>
    <row r="281" spans="1:26">
      <c r="B281"/>
      <c r="C281"/>
      <c r="D281"/>
      <c r="E281"/>
      <c r="F281"/>
      <c r="G281"/>
      <c r="H281"/>
      <c r="I281"/>
    </row>
    <row r="282" spans="1:26">
      <c r="B282"/>
      <c r="C282"/>
      <c r="D282"/>
      <c r="E282"/>
      <c r="F282"/>
      <c r="G282"/>
      <c r="H282"/>
      <c r="I282"/>
    </row>
    <row r="283" spans="1:26">
      <c r="B283"/>
      <c r="C283"/>
      <c r="D283"/>
      <c r="E283"/>
      <c r="F283"/>
      <c r="G283"/>
      <c r="H283"/>
      <c r="I283"/>
    </row>
    <row r="284" spans="1:26">
      <c r="B284"/>
      <c r="C284"/>
      <c r="D284"/>
      <c r="E284"/>
      <c r="F284"/>
      <c r="G284"/>
      <c r="H284"/>
      <c r="I284"/>
    </row>
    <row r="285" spans="1:26">
      <c r="B285"/>
      <c r="C285"/>
    </row>
    <row r="286" spans="1:26">
      <c r="B286"/>
      <c r="C286"/>
      <c r="D286" s="53"/>
      <c r="E286" s="53"/>
      <c r="F286" s="53"/>
      <c r="G286" s="53"/>
      <c r="H286" s="53"/>
      <c r="I286" s="53"/>
    </row>
    <row r="287" spans="1:26">
      <c r="B287"/>
      <c r="C287"/>
      <c r="D287" s="53"/>
      <c r="E287" s="53"/>
      <c r="F287" s="53"/>
      <c r="G287" s="53"/>
      <c r="H287" s="53"/>
      <c r="I287" s="53"/>
    </row>
    <row r="288" spans="1:26">
      <c r="B288"/>
      <c r="C288"/>
      <c r="D288" s="53"/>
      <c r="E288" s="53"/>
      <c r="F288" s="53"/>
      <c r="G288" s="53"/>
      <c r="H288" s="53"/>
      <c r="I288" s="53"/>
    </row>
    <row r="289" spans="2:9">
      <c r="B289"/>
      <c r="C289"/>
      <c r="D289" s="53"/>
      <c r="E289" s="53"/>
      <c r="F289" s="53"/>
      <c r="G289" s="53"/>
      <c r="H289" s="53"/>
      <c r="I289" s="53"/>
    </row>
    <row r="290" spans="2:9">
      <c r="D290" s="53"/>
      <c r="E290" s="53"/>
      <c r="F290" s="53"/>
      <c r="G290" s="53"/>
      <c r="H290" s="53"/>
      <c r="I290" s="133"/>
    </row>
    <row r="291" spans="2:9">
      <c r="B291"/>
      <c r="C291" s="53"/>
      <c r="D291" s="53"/>
      <c r="E291" s="53"/>
      <c r="F291" s="53"/>
      <c r="G291" s="53"/>
      <c r="H291" s="53"/>
      <c r="I291" s="53"/>
    </row>
    <row r="292" spans="2:9">
      <c r="B292"/>
      <c r="C292" s="53"/>
      <c r="D292" s="53"/>
      <c r="E292" s="53"/>
      <c r="F292" s="53"/>
      <c r="G292" s="53"/>
      <c r="H292" s="53"/>
      <c r="I292" s="53"/>
    </row>
    <row r="293" spans="2:9">
      <c r="B293"/>
      <c r="C293" s="53"/>
      <c r="D293" s="53"/>
      <c r="E293" s="53"/>
      <c r="F293" s="53"/>
      <c r="G293" s="53"/>
      <c r="H293" s="53"/>
      <c r="I293" s="53"/>
    </row>
    <row r="294" spans="2:9">
      <c r="B294"/>
      <c r="C294" s="53"/>
      <c r="D294" s="53"/>
      <c r="E294" s="53"/>
      <c r="F294" s="53"/>
      <c r="G294" s="53"/>
      <c r="H294" s="53"/>
      <c r="I294" s="53"/>
    </row>
    <row r="295" spans="2:9">
      <c r="B295"/>
      <c r="C295" s="53"/>
      <c r="D295" s="53"/>
      <c r="E295" s="53"/>
      <c r="F295" s="53"/>
      <c r="G295" s="53"/>
      <c r="H295" s="53"/>
      <c r="I295" s="53"/>
    </row>
    <row r="296" spans="2:9">
      <c r="B296"/>
      <c r="C296" s="53"/>
    </row>
    <row r="297" spans="2:9">
      <c r="B297"/>
      <c r="C297" s="53"/>
    </row>
    <row r="298" spans="2:9">
      <c r="B298"/>
      <c r="C298" s="53"/>
    </row>
    <row r="299" spans="2:9">
      <c r="B299"/>
      <c r="C299" s="53"/>
    </row>
    <row r="300" spans="2:9">
      <c r="B300"/>
      <c r="C300" s="53"/>
    </row>
  </sheetData>
  <sortState ref="A184:N196">
    <sortCondition ref="A184:A196"/>
  </sortState>
  <pageMargins left="0.70866141732283472" right="0.70866141732283472" top="0.74803149606299213" bottom="0.74803149606299213" header="0.31496062992125984" footer="0.31496062992125984"/>
  <pageSetup paperSize="8" scale="78" orientation="landscape" r:id="rId1"/>
  <headerFooter>
    <oddFooter>&amp;L&amp;Z&amp;F
&amp;D</oddFooter>
  </headerFooter>
  <rowBreaks count="5" manualBreakCount="5">
    <brk id="68" max="21" man="1"/>
    <brk id="115" max="21" man="1"/>
    <brk id="160" max="21" man="1"/>
    <brk id="225" max="21" man="1"/>
    <brk id="278" max="21" man="1"/>
  </rowBreaks>
  <colBreaks count="1" manualBreakCount="1">
    <brk id="15" max="30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8"/>
  <sheetViews>
    <sheetView zoomScale="90" zoomScaleNormal="90" zoomScaleSheetLayoutView="100" workbookViewId="0">
      <pane ySplit="3" topLeftCell="A4" activePane="bottomLeft" state="frozen"/>
      <selection activeCell="G33" activeCellId="3" sqref="A1 F29 B35 G33"/>
      <selection pane="bottomLeft" activeCell="A4" sqref="A4"/>
    </sheetView>
  </sheetViews>
  <sheetFormatPr defaultColWidth="9.21875" defaultRowHeight="13.8"/>
  <cols>
    <col min="1" max="1" width="12.44140625" style="8" customWidth="1"/>
    <col min="2" max="2" width="48.44140625" style="4" customWidth="1"/>
    <col min="3" max="9" width="12" style="4" customWidth="1"/>
    <col min="10" max="10" width="12.21875" style="4" customWidth="1"/>
    <col min="11" max="11" width="15" style="4" bestFit="1" customWidth="1"/>
    <col min="12" max="12" width="41.21875" style="4" customWidth="1"/>
    <col min="13" max="16384" width="9.21875" style="4"/>
  </cols>
  <sheetData>
    <row r="1" spans="1:15" ht="18">
      <c r="A1" s="74" t="s">
        <v>128</v>
      </c>
    </row>
    <row r="2" spans="1:15" ht="18">
      <c r="A2" s="74"/>
      <c r="C2" s="1" t="str">
        <f>'R&amp;D'!C3</f>
        <v>realisatie</v>
      </c>
      <c r="D2" s="1" t="str">
        <f>'R&amp;D'!D3</f>
        <v xml:space="preserve">stand begr. </v>
      </c>
      <c r="E2" s="1" t="str">
        <f>'R&amp;D'!E3</f>
        <v>ontwerp</v>
      </c>
      <c r="F2" s="1" t="str">
        <f>'R&amp;D'!F3</f>
        <v>meerjarencijfers</v>
      </c>
      <c r="G2" s="1"/>
      <c r="H2" s="1"/>
      <c r="I2" s="1"/>
      <c r="J2" s="1" t="s">
        <v>337</v>
      </c>
    </row>
    <row r="3" spans="1:15" s="3" customFormat="1" ht="14.4">
      <c r="A3" s="64"/>
      <c r="C3" s="1">
        <f>'R&amp;D'!C4</f>
        <v>2021</v>
      </c>
      <c r="D3" s="1">
        <f>'R&amp;D'!D4</f>
        <v>2022</v>
      </c>
      <c r="E3" s="1">
        <f>'R&amp;D'!E4</f>
        <v>2023</v>
      </c>
      <c r="F3" s="1">
        <f>'R&amp;D'!F4</f>
        <v>2024</v>
      </c>
      <c r="G3" s="1">
        <f>'R&amp;D'!G4</f>
        <v>2025</v>
      </c>
      <c r="H3" s="1">
        <f>'R&amp;D'!H4</f>
        <v>2026</v>
      </c>
      <c r="I3" s="1">
        <f>'R&amp;D'!I4</f>
        <v>2027</v>
      </c>
      <c r="J3" s="149" t="s">
        <v>306</v>
      </c>
      <c r="K3" s="4" t="s">
        <v>174</v>
      </c>
      <c r="L3" s="4" t="s">
        <v>412</v>
      </c>
    </row>
    <row r="4" spans="1:15" s="3" customFormat="1" ht="15.75" customHeight="1">
      <c r="A4" s="269" t="s">
        <v>58</v>
      </c>
      <c r="B4" s="15" t="s">
        <v>37</v>
      </c>
      <c r="C4" s="52"/>
      <c r="D4" s="52"/>
      <c r="E4" s="52"/>
      <c r="F4" s="52"/>
      <c r="G4" s="52"/>
      <c r="H4" s="52"/>
      <c r="I4" s="52"/>
      <c r="J4" s="14"/>
      <c r="K4" s="14"/>
      <c r="L4" s="14"/>
      <c r="M4" s="20"/>
      <c r="N4" s="20"/>
      <c r="O4" s="20"/>
    </row>
    <row r="5" spans="1:15" s="7" customFormat="1">
      <c r="A5" s="370">
        <v>4</v>
      </c>
      <c r="B5" s="113" t="s">
        <v>750</v>
      </c>
      <c r="C5" s="173">
        <v>0</v>
      </c>
      <c r="D5" s="173">
        <v>0</v>
      </c>
      <c r="E5" s="173">
        <v>25</v>
      </c>
      <c r="F5" s="173">
        <v>25</v>
      </c>
      <c r="G5" s="173">
        <v>25</v>
      </c>
      <c r="H5" s="173">
        <v>25</v>
      </c>
      <c r="I5" s="173">
        <v>25</v>
      </c>
      <c r="J5" s="172"/>
      <c r="L5" s="155"/>
    </row>
    <row r="6" spans="1:15" s="7" customFormat="1">
      <c r="A6" s="370">
        <v>4</v>
      </c>
      <c r="B6" s="113" t="s">
        <v>261</v>
      </c>
      <c r="C6" s="173">
        <v>19.637</v>
      </c>
      <c r="D6" s="173">
        <v>22.484000000000002</v>
      </c>
      <c r="E6" s="173">
        <v>44.323999999999998</v>
      </c>
      <c r="F6" s="173">
        <v>40.277999999999999</v>
      </c>
      <c r="G6" s="173">
        <v>35.741999999999997</v>
      </c>
      <c r="H6" s="173">
        <v>33.893999999999998</v>
      </c>
      <c r="I6" s="173">
        <v>26.972000000000001</v>
      </c>
      <c r="J6" s="172"/>
      <c r="L6" s="155"/>
    </row>
    <row r="7" spans="1:15" s="7" customFormat="1">
      <c r="A7" s="370">
        <v>4</v>
      </c>
      <c r="B7" s="113" t="s">
        <v>751</v>
      </c>
      <c r="C7" s="173">
        <v>0.23879999999999998</v>
      </c>
      <c r="D7" s="173">
        <v>0.36425999999999997</v>
      </c>
      <c r="E7" s="173">
        <v>0.32688</v>
      </c>
      <c r="F7" s="173">
        <v>0.34819499999999998</v>
      </c>
      <c r="G7" s="173">
        <v>0.34552499999999997</v>
      </c>
      <c r="H7" s="173">
        <v>0.32840999999999998</v>
      </c>
      <c r="I7" s="173">
        <v>0.32840999999999998</v>
      </c>
      <c r="J7" s="172"/>
      <c r="L7" s="7" t="s">
        <v>817</v>
      </c>
    </row>
    <row r="8" spans="1:15" s="7" customFormat="1">
      <c r="A8" s="370">
        <v>4</v>
      </c>
      <c r="B8" s="113" t="s">
        <v>752</v>
      </c>
      <c r="C8" s="173">
        <v>0.21410999999999999</v>
      </c>
      <c r="D8" s="173">
        <v>0.62034</v>
      </c>
      <c r="E8" s="173">
        <v>0.6811799999999999</v>
      </c>
      <c r="F8" s="173">
        <v>0.53871000000000002</v>
      </c>
      <c r="G8" s="173">
        <v>0.40206000000000003</v>
      </c>
      <c r="H8" s="173">
        <v>0.27989999999999998</v>
      </c>
      <c r="I8" s="173">
        <v>0.24057000000000001</v>
      </c>
      <c r="J8" s="172"/>
      <c r="L8" s="7" t="s">
        <v>818</v>
      </c>
    </row>
    <row r="9" spans="1:15" s="7" customFormat="1">
      <c r="A9" s="370">
        <v>4</v>
      </c>
      <c r="B9" s="113" t="s">
        <v>753</v>
      </c>
      <c r="C9" s="173">
        <v>0</v>
      </c>
      <c r="D9" s="173">
        <v>0</v>
      </c>
      <c r="E9" s="173">
        <v>3</v>
      </c>
      <c r="F9" s="173">
        <v>4</v>
      </c>
      <c r="G9" s="173">
        <v>5</v>
      </c>
      <c r="H9" s="173">
        <v>5</v>
      </c>
      <c r="I9" s="173">
        <v>5</v>
      </c>
      <c r="J9" s="172"/>
      <c r="L9" s="155"/>
    </row>
    <row r="10" spans="1:15" s="7" customFormat="1">
      <c r="A10" s="370">
        <v>3</v>
      </c>
      <c r="B10" s="113" t="s">
        <v>316</v>
      </c>
      <c r="C10" s="173">
        <v>22.9</v>
      </c>
      <c r="D10" s="173">
        <v>22.03</v>
      </c>
      <c r="E10" s="173">
        <v>22.03</v>
      </c>
      <c r="F10" s="173">
        <v>22.03</v>
      </c>
      <c r="G10" s="173">
        <v>22.03</v>
      </c>
      <c r="H10" s="173">
        <v>22.03</v>
      </c>
      <c r="I10" s="173">
        <v>22.03</v>
      </c>
    </row>
    <row r="11" spans="1:15" s="7" customFormat="1">
      <c r="A11" s="370">
        <v>3</v>
      </c>
      <c r="B11" s="113" t="s">
        <v>317</v>
      </c>
      <c r="C11" s="173">
        <v>0.12</v>
      </c>
      <c r="D11" s="173">
        <v>0.20499999999999999</v>
      </c>
      <c r="E11" s="173">
        <v>0.20699999999999999</v>
      </c>
      <c r="F11" s="173">
        <v>0.21</v>
      </c>
      <c r="G11" s="173">
        <v>0.18</v>
      </c>
      <c r="H11" s="173">
        <v>0.12</v>
      </c>
      <c r="I11" s="173">
        <v>0.12</v>
      </c>
    </row>
    <row r="12" spans="1:15" s="7" customFormat="1">
      <c r="A12" s="370">
        <v>3</v>
      </c>
      <c r="B12" s="113" t="s">
        <v>744</v>
      </c>
      <c r="C12" s="173">
        <v>4.6509999999999998</v>
      </c>
      <c r="D12" s="173">
        <v>4.72</v>
      </c>
      <c r="E12" s="173">
        <v>4.79</v>
      </c>
      <c r="F12" s="173">
        <v>4.8620000000000001</v>
      </c>
      <c r="G12" s="173">
        <v>4.8620000000000001</v>
      </c>
      <c r="H12" s="173">
        <v>4.8620000000000001</v>
      </c>
      <c r="I12" s="173">
        <v>4.8620000000000001</v>
      </c>
    </row>
    <row r="13" spans="1:15" s="7" customFormat="1">
      <c r="A13" s="370">
        <v>3</v>
      </c>
      <c r="B13" s="113" t="s">
        <v>318</v>
      </c>
      <c r="C13" s="173">
        <v>2.919</v>
      </c>
      <c r="D13" s="173">
        <v>2.919</v>
      </c>
      <c r="E13" s="173">
        <v>2.919</v>
      </c>
      <c r="F13" s="173">
        <v>2.919</v>
      </c>
      <c r="G13" s="173">
        <v>2.919</v>
      </c>
      <c r="H13" s="173">
        <v>2.919</v>
      </c>
      <c r="I13" s="173">
        <v>2.919</v>
      </c>
      <c r="K13" s="329"/>
      <c r="L13" s="155"/>
    </row>
    <row r="14" spans="1:15" s="7" customFormat="1">
      <c r="A14" s="370">
        <v>3</v>
      </c>
      <c r="B14" s="113" t="s">
        <v>745</v>
      </c>
      <c r="C14" s="173">
        <v>6.6829999999999998</v>
      </c>
      <c r="D14" s="173">
        <v>3.5569999999999999</v>
      </c>
      <c r="E14" s="173">
        <v>10.648</v>
      </c>
      <c r="F14" s="173">
        <v>1.45</v>
      </c>
      <c r="G14" s="173">
        <v>1.0489999999999999</v>
      </c>
      <c r="H14" s="173"/>
      <c r="I14" s="173"/>
      <c r="K14" s="329"/>
      <c r="L14" s="155"/>
    </row>
    <row r="15" spans="1:15" s="7" customFormat="1">
      <c r="A15" s="370">
        <v>3</v>
      </c>
      <c r="B15" s="113" t="s">
        <v>567</v>
      </c>
      <c r="C15" s="173">
        <v>0.222</v>
      </c>
      <c r="D15" s="173">
        <v>7.0999999999999994E-2</v>
      </c>
      <c r="E15" s="173"/>
      <c r="F15" s="173"/>
      <c r="G15" s="173"/>
      <c r="H15" s="172"/>
      <c r="K15" s="329"/>
    </row>
    <row r="16" spans="1:15" s="7" customFormat="1">
      <c r="A16" s="370">
        <v>3</v>
      </c>
      <c r="B16" s="113" t="s">
        <v>514</v>
      </c>
      <c r="C16" s="173">
        <v>0.503</v>
      </c>
      <c r="D16" s="173">
        <v>0.16</v>
      </c>
      <c r="E16" s="173">
        <v>0.16</v>
      </c>
      <c r="F16" s="173">
        <v>0.16</v>
      </c>
      <c r="G16" s="173"/>
      <c r="H16" s="172"/>
      <c r="K16" s="329"/>
    </row>
    <row r="17" spans="1:12" s="7" customFormat="1">
      <c r="A17" s="370">
        <v>3</v>
      </c>
      <c r="B17" s="113" t="s">
        <v>384</v>
      </c>
      <c r="C17" s="173">
        <v>0.3</v>
      </c>
      <c r="D17" s="173">
        <v>0.3</v>
      </c>
      <c r="E17" s="173">
        <v>0.3</v>
      </c>
      <c r="F17" s="173">
        <v>0.3</v>
      </c>
      <c r="G17" s="173">
        <v>0.3</v>
      </c>
      <c r="H17" s="172">
        <v>0.3</v>
      </c>
      <c r="I17" s="7">
        <v>0.3</v>
      </c>
      <c r="K17" s="329"/>
    </row>
    <row r="18" spans="1:12" s="7" customFormat="1">
      <c r="A18" s="370">
        <v>3</v>
      </c>
      <c r="B18" s="113" t="s">
        <v>515</v>
      </c>
      <c r="C18" s="173">
        <v>1.6439999999999999</v>
      </c>
      <c r="D18" s="173">
        <v>0</v>
      </c>
      <c r="E18" s="173">
        <v>3.423</v>
      </c>
      <c r="F18" s="173">
        <v>0.9</v>
      </c>
      <c r="G18" s="173">
        <v>0.9</v>
      </c>
      <c r="H18" s="172"/>
      <c r="K18" s="259"/>
    </row>
    <row r="19" spans="1:12" s="7" customFormat="1">
      <c r="A19" s="370">
        <v>1</v>
      </c>
      <c r="B19" s="174" t="s">
        <v>319</v>
      </c>
      <c r="C19" s="173">
        <v>0.36599999999999999</v>
      </c>
      <c r="D19" s="173"/>
      <c r="E19" s="173"/>
      <c r="F19" s="173"/>
      <c r="G19" s="173"/>
      <c r="H19" s="173"/>
      <c r="I19" s="173"/>
      <c r="J19" s="172"/>
      <c r="K19" s="259"/>
    </row>
    <row r="20" spans="1:12" s="7" customFormat="1">
      <c r="A20" s="370">
        <v>1</v>
      </c>
      <c r="B20" s="174" t="s">
        <v>743</v>
      </c>
      <c r="C20" s="173">
        <v>4.5810000000000004</v>
      </c>
      <c r="D20" s="173">
        <v>5.6740000000000004</v>
      </c>
      <c r="E20" s="173">
        <v>7.3029999999999999</v>
      </c>
      <c r="F20" s="173"/>
      <c r="G20" s="173"/>
      <c r="H20" s="173"/>
      <c r="I20" s="173"/>
      <c r="J20" s="172"/>
      <c r="K20" s="259"/>
    </row>
    <row r="21" spans="1:12" s="7" customFormat="1">
      <c r="A21" s="370">
        <v>1</v>
      </c>
      <c r="B21" s="174" t="s">
        <v>320</v>
      </c>
      <c r="C21" s="173">
        <v>3.923</v>
      </c>
      <c r="D21" s="173">
        <v>1.9870000000000001</v>
      </c>
      <c r="E21" s="173">
        <v>3.6230000000000002</v>
      </c>
      <c r="F21" s="173">
        <v>2.2709999999999999</v>
      </c>
      <c r="G21" s="173"/>
      <c r="H21" s="173"/>
      <c r="I21" s="173"/>
      <c r="J21" s="172"/>
      <c r="K21" s="259"/>
    </row>
    <row r="22" spans="1:12" s="7" customFormat="1">
      <c r="A22" s="370">
        <v>1</v>
      </c>
      <c r="B22" s="174" t="s">
        <v>565</v>
      </c>
      <c r="C22" s="173">
        <v>3.3170000000000002</v>
      </c>
      <c r="D22" s="173">
        <v>3.7170000000000001</v>
      </c>
      <c r="E22" s="173">
        <v>1.8029999999999999</v>
      </c>
      <c r="F22" s="173">
        <v>1.1000000000000001</v>
      </c>
      <c r="G22" s="173">
        <v>1</v>
      </c>
      <c r="H22" s="173">
        <v>1</v>
      </c>
      <c r="I22" s="173"/>
      <c r="J22" s="172"/>
      <c r="K22" s="329"/>
    </row>
    <row r="23" spans="1:12" s="7" customFormat="1">
      <c r="A23" s="370">
        <v>1</v>
      </c>
      <c r="B23" s="174" t="s">
        <v>566</v>
      </c>
      <c r="C23" s="173">
        <v>0.33200000000000002</v>
      </c>
      <c r="D23" s="173">
        <v>0.97799999999999998</v>
      </c>
      <c r="E23" s="173">
        <v>0.753</v>
      </c>
      <c r="F23" s="173">
        <v>0.42099999999999999</v>
      </c>
      <c r="G23" s="173">
        <v>0.42099999999999999</v>
      </c>
      <c r="H23" s="173">
        <v>0.42099999999999999</v>
      </c>
      <c r="I23" s="173"/>
      <c r="J23" s="172"/>
      <c r="K23" s="259"/>
    </row>
    <row r="24" spans="1:12" s="7" customFormat="1">
      <c r="A24" s="370">
        <v>1</v>
      </c>
      <c r="B24" s="174" t="s">
        <v>513</v>
      </c>
      <c r="C24" s="173">
        <v>2.9550000000000001</v>
      </c>
      <c r="D24" s="173">
        <v>2.9550000000000001</v>
      </c>
      <c r="E24" s="173">
        <v>2.9550000000000001</v>
      </c>
      <c r="F24" s="173"/>
      <c r="G24" s="173"/>
      <c r="H24" s="173"/>
      <c r="I24" s="173"/>
      <c r="J24" s="172"/>
      <c r="K24" s="259"/>
    </row>
    <row r="25" spans="1:12" s="7" customFormat="1">
      <c r="A25" s="370">
        <v>1</v>
      </c>
      <c r="B25" s="174" t="s">
        <v>321</v>
      </c>
      <c r="C25" s="173">
        <v>0.3</v>
      </c>
      <c r="D25" s="173">
        <v>0.3</v>
      </c>
      <c r="E25" s="173">
        <v>0.3</v>
      </c>
      <c r="F25" s="173">
        <v>0.3</v>
      </c>
      <c r="G25" s="173"/>
      <c r="H25" s="173"/>
      <c r="I25" s="173"/>
      <c r="J25" s="173"/>
      <c r="K25" s="175"/>
    </row>
    <row r="26" spans="1:12" s="7" customFormat="1">
      <c r="A26" s="370">
        <v>1</v>
      </c>
      <c r="B26" s="174" t="s">
        <v>322</v>
      </c>
      <c r="C26" s="371">
        <v>6.4000000000000001E-2</v>
      </c>
      <c r="D26" s="173">
        <v>6.4000000000000001E-2</v>
      </c>
      <c r="E26" s="173">
        <v>4.8000000000000001E-2</v>
      </c>
      <c r="F26" s="173"/>
      <c r="G26" s="173"/>
      <c r="H26" s="173"/>
      <c r="J26" s="172"/>
      <c r="K26" s="174"/>
    </row>
    <row r="27" spans="1:12" s="7" customFormat="1">
      <c r="A27" s="370">
        <v>7</v>
      </c>
      <c r="B27" s="113" t="s">
        <v>749</v>
      </c>
      <c r="C27" s="173">
        <v>15.067</v>
      </c>
      <c r="D27" s="173">
        <v>16.791</v>
      </c>
      <c r="E27" s="173">
        <v>16.5</v>
      </c>
      <c r="F27" s="173">
        <v>16.5</v>
      </c>
      <c r="G27" s="173">
        <v>17.5</v>
      </c>
      <c r="H27" s="173">
        <v>17.5</v>
      </c>
      <c r="I27" s="173">
        <v>17.5</v>
      </c>
      <c r="L27" s="155"/>
    </row>
    <row r="28" spans="1:12" s="7" customFormat="1">
      <c r="A28" s="372" t="s">
        <v>334</v>
      </c>
      <c r="B28" s="113" t="s">
        <v>323</v>
      </c>
      <c r="C28" s="173">
        <v>1.639</v>
      </c>
      <c r="D28" s="173">
        <v>2.0739999999999998</v>
      </c>
      <c r="E28" s="173">
        <v>2.1120000000000001</v>
      </c>
      <c r="F28" s="173">
        <v>2.1120000000000001</v>
      </c>
      <c r="G28" s="173">
        <v>2.1120000000000001</v>
      </c>
      <c r="H28" s="173">
        <v>2.1120000000000001</v>
      </c>
      <c r="I28" s="173">
        <v>2.1120000000000001</v>
      </c>
      <c r="L28" s="155"/>
    </row>
    <row r="29" spans="1:12" s="7" customFormat="1">
      <c r="A29" s="370">
        <v>14</v>
      </c>
      <c r="B29" s="113" t="s">
        <v>517</v>
      </c>
      <c r="C29" s="173">
        <v>0.95799999999999996</v>
      </c>
      <c r="D29" s="173">
        <v>1.0549999999999999</v>
      </c>
      <c r="E29" s="173">
        <v>1.0549999999999999</v>
      </c>
      <c r="F29" s="173">
        <v>1.0549999999999999</v>
      </c>
      <c r="G29" s="173">
        <v>1.0549999999999999</v>
      </c>
      <c r="H29" s="173">
        <v>1.0549999999999999</v>
      </c>
      <c r="I29" s="173">
        <v>1.0549999999999999</v>
      </c>
      <c r="L29" s="7" t="s">
        <v>518</v>
      </c>
    </row>
    <row r="30" spans="1:12" s="7" customFormat="1">
      <c r="A30" s="370">
        <v>14</v>
      </c>
      <c r="B30" s="113" t="s">
        <v>325</v>
      </c>
      <c r="C30" s="373"/>
      <c r="D30" s="374"/>
      <c r="E30" s="374"/>
      <c r="F30" s="374"/>
      <c r="G30" s="374"/>
      <c r="H30" s="374"/>
      <c r="I30" s="374"/>
      <c r="L30" s="155"/>
    </row>
    <row r="31" spans="1:12" s="7" customFormat="1">
      <c r="A31" s="370">
        <v>14</v>
      </c>
      <c r="B31" s="113" t="s">
        <v>385</v>
      </c>
      <c r="C31" s="373">
        <v>1.661</v>
      </c>
      <c r="D31" s="374">
        <v>1.903</v>
      </c>
      <c r="E31" s="374">
        <v>1.8939999999999999</v>
      </c>
      <c r="F31" s="374">
        <v>2.0939999999999999</v>
      </c>
      <c r="G31" s="374">
        <v>2.492</v>
      </c>
      <c r="H31" s="374">
        <v>2.3420000000000001</v>
      </c>
      <c r="I31" s="374">
        <v>2.3420000000000001</v>
      </c>
      <c r="L31" s="7" t="s">
        <v>755</v>
      </c>
    </row>
    <row r="32" spans="1:12" s="7" customFormat="1">
      <c r="A32" s="370">
        <v>14</v>
      </c>
      <c r="B32" s="113" t="s">
        <v>386</v>
      </c>
      <c r="C32" s="373">
        <v>37.701000000000001</v>
      </c>
      <c r="D32" s="374">
        <v>31.995999999999999</v>
      </c>
      <c r="E32" s="374">
        <v>20.631</v>
      </c>
      <c r="F32" s="374">
        <v>20.631</v>
      </c>
      <c r="G32" s="374">
        <v>20.631</v>
      </c>
      <c r="H32" s="374">
        <v>20.631</v>
      </c>
      <c r="I32" s="374">
        <v>20.631</v>
      </c>
      <c r="L32" s="7" t="s">
        <v>516</v>
      </c>
    </row>
    <row r="33" spans="1:14" s="7" customFormat="1">
      <c r="A33" s="370">
        <v>14</v>
      </c>
      <c r="B33" s="113" t="s">
        <v>746</v>
      </c>
      <c r="C33" s="373"/>
      <c r="D33" s="374">
        <v>0.5</v>
      </c>
      <c r="E33" s="374">
        <v>3</v>
      </c>
      <c r="F33" s="374">
        <v>3</v>
      </c>
      <c r="G33" s="374">
        <v>3</v>
      </c>
      <c r="H33" s="374"/>
      <c r="I33" s="374"/>
    </row>
    <row r="34" spans="1:14" s="7" customFormat="1">
      <c r="A34" s="370">
        <v>14</v>
      </c>
      <c r="B34" s="113" t="s">
        <v>747</v>
      </c>
      <c r="C34" s="373"/>
      <c r="D34" s="374">
        <v>3</v>
      </c>
      <c r="E34" s="374">
        <v>3</v>
      </c>
      <c r="F34" s="374">
        <v>3</v>
      </c>
      <c r="G34" s="374">
        <v>2</v>
      </c>
      <c r="H34" s="374">
        <v>1</v>
      </c>
      <c r="I34" s="374">
        <v>1</v>
      </c>
    </row>
    <row r="35" spans="1:14" s="7" customFormat="1">
      <c r="A35" s="370">
        <v>14</v>
      </c>
      <c r="B35" s="113" t="s">
        <v>748</v>
      </c>
      <c r="C35" s="373"/>
      <c r="D35" s="374"/>
      <c r="E35" s="374">
        <v>1</v>
      </c>
      <c r="F35" s="374"/>
      <c r="G35" s="374"/>
      <c r="H35" s="374"/>
      <c r="I35" s="374"/>
    </row>
    <row r="36" spans="1:14" s="7" customFormat="1">
      <c r="A36" s="370">
        <v>15</v>
      </c>
      <c r="B36" s="113" t="s">
        <v>326</v>
      </c>
      <c r="C36" s="173">
        <v>0.57399999999999995</v>
      </c>
      <c r="D36" s="173">
        <v>0.75</v>
      </c>
      <c r="E36" s="173">
        <v>0.75</v>
      </c>
      <c r="F36" s="173">
        <v>0.75</v>
      </c>
      <c r="G36" s="173">
        <v>0.75</v>
      </c>
      <c r="H36" s="173">
        <v>0.75</v>
      </c>
      <c r="I36" s="173">
        <v>0.75</v>
      </c>
    </row>
    <row r="37" spans="1:14" s="68" customFormat="1" ht="14.4">
      <c r="A37" s="177"/>
      <c r="B37" s="68" t="s">
        <v>52</v>
      </c>
      <c r="C37" s="97">
        <f>SUM(C5:C36)</f>
        <v>133.46991</v>
      </c>
      <c r="D37" s="97">
        <f t="shared" ref="D37:I37" si="0">SUM(D5:D36)</f>
        <v>131.17459999999997</v>
      </c>
      <c r="E37" s="97">
        <f t="shared" si="0"/>
        <v>184.53605999999999</v>
      </c>
      <c r="F37" s="97">
        <f t="shared" si="0"/>
        <v>156.22990499999997</v>
      </c>
      <c r="G37" s="97">
        <f t="shared" si="0"/>
        <v>149.69058500000003</v>
      </c>
      <c r="H37" s="97">
        <f t="shared" si="0"/>
        <v>141.54431</v>
      </c>
      <c r="I37" s="97">
        <f t="shared" si="0"/>
        <v>133.16197999999997</v>
      </c>
    </row>
    <row r="38" spans="1:14">
      <c r="C38" s="53"/>
      <c r="D38" s="53"/>
      <c r="E38" s="53"/>
      <c r="F38" s="53"/>
      <c r="G38" s="53"/>
      <c r="H38" s="53"/>
      <c r="I38" s="53"/>
    </row>
    <row r="39" spans="1:14" s="177" customFormat="1" ht="14.4">
      <c r="A39" s="268"/>
      <c r="B39" s="268" t="s">
        <v>34</v>
      </c>
      <c r="C39" s="268"/>
      <c r="D39" s="268"/>
      <c r="E39" s="268"/>
      <c r="F39" s="268"/>
      <c r="G39" s="268"/>
      <c r="H39" s="268"/>
      <c r="I39" s="268"/>
      <c r="J39" s="268"/>
      <c r="K39" s="268"/>
      <c r="L39" s="268"/>
    </row>
    <row r="40" spans="1:14" s="7" customFormat="1">
      <c r="A40" s="93" t="s">
        <v>422</v>
      </c>
      <c r="B40" s="7" t="s">
        <v>423</v>
      </c>
      <c r="C40" s="173">
        <v>2.0819999999999999</v>
      </c>
      <c r="D40" s="173">
        <v>7.2610000000000001</v>
      </c>
      <c r="E40" s="173">
        <v>35</v>
      </c>
      <c r="F40" s="173">
        <v>55.1</v>
      </c>
      <c r="G40" s="173">
        <v>80</v>
      </c>
      <c r="H40" s="173">
        <v>80</v>
      </c>
      <c r="I40" s="173">
        <v>60</v>
      </c>
    </row>
    <row r="41" spans="1:14" s="7" customFormat="1" ht="14.4">
      <c r="A41" s="93"/>
      <c r="B41" s="20" t="s">
        <v>47</v>
      </c>
      <c r="C41" s="98">
        <f>SUM(C40)</f>
        <v>2.0819999999999999</v>
      </c>
      <c r="D41" s="98">
        <f t="shared" ref="D41:I41" si="1">SUM(D40)</f>
        <v>7.2610000000000001</v>
      </c>
      <c r="E41" s="98">
        <f t="shared" si="1"/>
        <v>35</v>
      </c>
      <c r="F41" s="98">
        <f t="shared" si="1"/>
        <v>55.1</v>
      </c>
      <c r="G41" s="98">
        <f t="shared" si="1"/>
        <v>80</v>
      </c>
      <c r="H41" s="98">
        <f t="shared" si="1"/>
        <v>80</v>
      </c>
      <c r="I41" s="98">
        <f t="shared" si="1"/>
        <v>60</v>
      </c>
    </row>
    <row r="42" spans="1:14">
      <c r="C42" s="53"/>
    </row>
    <row r="43" spans="1:14" ht="14.4">
      <c r="A43" s="268"/>
      <c r="B43" s="25" t="s">
        <v>341</v>
      </c>
      <c r="C43" s="15"/>
      <c r="D43" s="26"/>
      <c r="E43" s="26"/>
      <c r="F43" s="26"/>
      <c r="G43" s="26"/>
      <c r="H43" s="26"/>
      <c r="I43" s="26"/>
      <c r="J43" s="26"/>
      <c r="K43" s="25"/>
      <c r="L43" s="27"/>
      <c r="M43" s="33"/>
      <c r="N43" s="33"/>
    </row>
    <row r="44" spans="1:14" s="7" customFormat="1">
      <c r="A44" s="370" t="s">
        <v>262</v>
      </c>
      <c r="B44" s="113" t="s">
        <v>122</v>
      </c>
      <c r="C44" s="173">
        <v>0</v>
      </c>
      <c r="D44" s="173">
        <v>0</v>
      </c>
      <c r="E44" s="173">
        <v>0</v>
      </c>
      <c r="F44" s="173">
        <v>0</v>
      </c>
      <c r="G44" s="173">
        <v>0</v>
      </c>
      <c r="H44" s="173">
        <v>0</v>
      </c>
      <c r="I44" s="173">
        <v>0</v>
      </c>
      <c r="J44" s="172">
        <v>0</v>
      </c>
      <c r="K44" s="7" t="s">
        <v>33</v>
      </c>
    </row>
    <row r="45" spans="1:14" s="7" customFormat="1">
      <c r="A45" s="370" t="s">
        <v>124</v>
      </c>
      <c r="B45" s="113" t="s">
        <v>123</v>
      </c>
      <c r="C45" s="173">
        <v>18.835000000000001</v>
      </c>
      <c r="D45" s="173">
        <v>20.091999999999999</v>
      </c>
      <c r="E45" s="173">
        <v>13.141</v>
      </c>
      <c r="F45" s="173">
        <v>10.516</v>
      </c>
      <c r="G45" s="173">
        <v>10.516</v>
      </c>
      <c r="H45" s="173">
        <v>10.516</v>
      </c>
      <c r="I45" s="173">
        <v>10.516</v>
      </c>
      <c r="J45" s="172">
        <v>2.9</v>
      </c>
      <c r="K45" s="7" t="s">
        <v>33</v>
      </c>
    </row>
    <row r="46" spans="1:14" s="7" customFormat="1">
      <c r="A46" s="370" t="s">
        <v>120</v>
      </c>
      <c r="B46" s="113" t="s">
        <v>498</v>
      </c>
      <c r="C46" s="173">
        <v>1.306</v>
      </c>
      <c r="D46" s="173">
        <v>1.395</v>
      </c>
      <c r="E46" s="173">
        <v>1.6120000000000001</v>
      </c>
      <c r="F46" s="173">
        <v>1.5549999999999999</v>
      </c>
      <c r="G46" s="173">
        <v>0</v>
      </c>
      <c r="H46" s="173">
        <v>0</v>
      </c>
      <c r="I46" s="173">
        <v>0</v>
      </c>
      <c r="J46" s="172">
        <v>0.2</v>
      </c>
      <c r="K46" s="7" t="s">
        <v>298</v>
      </c>
    </row>
    <row r="47" spans="1:14" s="7" customFormat="1">
      <c r="A47" s="370" t="s">
        <v>258</v>
      </c>
      <c r="B47" s="113" t="s">
        <v>499</v>
      </c>
      <c r="C47" s="173">
        <v>2.5150000000000001</v>
      </c>
      <c r="D47" s="173">
        <v>1.2949999999999999</v>
      </c>
      <c r="E47" s="173">
        <v>1.4279999999999999</v>
      </c>
      <c r="F47" s="173">
        <v>1.2350000000000001</v>
      </c>
      <c r="G47" s="173">
        <v>0</v>
      </c>
      <c r="H47" s="173">
        <v>0</v>
      </c>
      <c r="I47" s="173">
        <v>0</v>
      </c>
      <c r="J47" s="172">
        <v>0.6</v>
      </c>
      <c r="K47" s="7" t="s">
        <v>298</v>
      </c>
    </row>
    <row r="48" spans="1:14" s="7" customFormat="1">
      <c r="A48" s="92" t="s">
        <v>694</v>
      </c>
      <c r="B48" s="113" t="s">
        <v>695</v>
      </c>
      <c r="C48" s="173"/>
      <c r="D48" s="173"/>
      <c r="E48" s="173">
        <v>8.5549999999999997</v>
      </c>
      <c r="F48" s="173">
        <v>9.1020000000000003</v>
      </c>
      <c r="G48" s="173">
        <v>8.1219999999999999</v>
      </c>
      <c r="H48" s="173">
        <v>3.7250000000000001</v>
      </c>
      <c r="I48" s="173">
        <v>3.7250000000000001</v>
      </c>
      <c r="J48" s="172"/>
      <c r="K48" s="7" t="s">
        <v>108</v>
      </c>
    </row>
    <row r="49" spans="1:12" s="7" customFormat="1">
      <c r="A49" s="370" t="s">
        <v>263</v>
      </c>
      <c r="B49" s="113" t="s">
        <v>593</v>
      </c>
      <c r="C49" s="173">
        <v>0.58099999999999996</v>
      </c>
      <c r="D49" s="173">
        <v>0.56200000000000006</v>
      </c>
      <c r="E49" s="173">
        <v>0.22800000000000001</v>
      </c>
      <c r="F49" s="173">
        <v>0.6</v>
      </c>
      <c r="G49" s="173">
        <v>0.6</v>
      </c>
      <c r="H49" s="173">
        <v>0.6</v>
      </c>
      <c r="I49" s="173">
        <v>0.6</v>
      </c>
      <c r="J49" s="172">
        <v>0.8</v>
      </c>
      <c r="K49" s="7" t="s">
        <v>110</v>
      </c>
    </row>
    <row r="50" spans="1:12" s="7" customFormat="1">
      <c r="A50" s="370" t="s">
        <v>263</v>
      </c>
      <c r="B50" s="113" t="s">
        <v>562</v>
      </c>
      <c r="C50" s="173">
        <v>0</v>
      </c>
      <c r="D50" s="173">
        <v>0</v>
      </c>
      <c r="E50" s="173">
        <v>0</v>
      </c>
      <c r="F50" s="173">
        <v>2.85</v>
      </c>
      <c r="G50" s="173">
        <v>0</v>
      </c>
      <c r="H50" s="173">
        <v>0</v>
      </c>
      <c r="I50" s="173">
        <v>0</v>
      </c>
      <c r="J50" s="172">
        <v>13.500797774413941</v>
      </c>
      <c r="K50" s="7" t="s">
        <v>298</v>
      </c>
    </row>
    <row r="51" spans="1:12" s="7" customFormat="1">
      <c r="A51" s="370" t="s">
        <v>264</v>
      </c>
      <c r="B51" s="113" t="s">
        <v>594</v>
      </c>
      <c r="C51" s="173">
        <v>6.4480000000000004</v>
      </c>
      <c r="D51" s="173">
        <v>9.3330000000000002</v>
      </c>
      <c r="E51" s="173">
        <v>9.0960000000000001</v>
      </c>
      <c r="F51" s="173">
        <v>9.0960000000000001</v>
      </c>
      <c r="G51" s="173">
        <v>0</v>
      </c>
      <c r="H51" s="173">
        <v>0</v>
      </c>
      <c r="I51" s="173">
        <v>0</v>
      </c>
      <c r="J51" s="172">
        <v>23.4</v>
      </c>
      <c r="K51" s="7" t="s">
        <v>265</v>
      </c>
      <c r="L51" s="7" t="s">
        <v>268</v>
      </c>
    </row>
    <row r="52" spans="1:12" s="7" customFormat="1">
      <c r="A52" s="370" t="s">
        <v>264</v>
      </c>
      <c r="B52" s="113" t="s">
        <v>595</v>
      </c>
      <c r="C52" s="173">
        <v>0</v>
      </c>
      <c r="D52" s="173">
        <v>4</v>
      </c>
      <c r="E52" s="173">
        <v>3</v>
      </c>
      <c r="F52" s="173">
        <v>0</v>
      </c>
      <c r="G52" s="173">
        <v>0</v>
      </c>
      <c r="H52" s="173">
        <v>0</v>
      </c>
      <c r="I52" s="173">
        <v>0</v>
      </c>
      <c r="J52" s="172">
        <v>7.7</v>
      </c>
      <c r="K52" s="7" t="s">
        <v>266</v>
      </c>
      <c r="L52" s="7" t="s">
        <v>268</v>
      </c>
    </row>
    <row r="53" spans="1:12" s="7" customFormat="1">
      <c r="A53" s="370" t="s">
        <v>264</v>
      </c>
      <c r="B53" s="113" t="s">
        <v>692</v>
      </c>
      <c r="C53" s="173">
        <v>4</v>
      </c>
      <c r="D53" s="173">
        <v>0</v>
      </c>
      <c r="E53" s="173">
        <v>0</v>
      </c>
      <c r="F53" s="173">
        <v>0</v>
      </c>
      <c r="G53" s="173">
        <v>0</v>
      </c>
      <c r="H53" s="173">
        <v>0</v>
      </c>
      <c r="I53" s="173">
        <v>0</v>
      </c>
      <c r="J53" s="172">
        <v>0</v>
      </c>
      <c r="K53" s="7" t="s">
        <v>267</v>
      </c>
      <c r="L53" s="7" t="s">
        <v>161</v>
      </c>
    </row>
    <row r="54" spans="1:12" s="7" customFormat="1">
      <c r="A54" s="370" t="s">
        <v>343</v>
      </c>
      <c r="B54" s="113" t="s">
        <v>344</v>
      </c>
      <c r="C54" s="173">
        <v>5.2926870759034248</v>
      </c>
      <c r="D54" s="173">
        <v>5.0975000000000001</v>
      </c>
      <c r="E54" s="173">
        <v>3.4816250000000002</v>
      </c>
      <c r="F54" s="173">
        <v>1.9604999999999999</v>
      </c>
      <c r="G54" s="173">
        <v>0.92800000000000005</v>
      </c>
      <c r="H54" s="173">
        <v>0.182</v>
      </c>
      <c r="I54" s="173">
        <v>0.182</v>
      </c>
      <c r="J54" s="172">
        <v>19.600000000000001</v>
      </c>
      <c r="K54" s="7" t="s">
        <v>346</v>
      </c>
      <c r="L54" s="7" t="s">
        <v>347</v>
      </c>
    </row>
    <row r="55" spans="1:12" s="7" customFormat="1">
      <c r="A55" s="370" t="s">
        <v>343</v>
      </c>
      <c r="B55" s="113" t="s">
        <v>345</v>
      </c>
      <c r="C55" s="173">
        <v>1.6413129240965756</v>
      </c>
      <c r="D55" s="173">
        <v>5.0975000000000001</v>
      </c>
      <c r="E55" s="173">
        <v>4.476375</v>
      </c>
      <c r="F55" s="173">
        <v>1.9604999999999999</v>
      </c>
      <c r="G55" s="173">
        <v>0</v>
      </c>
      <c r="H55" s="173">
        <v>0</v>
      </c>
      <c r="I55" s="173">
        <v>0</v>
      </c>
      <c r="J55" s="172">
        <v>25.3</v>
      </c>
      <c r="K55" s="7" t="s">
        <v>298</v>
      </c>
      <c r="L55" s="7" t="s">
        <v>347</v>
      </c>
    </row>
    <row r="56" spans="1:12" s="7" customFormat="1">
      <c r="A56" s="370" t="s">
        <v>429</v>
      </c>
      <c r="B56" s="113" t="s">
        <v>452</v>
      </c>
      <c r="C56" s="173">
        <v>4.4359999999999999</v>
      </c>
      <c r="D56" s="173">
        <v>5.258</v>
      </c>
      <c r="E56" s="173">
        <v>5.258</v>
      </c>
      <c r="F56" s="173">
        <v>5.258</v>
      </c>
      <c r="G56" s="173">
        <v>4.4359999999999999</v>
      </c>
      <c r="H56" s="173">
        <v>4.4359999999999999</v>
      </c>
      <c r="I56" s="173">
        <v>4.4359999999999999</v>
      </c>
      <c r="J56" s="172">
        <v>11.3</v>
      </c>
    </row>
    <row r="57" spans="1:12" s="7" customFormat="1">
      <c r="A57" s="370" t="s">
        <v>689</v>
      </c>
      <c r="B57" s="113" t="s">
        <v>693</v>
      </c>
      <c r="C57" s="173">
        <v>5.4429999999999996</v>
      </c>
      <c r="D57" s="173">
        <v>8.0440000000000005</v>
      </c>
      <c r="E57" s="173">
        <v>6.1390000000000002</v>
      </c>
      <c r="F57" s="173">
        <v>5.3410000000000002</v>
      </c>
      <c r="G57" s="173">
        <v>5.2770000000000001</v>
      </c>
      <c r="H57" s="173">
        <v>5.3019999999999996</v>
      </c>
      <c r="I57" s="173">
        <v>4.9009999999999998</v>
      </c>
      <c r="J57" s="172">
        <v>11</v>
      </c>
      <c r="K57" s="7" t="s">
        <v>298</v>
      </c>
    </row>
    <row r="58" spans="1:12" s="7" customFormat="1">
      <c r="A58" s="370" t="s">
        <v>496</v>
      </c>
      <c r="B58" s="113" t="s">
        <v>492</v>
      </c>
      <c r="C58" s="173">
        <v>5.3120000000000003</v>
      </c>
      <c r="D58" s="173">
        <v>3.0470000000000002</v>
      </c>
      <c r="E58" s="173">
        <v>3.5840000000000001</v>
      </c>
      <c r="F58" s="173">
        <v>3.1709999999999998</v>
      </c>
      <c r="G58" s="173">
        <v>2.9060000000000001</v>
      </c>
      <c r="H58" s="173">
        <v>2.476</v>
      </c>
      <c r="I58" s="173">
        <v>2.476</v>
      </c>
      <c r="J58" s="172">
        <v>33.5</v>
      </c>
      <c r="K58" s="7" t="s">
        <v>33</v>
      </c>
      <c r="L58" s="7" t="s">
        <v>786</v>
      </c>
    </row>
    <row r="59" spans="1:12" s="7" customFormat="1">
      <c r="A59" s="370" t="s">
        <v>497</v>
      </c>
      <c r="B59" s="113" t="s">
        <v>491</v>
      </c>
      <c r="C59" s="173">
        <v>0.46600000000000003</v>
      </c>
      <c r="D59" s="173">
        <v>0.58299999999999996</v>
      </c>
      <c r="E59" s="173">
        <v>0.63700000000000001</v>
      </c>
      <c r="F59" s="173">
        <v>0.41899999999999998</v>
      </c>
      <c r="G59" s="173">
        <v>0.22</v>
      </c>
      <c r="H59" s="173">
        <v>0.22</v>
      </c>
      <c r="I59" s="173">
        <v>0.22</v>
      </c>
      <c r="J59" s="172">
        <v>13.6</v>
      </c>
      <c r="K59" s="7" t="s">
        <v>33</v>
      </c>
      <c r="L59" s="7" t="s">
        <v>786</v>
      </c>
    </row>
    <row r="60" spans="1:12" s="7" customFormat="1">
      <c r="A60" s="370" t="s">
        <v>500</v>
      </c>
      <c r="B60" s="113" t="s">
        <v>501</v>
      </c>
      <c r="C60" s="173">
        <v>4.8179999999999996</v>
      </c>
      <c r="D60" s="173">
        <v>2.113</v>
      </c>
      <c r="E60" s="173">
        <v>1.5249999999999999</v>
      </c>
      <c r="F60" s="173">
        <v>2.75</v>
      </c>
      <c r="G60" s="173">
        <v>2.3780000000000001</v>
      </c>
      <c r="H60" s="173">
        <v>0.5</v>
      </c>
      <c r="I60" s="173">
        <v>0.5</v>
      </c>
      <c r="J60" s="172">
        <v>18</v>
      </c>
      <c r="K60" s="7" t="s">
        <v>33</v>
      </c>
      <c r="L60" s="7" t="s">
        <v>786</v>
      </c>
    </row>
    <row r="61" spans="1:12" s="68" customFormat="1" ht="14.4">
      <c r="A61" s="177"/>
      <c r="B61" s="68" t="s">
        <v>342</v>
      </c>
      <c r="C61" s="98">
        <f>SUM(C44:C60)</f>
        <v>61.093999999999994</v>
      </c>
      <c r="D61" s="98">
        <f t="shared" ref="D61:I61" si="2">SUM(D44:D60)</f>
        <v>65.917000000000002</v>
      </c>
      <c r="E61" s="98">
        <f t="shared" si="2"/>
        <v>62.161000000000008</v>
      </c>
      <c r="F61" s="98">
        <f t="shared" si="2"/>
        <v>55.814000000000014</v>
      </c>
      <c r="G61" s="98">
        <f t="shared" si="2"/>
        <v>35.383000000000003</v>
      </c>
      <c r="H61" s="98">
        <f t="shared" si="2"/>
        <v>27.956999999999997</v>
      </c>
      <c r="I61" s="98">
        <f t="shared" si="2"/>
        <v>27.555999999999997</v>
      </c>
    </row>
    <row r="62" spans="1:12">
      <c r="C62" s="50"/>
      <c r="D62" s="1"/>
      <c r="E62" s="1"/>
      <c r="F62" s="1"/>
      <c r="G62" s="1"/>
      <c r="H62" s="1"/>
      <c r="I62" s="1"/>
    </row>
    <row r="63" spans="1:12" ht="14.4">
      <c r="A63" s="75"/>
      <c r="B63" s="15" t="s">
        <v>399</v>
      </c>
      <c r="C63" s="267"/>
      <c r="D63" s="17"/>
      <c r="E63" s="17"/>
      <c r="F63" s="17"/>
      <c r="G63" s="17"/>
      <c r="H63" s="17"/>
      <c r="I63" s="17"/>
      <c r="J63" s="17"/>
      <c r="K63" s="17"/>
      <c r="L63" s="17"/>
    </row>
    <row r="64" spans="1:12" s="7" customFormat="1" ht="14.4">
      <c r="A64" s="93" t="s">
        <v>502</v>
      </c>
      <c r="B64" s="170" t="s">
        <v>842</v>
      </c>
      <c r="C64" s="7">
        <v>2.2692000000000001</v>
      </c>
      <c r="D64" s="7">
        <v>2.742</v>
      </c>
      <c r="E64" s="58">
        <v>3.0371999999999999</v>
      </c>
      <c r="F64" s="7">
        <v>3.0371999999999999</v>
      </c>
      <c r="G64" s="58">
        <v>3.3376000000000001</v>
      </c>
      <c r="H64" s="58">
        <v>3.3376000000000001</v>
      </c>
      <c r="I64" s="58">
        <v>3.3376000000000001</v>
      </c>
      <c r="J64" s="7">
        <v>40</v>
      </c>
      <c r="K64" s="7" t="s">
        <v>19</v>
      </c>
    </row>
    <row r="65" spans="1:11" s="7" customFormat="1" ht="14.4">
      <c r="A65" s="93" t="s">
        <v>502</v>
      </c>
      <c r="B65" s="170" t="s">
        <v>880</v>
      </c>
      <c r="C65" s="7">
        <v>0</v>
      </c>
      <c r="D65" s="7">
        <v>2.8570000000000002</v>
      </c>
      <c r="E65" s="58">
        <v>26.8</v>
      </c>
      <c r="F65" s="58">
        <v>15</v>
      </c>
      <c r="G65" s="58">
        <v>9</v>
      </c>
      <c r="H65" s="58">
        <v>5.5</v>
      </c>
      <c r="I65" s="58">
        <v>5</v>
      </c>
      <c r="J65" s="7">
        <v>100</v>
      </c>
      <c r="K65" s="7" t="s">
        <v>569</v>
      </c>
    </row>
    <row r="66" spans="1:11" s="7" customFormat="1">
      <c r="A66" s="113" t="s">
        <v>29</v>
      </c>
      <c r="B66" s="113" t="s">
        <v>224</v>
      </c>
      <c r="C66" s="58">
        <v>3.1387999999999998</v>
      </c>
      <c r="D66" s="58">
        <v>4.1413000000000002</v>
      </c>
      <c r="E66" s="58">
        <v>4.2315000000000005</v>
      </c>
      <c r="F66" s="58">
        <v>7.4051999999999998</v>
      </c>
      <c r="G66" s="58">
        <v>5.1427999999999994</v>
      </c>
      <c r="H66" s="58">
        <v>4.1559999999999997</v>
      </c>
      <c r="I66" s="58">
        <v>4.1559999999999997</v>
      </c>
      <c r="J66" s="7">
        <v>10</v>
      </c>
      <c r="K66" s="7" t="s">
        <v>11</v>
      </c>
    </row>
    <row r="67" spans="1:11" s="7" customFormat="1">
      <c r="A67" s="113" t="s">
        <v>229</v>
      </c>
      <c r="B67" s="113" t="s">
        <v>881</v>
      </c>
      <c r="C67" s="58">
        <v>0</v>
      </c>
      <c r="D67" s="58">
        <v>0</v>
      </c>
      <c r="E67" s="58">
        <v>0</v>
      </c>
      <c r="F67" s="58">
        <v>0</v>
      </c>
      <c r="G67" s="58">
        <v>0</v>
      </c>
      <c r="H67" s="58">
        <v>0</v>
      </c>
      <c r="I67" s="58">
        <v>0</v>
      </c>
      <c r="J67" s="7">
        <v>100</v>
      </c>
      <c r="K67" s="7" t="s">
        <v>8</v>
      </c>
    </row>
    <row r="68" spans="1:11" s="7" customFormat="1">
      <c r="A68" s="113" t="s">
        <v>31</v>
      </c>
      <c r="B68" s="113" t="s">
        <v>230</v>
      </c>
      <c r="C68" s="58">
        <v>24.6069</v>
      </c>
      <c r="D68" s="58">
        <v>25.81758</v>
      </c>
      <c r="E68" s="58">
        <v>25.912199999999999</v>
      </c>
      <c r="F68" s="58">
        <v>23.985410000000002</v>
      </c>
      <c r="G68" s="58">
        <v>23.75741</v>
      </c>
      <c r="H68" s="58">
        <v>23.75741</v>
      </c>
      <c r="I68" s="58">
        <v>23.75741</v>
      </c>
      <c r="J68" s="7">
        <v>19</v>
      </c>
      <c r="K68" s="7" t="s">
        <v>6</v>
      </c>
    </row>
    <row r="69" spans="1:11" s="7" customFormat="1">
      <c r="A69" s="113" t="s">
        <v>221</v>
      </c>
      <c r="B69" s="113" t="s">
        <v>222</v>
      </c>
      <c r="C69" s="58">
        <v>0</v>
      </c>
      <c r="D69" s="58">
        <v>14.416</v>
      </c>
      <c r="E69" s="58">
        <v>10.5908</v>
      </c>
      <c r="F69" s="58">
        <v>12.790800000000001</v>
      </c>
      <c r="G69" s="58">
        <v>12.8308</v>
      </c>
      <c r="H69" s="58">
        <v>9.6308000000000007</v>
      </c>
      <c r="I69" s="58">
        <v>9.6308000000000007</v>
      </c>
      <c r="J69" s="7">
        <v>40</v>
      </c>
      <c r="K69" s="7" t="s">
        <v>8</v>
      </c>
    </row>
    <row r="70" spans="1:11" s="7" customFormat="1">
      <c r="A70" s="113" t="s">
        <v>505</v>
      </c>
      <c r="B70" s="113" t="s">
        <v>889</v>
      </c>
      <c r="C70" s="58">
        <v>0</v>
      </c>
      <c r="D70" s="58">
        <v>0</v>
      </c>
      <c r="E70" s="58">
        <v>50</v>
      </c>
      <c r="F70" s="58">
        <v>0</v>
      </c>
      <c r="G70" s="58">
        <v>0</v>
      </c>
      <c r="H70" s="58">
        <v>0</v>
      </c>
      <c r="I70" s="58">
        <v>0</v>
      </c>
      <c r="J70" s="7">
        <v>100</v>
      </c>
      <c r="K70" s="7" t="s">
        <v>8</v>
      </c>
    </row>
    <row r="71" spans="1:11" s="7" customFormat="1">
      <c r="A71" s="113" t="s">
        <v>505</v>
      </c>
      <c r="B71" s="113" t="s">
        <v>643</v>
      </c>
      <c r="C71" s="58">
        <v>8.6141999999999985</v>
      </c>
      <c r="D71" s="58">
        <v>15.3148</v>
      </c>
      <c r="E71" s="58">
        <v>29.705199999999998</v>
      </c>
      <c r="F71" s="58">
        <v>46.161200000000001</v>
      </c>
      <c r="G71" s="58">
        <v>55.84</v>
      </c>
      <c r="H71" s="58">
        <v>64.180000000000007</v>
      </c>
      <c r="I71" s="58">
        <v>61.96</v>
      </c>
      <c r="J71" s="7">
        <v>90</v>
      </c>
      <c r="K71" s="7" t="s">
        <v>8</v>
      </c>
    </row>
    <row r="72" spans="1:11" s="7" customFormat="1">
      <c r="A72" s="113" t="s">
        <v>571</v>
      </c>
      <c r="B72" s="113" t="s">
        <v>866</v>
      </c>
      <c r="C72" s="58">
        <v>0</v>
      </c>
      <c r="D72" s="58">
        <v>2.718</v>
      </c>
      <c r="E72" s="58">
        <v>12.468</v>
      </c>
      <c r="F72" s="58">
        <v>12.468</v>
      </c>
      <c r="G72" s="58">
        <v>12.117000000000001</v>
      </c>
      <c r="H72" s="58">
        <v>3.867</v>
      </c>
      <c r="I72" s="58">
        <v>3.117</v>
      </c>
      <c r="J72" s="7">
        <v>75</v>
      </c>
      <c r="K72" s="7" t="s">
        <v>8</v>
      </c>
    </row>
    <row r="73" spans="1:11" s="7" customFormat="1">
      <c r="A73" s="94">
        <v>24</v>
      </c>
      <c r="B73" s="10" t="s">
        <v>671</v>
      </c>
      <c r="C73" s="58">
        <v>0</v>
      </c>
      <c r="D73" s="58">
        <v>1.36</v>
      </c>
      <c r="E73" s="58">
        <v>2.98</v>
      </c>
      <c r="F73" s="58">
        <v>5.2</v>
      </c>
      <c r="G73" s="58">
        <v>3.87</v>
      </c>
      <c r="H73" s="58">
        <v>2.14</v>
      </c>
      <c r="I73" s="58">
        <v>0.5</v>
      </c>
      <c r="J73" s="7">
        <v>10</v>
      </c>
      <c r="K73" s="7" t="s">
        <v>681</v>
      </c>
    </row>
    <row r="74" spans="1:11" s="7" customFormat="1">
      <c r="A74" s="94">
        <v>25</v>
      </c>
      <c r="B74" s="10" t="s">
        <v>673</v>
      </c>
      <c r="C74" s="58">
        <v>0</v>
      </c>
      <c r="D74" s="58">
        <v>4.8975</v>
      </c>
      <c r="E74" s="58">
        <v>134.08949999999999</v>
      </c>
      <c r="F74" s="58">
        <v>8.0709999999999997</v>
      </c>
      <c r="G74" s="58">
        <v>7.0709999999999997</v>
      </c>
      <c r="H74" s="58">
        <v>7.0709999999999997</v>
      </c>
      <c r="I74" s="58">
        <v>0</v>
      </c>
      <c r="J74" s="7">
        <v>50</v>
      </c>
      <c r="K74" s="7" t="s">
        <v>681</v>
      </c>
    </row>
    <row r="75" spans="1:11" s="7" customFormat="1">
      <c r="A75" s="94">
        <v>26</v>
      </c>
      <c r="B75" s="10" t="s">
        <v>674</v>
      </c>
      <c r="C75" s="58">
        <v>0</v>
      </c>
      <c r="D75" s="58">
        <v>10</v>
      </c>
      <c r="E75" s="58">
        <v>12</v>
      </c>
      <c r="F75" s="58">
        <v>0</v>
      </c>
      <c r="G75" s="58">
        <v>0</v>
      </c>
      <c r="H75" s="58">
        <v>0</v>
      </c>
      <c r="I75" s="58">
        <v>0</v>
      </c>
      <c r="J75" s="7">
        <v>100</v>
      </c>
      <c r="K75" s="7" t="s">
        <v>681</v>
      </c>
    </row>
    <row r="76" spans="1:11" s="7" customFormat="1">
      <c r="A76" s="94">
        <v>27</v>
      </c>
      <c r="B76" s="10" t="s">
        <v>675</v>
      </c>
      <c r="C76" s="58">
        <v>4.7</v>
      </c>
      <c r="D76" s="58">
        <v>10.45</v>
      </c>
      <c r="E76" s="58">
        <v>4.8914999999999997</v>
      </c>
      <c r="F76" s="58">
        <v>3.3170000000000002</v>
      </c>
      <c r="G76" s="58">
        <v>2.7665000000000002</v>
      </c>
      <c r="H76" s="58">
        <v>0.79200000000000004</v>
      </c>
      <c r="I76" s="58">
        <v>0.64149999999999996</v>
      </c>
      <c r="J76" s="7">
        <v>50</v>
      </c>
      <c r="K76" s="7" t="s">
        <v>680</v>
      </c>
    </row>
    <row r="77" spans="1:11" s="7" customFormat="1">
      <c r="A77" s="94">
        <v>28</v>
      </c>
      <c r="B77" s="10" t="s">
        <v>676</v>
      </c>
      <c r="C77" s="58">
        <v>0</v>
      </c>
      <c r="D77" s="58">
        <v>33.9</v>
      </c>
      <c r="E77" s="58">
        <v>40.450000000000003</v>
      </c>
      <c r="F77" s="58">
        <v>38.549999999999997</v>
      </c>
      <c r="G77" s="58">
        <v>14.5</v>
      </c>
      <c r="H77" s="58">
        <v>4.05</v>
      </c>
      <c r="I77" s="58">
        <v>9.5500000000000007</v>
      </c>
      <c r="J77" s="7">
        <v>50</v>
      </c>
      <c r="K77" s="7" t="s">
        <v>681</v>
      </c>
    </row>
    <row r="78" spans="1:11" s="7" customFormat="1">
      <c r="A78" s="94"/>
      <c r="B78" s="10" t="s">
        <v>819</v>
      </c>
      <c r="C78" s="58">
        <v>0</v>
      </c>
      <c r="D78" s="58">
        <v>0</v>
      </c>
      <c r="E78" s="58">
        <v>12.2425</v>
      </c>
      <c r="F78" s="58">
        <v>8.7575000000000003</v>
      </c>
      <c r="G78" s="58">
        <v>5</v>
      </c>
      <c r="H78" s="58">
        <v>3.75</v>
      </c>
      <c r="I78" s="58">
        <v>1.25</v>
      </c>
      <c r="J78" s="7">
        <v>25</v>
      </c>
      <c r="K78" s="7" t="s">
        <v>801</v>
      </c>
    </row>
    <row r="79" spans="1:11" s="7" customFormat="1">
      <c r="A79" s="113" t="s">
        <v>30</v>
      </c>
      <c r="B79" s="113" t="s">
        <v>223</v>
      </c>
      <c r="C79" s="58">
        <v>6.9832000000000001</v>
      </c>
      <c r="D79" s="58">
        <v>15.3386</v>
      </c>
      <c r="E79" s="58">
        <v>8.2514000000000003</v>
      </c>
      <c r="F79" s="58">
        <v>12.2506</v>
      </c>
      <c r="G79" s="58">
        <v>11.2172</v>
      </c>
      <c r="H79" s="58">
        <v>11.3612</v>
      </c>
      <c r="I79" s="58">
        <v>8.8171999999999997</v>
      </c>
      <c r="J79" s="7">
        <v>20</v>
      </c>
      <c r="K79" s="7" t="s">
        <v>8</v>
      </c>
    </row>
    <row r="80" spans="1:11" s="7" customFormat="1">
      <c r="A80" s="113" t="s">
        <v>509</v>
      </c>
      <c r="B80" s="109" t="s">
        <v>882</v>
      </c>
      <c r="C80" s="58">
        <v>0.52832000000000001</v>
      </c>
      <c r="D80" s="58">
        <v>8.3803199999999993</v>
      </c>
      <c r="E80" s="58">
        <v>0.60840000000000005</v>
      </c>
      <c r="F80" s="58">
        <v>0.3276</v>
      </c>
      <c r="G80" s="58">
        <v>1.4872000000000001</v>
      </c>
      <c r="H80" s="58">
        <v>1.3</v>
      </c>
      <c r="I80" s="58">
        <v>1.3</v>
      </c>
      <c r="J80" s="7">
        <v>52</v>
      </c>
      <c r="K80" s="7" t="s">
        <v>8</v>
      </c>
    </row>
    <row r="81" spans="1:13" s="7" customFormat="1">
      <c r="A81" s="113" t="s">
        <v>9</v>
      </c>
      <c r="B81" s="113" t="s">
        <v>225</v>
      </c>
      <c r="C81" s="58">
        <v>1.4</v>
      </c>
      <c r="D81" s="58">
        <v>14.611000000000001</v>
      </c>
      <c r="E81" s="58">
        <v>2.2532000000000001</v>
      </c>
      <c r="F81" s="58">
        <v>2.6202000000000001</v>
      </c>
      <c r="G81" s="58">
        <v>3.16</v>
      </c>
      <c r="H81" s="58">
        <v>2.16</v>
      </c>
      <c r="I81" s="58">
        <v>4.5999999999999996</v>
      </c>
      <c r="J81" s="7">
        <v>20</v>
      </c>
      <c r="K81" s="7" t="s">
        <v>8</v>
      </c>
    </row>
    <row r="82" spans="1:13" s="7" customFormat="1">
      <c r="A82" s="113" t="s">
        <v>572</v>
      </c>
      <c r="B82" s="113" t="s">
        <v>572</v>
      </c>
      <c r="C82" s="58">
        <v>0</v>
      </c>
      <c r="D82" s="58">
        <v>3</v>
      </c>
      <c r="E82" s="58">
        <v>3.5</v>
      </c>
      <c r="F82" s="58">
        <v>4</v>
      </c>
      <c r="G82" s="58">
        <v>0.75</v>
      </c>
      <c r="H82" s="58">
        <v>0.75</v>
      </c>
      <c r="I82" s="58">
        <v>0.75</v>
      </c>
      <c r="J82" s="7">
        <v>50</v>
      </c>
      <c r="K82" s="7" t="s">
        <v>573</v>
      </c>
    </row>
    <row r="83" spans="1:13" s="7" customFormat="1">
      <c r="A83" s="113" t="s">
        <v>292</v>
      </c>
      <c r="B83" s="113" t="s">
        <v>868</v>
      </c>
      <c r="C83" s="58">
        <v>3.4275000000000002</v>
      </c>
      <c r="D83" s="58">
        <v>16.012999999999998</v>
      </c>
      <c r="E83" s="58">
        <v>10.2485</v>
      </c>
      <c r="F83" s="58">
        <v>11.298499999999999</v>
      </c>
      <c r="G83" s="58">
        <v>7.2985000000000007</v>
      </c>
      <c r="H83" s="58">
        <v>7.2985000000000007</v>
      </c>
      <c r="I83" s="58">
        <v>7.2985000000000007</v>
      </c>
      <c r="J83" s="7">
        <v>50</v>
      </c>
      <c r="K83" s="7" t="s">
        <v>8</v>
      </c>
      <c r="M83" s="93"/>
    </row>
    <row r="84" spans="1:13" s="7" customFormat="1">
      <c r="A84" s="113" t="s">
        <v>360</v>
      </c>
      <c r="B84" s="113" t="s">
        <v>883</v>
      </c>
      <c r="C84" s="58">
        <v>0.39800000000000002</v>
      </c>
      <c r="D84" s="58">
        <v>9.4999999999999998E-3</v>
      </c>
      <c r="E84" s="58">
        <v>0</v>
      </c>
      <c r="F84" s="58">
        <v>0</v>
      </c>
      <c r="G84" s="58">
        <v>0</v>
      </c>
      <c r="H84" s="58">
        <v>0</v>
      </c>
      <c r="I84" s="58">
        <v>0</v>
      </c>
      <c r="J84" s="7">
        <v>50</v>
      </c>
      <c r="K84" s="7" t="s">
        <v>8</v>
      </c>
      <c r="M84" s="93"/>
    </row>
    <row r="85" spans="1:13" s="7" customFormat="1">
      <c r="A85" s="113" t="s">
        <v>269</v>
      </c>
      <c r="B85" s="113" t="s">
        <v>270</v>
      </c>
      <c r="C85" s="58">
        <v>40.671599999999998</v>
      </c>
      <c r="D85" s="58">
        <v>18.913</v>
      </c>
      <c r="E85" s="58">
        <v>9</v>
      </c>
      <c r="F85" s="58">
        <v>0</v>
      </c>
      <c r="G85" s="58">
        <v>0</v>
      </c>
      <c r="H85" s="58">
        <v>0</v>
      </c>
      <c r="I85" s="58">
        <v>0</v>
      </c>
      <c r="J85" s="7">
        <v>100</v>
      </c>
      <c r="K85" s="7" t="s">
        <v>8</v>
      </c>
      <c r="M85" s="93"/>
    </row>
    <row r="86" spans="1:13" s="7" customFormat="1">
      <c r="A86" s="113"/>
      <c r="B86" s="113" t="s">
        <v>884</v>
      </c>
      <c r="C86" s="58">
        <v>4.8132000000000001</v>
      </c>
      <c r="D86" s="58">
        <v>16.6402</v>
      </c>
      <c r="E86" s="58">
        <v>9.4434000000000005</v>
      </c>
      <c r="F86" s="58">
        <v>6.7723999999999993</v>
      </c>
      <c r="G86" s="58">
        <v>3.1753999999999998</v>
      </c>
      <c r="H86" s="58">
        <v>0</v>
      </c>
      <c r="I86" s="58">
        <v>0</v>
      </c>
      <c r="J86" s="7">
        <v>100</v>
      </c>
      <c r="K86" s="7" t="s">
        <v>885</v>
      </c>
      <c r="M86" s="93"/>
    </row>
    <row r="87" spans="1:13" s="7" customFormat="1">
      <c r="A87" s="7" t="s">
        <v>652</v>
      </c>
      <c r="B87" s="7" t="s">
        <v>653</v>
      </c>
      <c r="C87" s="58">
        <v>0</v>
      </c>
      <c r="D87" s="58">
        <v>3</v>
      </c>
      <c r="E87" s="58">
        <v>2.1</v>
      </c>
      <c r="F87" s="58">
        <v>1.8</v>
      </c>
      <c r="G87" s="58">
        <v>0.6</v>
      </c>
      <c r="H87" s="58">
        <v>0</v>
      </c>
      <c r="I87" s="58">
        <v>0</v>
      </c>
      <c r="J87" s="7">
        <v>30</v>
      </c>
      <c r="K87" s="7" t="s">
        <v>8</v>
      </c>
      <c r="M87" s="93"/>
    </row>
    <row r="88" spans="1:13" s="7" customFormat="1">
      <c r="A88" s="7" t="s">
        <v>654</v>
      </c>
      <c r="B88" s="7" t="s">
        <v>656</v>
      </c>
      <c r="C88" s="58">
        <v>0</v>
      </c>
      <c r="D88" s="58">
        <v>17.5</v>
      </c>
      <c r="E88" s="58">
        <v>12.5</v>
      </c>
      <c r="F88" s="58">
        <v>12.5</v>
      </c>
      <c r="G88" s="58">
        <v>12.5</v>
      </c>
      <c r="H88" s="58">
        <v>32.5</v>
      </c>
      <c r="I88" s="58">
        <v>0</v>
      </c>
      <c r="J88" s="7">
        <v>50</v>
      </c>
      <c r="K88" s="7" t="s">
        <v>8</v>
      </c>
      <c r="M88" s="93"/>
    </row>
    <row r="89" spans="1:13" s="7" customFormat="1">
      <c r="A89" s="7" t="s">
        <v>655</v>
      </c>
      <c r="B89" s="7" t="s">
        <v>657</v>
      </c>
      <c r="C89" s="58">
        <v>0</v>
      </c>
      <c r="D89" s="58">
        <v>4</v>
      </c>
      <c r="E89" s="58">
        <v>2</v>
      </c>
      <c r="F89" s="58">
        <v>2</v>
      </c>
      <c r="G89" s="58">
        <v>2</v>
      </c>
      <c r="H89" s="58">
        <v>0</v>
      </c>
      <c r="I89" s="58">
        <v>0</v>
      </c>
      <c r="J89" s="7">
        <v>20</v>
      </c>
      <c r="K89" s="7" t="s">
        <v>8</v>
      </c>
      <c r="M89" s="93"/>
    </row>
    <row r="90" spans="1:13" s="119" customFormat="1">
      <c r="A90" s="93" t="s">
        <v>822</v>
      </c>
      <c r="B90" s="7" t="s">
        <v>870</v>
      </c>
      <c r="C90" s="58">
        <v>40.881</v>
      </c>
      <c r="D90" s="58">
        <v>45.96</v>
      </c>
      <c r="E90" s="58">
        <v>48.250500000000002</v>
      </c>
      <c r="F90" s="58">
        <v>45.78</v>
      </c>
      <c r="G90" s="58">
        <v>40.582500000000003</v>
      </c>
      <c r="H90" s="58">
        <v>35.606250000000003</v>
      </c>
      <c r="I90" s="58">
        <v>33.42</v>
      </c>
      <c r="J90" s="7">
        <v>75</v>
      </c>
      <c r="K90" s="7" t="s">
        <v>8</v>
      </c>
    </row>
    <row r="91" spans="1:13" s="119" customFormat="1">
      <c r="A91" s="93" t="s">
        <v>823</v>
      </c>
      <c r="B91" s="7" t="s">
        <v>871</v>
      </c>
      <c r="C91" s="58">
        <v>19.154250000000001</v>
      </c>
      <c r="D91" s="58">
        <v>26.355</v>
      </c>
      <c r="E91" s="58">
        <v>34.155000000000001</v>
      </c>
      <c r="F91" s="58">
        <v>31.5</v>
      </c>
      <c r="G91" s="58">
        <v>19.155000000000001</v>
      </c>
      <c r="H91" s="58">
        <v>0</v>
      </c>
      <c r="I91" s="58">
        <v>0</v>
      </c>
      <c r="J91" s="7">
        <v>75</v>
      </c>
      <c r="K91" s="7" t="s">
        <v>8</v>
      </c>
    </row>
    <row r="92" spans="1:13" s="119" customFormat="1">
      <c r="A92" s="93" t="s">
        <v>824</v>
      </c>
      <c r="B92" s="7" t="s">
        <v>886</v>
      </c>
      <c r="C92" s="58">
        <v>37.200800000000001</v>
      </c>
      <c r="D92" s="58">
        <v>66.596599999999995</v>
      </c>
      <c r="E92" s="58">
        <v>65.2316</v>
      </c>
      <c r="F92" s="58">
        <v>40.606299999999997</v>
      </c>
      <c r="G92" s="58">
        <v>31.781400000000001</v>
      </c>
      <c r="H92" s="58">
        <v>22.420300000000001</v>
      </c>
      <c r="I92" s="58">
        <v>23.209900000000001</v>
      </c>
      <c r="J92" s="7">
        <v>70</v>
      </c>
      <c r="K92" s="7" t="s">
        <v>8</v>
      </c>
    </row>
    <row r="93" spans="1:13" s="119" customFormat="1">
      <c r="A93" s="93" t="s">
        <v>825</v>
      </c>
      <c r="B93" s="7" t="s">
        <v>887</v>
      </c>
      <c r="C93" s="58">
        <v>3.423</v>
      </c>
      <c r="D93" s="58">
        <v>1.7324999999999999</v>
      </c>
      <c r="E93" s="58">
        <v>3.7071999999999998</v>
      </c>
      <c r="F93" s="58">
        <v>1.1872</v>
      </c>
      <c r="G93" s="58">
        <v>1.1872</v>
      </c>
      <c r="H93" s="58">
        <v>1.1872</v>
      </c>
      <c r="I93" s="58">
        <v>1.1872</v>
      </c>
      <c r="J93" s="7">
        <v>70</v>
      </c>
      <c r="K93" s="7" t="s">
        <v>8</v>
      </c>
    </row>
    <row r="94" spans="1:13" s="119" customFormat="1">
      <c r="A94" s="93">
        <v>141950</v>
      </c>
      <c r="B94" s="7" t="s">
        <v>874</v>
      </c>
      <c r="C94" s="58">
        <v>1.3754999999999999</v>
      </c>
      <c r="D94" s="58">
        <v>1.64025</v>
      </c>
      <c r="E94" s="58">
        <v>1.776</v>
      </c>
      <c r="F94" s="58">
        <v>1.776</v>
      </c>
      <c r="G94" s="58">
        <v>1.776</v>
      </c>
      <c r="H94" s="58">
        <v>1.776</v>
      </c>
      <c r="I94" s="58">
        <v>1.776</v>
      </c>
      <c r="J94" s="7">
        <v>75</v>
      </c>
      <c r="K94" s="7" t="s">
        <v>8</v>
      </c>
    </row>
    <row r="95" spans="1:13" s="119" customFormat="1">
      <c r="A95" s="93" t="s">
        <v>820</v>
      </c>
      <c r="B95" s="7" t="s">
        <v>888</v>
      </c>
      <c r="C95" s="58">
        <v>0</v>
      </c>
      <c r="D95" s="58">
        <v>1.5</v>
      </c>
      <c r="E95" s="58">
        <v>80</v>
      </c>
      <c r="F95" s="58">
        <v>152.5</v>
      </c>
      <c r="G95" s="58">
        <v>313.5</v>
      </c>
      <c r="H95" s="58">
        <v>197.5</v>
      </c>
      <c r="I95" s="58">
        <v>60</v>
      </c>
      <c r="J95" s="7">
        <v>50</v>
      </c>
      <c r="K95" s="7" t="s">
        <v>797</v>
      </c>
    </row>
    <row r="96" spans="1:13" s="119" customFormat="1">
      <c r="A96" s="93" t="s">
        <v>821</v>
      </c>
      <c r="B96" s="7" t="s">
        <v>879</v>
      </c>
      <c r="C96" s="58">
        <v>0</v>
      </c>
      <c r="D96" s="58">
        <v>0</v>
      </c>
      <c r="E96" s="58">
        <v>63.75</v>
      </c>
      <c r="F96" s="58">
        <v>63.75</v>
      </c>
      <c r="G96" s="58">
        <v>42.5</v>
      </c>
      <c r="H96" s="58">
        <v>0</v>
      </c>
      <c r="I96" s="58">
        <v>0</v>
      </c>
      <c r="J96" s="7">
        <v>85</v>
      </c>
      <c r="K96" s="7" t="s">
        <v>804</v>
      </c>
    </row>
    <row r="97" spans="1:12" s="7" customFormat="1">
      <c r="A97" s="93" t="s">
        <v>294</v>
      </c>
      <c r="B97" s="7" t="s">
        <v>751</v>
      </c>
      <c r="C97" s="58">
        <v>3.927</v>
      </c>
      <c r="D97" s="58">
        <v>2.78</v>
      </c>
      <c r="E97" s="58">
        <v>4.58</v>
      </c>
      <c r="F97" s="58">
        <v>6.38</v>
      </c>
      <c r="G97" s="58">
        <v>5.38</v>
      </c>
      <c r="H97" s="58">
        <v>5.38</v>
      </c>
      <c r="I97" s="58">
        <v>5.38</v>
      </c>
      <c r="J97" s="7">
        <v>75</v>
      </c>
      <c r="K97" s="7" t="s">
        <v>8</v>
      </c>
    </row>
    <row r="98" spans="1:12" s="7" customFormat="1" ht="14.4">
      <c r="A98" s="118"/>
      <c r="B98" s="68" t="s">
        <v>400</v>
      </c>
      <c r="C98" s="6">
        <f>SUM(C64:C97)</f>
        <v>207.51246999999998</v>
      </c>
      <c r="D98" s="6">
        <f t="shared" ref="D98:I98" si="3">SUM(D64:D97)</f>
        <v>392.58415000000002</v>
      </c>
      <c r="E98" s="6">
        <f t="shared" si="3"/>
        <v>730.75359999999989</v>
      </c>
      <c r="F98" s="6">
        <f t="shared" si="3"/>
        <v>581.79210999999998</v>
      </c>
      <c r="G98" s="6">
        <f t="shared" si="3"/>
        <v>653.28351000000009</v>
      </c>
      <c r="H98" s="6">
        <f t="shared" si="3"/>
        <v>451.47126000000003</v>
      </c>
      <c r="I98" s="6">
        <f t="shared" si="3"/>
        <v>270.63910999999996</v>
      </c>
      <c r="J98" s="119"/>
      <c r="K98" s="119"/>
      <c r="L98" s="119"/>
    </row>
    <row r="99" spans="1:12" s="7" customFormat="1" ht="14.4">
      <c r="A99" s="118"/>
      <c r="B99" s="3"/>
      <c r="C99" s="3"/>
      <c r="D99" s="3"/>
      <c r="E99" s="3"/>
      <c r="F99" s="3"/>
      <c r="G99" s="3"/>
      <c r="H99" s="3"/>
      <c r="I99" s="3"/>
      <c r="J99" s="119"/>
      <c r="K99" s="119"/>
      <c r="L99" s="119"/>
    </row>
    <row r="100" spans="1:12" s="7" customFormat="1" ht="14.4">
      <c r="A100" s="75"/>
      <c r="B100" s="15" t="s">
        <v>471</v>
      </c>
      <c r="C100" s="274"/>
      <c r="D100" s="274"/>
      <c r="E100" s="274"/>
      <c r="F100" s="274"/>
      <c r="G100" s="274"/>
      <c r="H100" s="274"/>
      <c r="I100" s="274"/>
      <c r="J100" s="17"/>
      <c r="K100" s="17"/>
      <c r="L100" s="17"/>
    </row>
    <row r="101" spans="1:12" s="170" customFormat="1" ht="14.4">
      <c r="A101" s="94" t="s">
        <v>366</v>
      </c>
      <c r="B101" s="94" t="s">
        <v>368</v>
      </c>
      <c r="C101" s="375">
        <v>17.257999999999999</v>
      </c>
      <c r="D101" s="375">
        <v>51.829000000000001</v>
      </c>
      <c r="E101" s="375">
        <v>35.829000000000001</v>
      </c>
      <c r="F101" s="375">
        <v>17.91</v>
      </c>
      <c r="G101" s="375">
        <v>27.853999999999999</v>
      </c>
      <c r="H101" s="376">
        <v>22.561</v>
      </c>
      <c r="I101" s="376">
        <v>17.561</v>
      </c>
      <c r="J101" s="7">
        <v>100</v>
      </c>
      <c r="K101" s="7" t="s">
        <v>8</v>
      </c>
      <c r="L101" s="7"/>
    </row>
    <row r="102" spans="1:12" s="170" customFormat="1" ht="14.4">
      <c r="A102" s="94" t="s">
        <v>366</v>
      </c>
      <c r="B102" s="94" t="s">
        <v>369</v>
      </c>
      <c r="C102" s="375">
        <v>7.8789999999999996</v>
      </c>
      <c r="D102" s="375">
        <v>5.8890000000000002</v>
      </c>
      <c r="E102" s="375">
        <v>5.7889999999999997</v>
      </c>
      <c r="F102" s="375">
        <v>5.5389999999999997</v>
      </c>
      <c r="G102" s="375">
        <v>5.5389999999999997</v>
      </c>
      <c r="H102" s="376">
        <v>5.5389999999999997</v>
      </c>
      <c r="I102" s="376">
        <v>5.5389999999999997</v>
      </c>
      <c r="J102" s="7">
        <v>100</v>
      </c>
      <c r="K102" s="7" t="s">
        <v>8</v>
      </c>
      <c r="L102" s="7"/>
    </row>
    <row r="103" spans="1:12" s="170" customFormat="1" ht="14.4">
      <c r="A103" s="94" t="s">
        <v>615</v>
      </c>
      <c r="B103" s="94" t="s">
        <v>616</v>
      </c>
      <c r="C103" s="375">
        <v>0.63200000000000001</v>
      </c>
      <c r="D103" s="375">
        <v>0.76800000000000002</v>
      </c>
      <c r="E103" s="375">
        <v>8.3510000000000009</v>
      </c>
      <c r="F103" s="375">
        <v>8.8520000000000003</v>
      </c>
      <c r="G103" s="375">
        <v>8.6549999999999994</v>
      </c>
      <c r="H103" s="376">
        <v>8.8049999999999997</v>
      </c>
      <c r="I103" s="376">
        <v>8.8049999999999997</v>
      </c>
      <c r="J103" s="7">
        <v>100</v>
      </c>
      <c r="K103" s="7" t="s">
        <v>8</v>
      </c>
      <c r="L103" s="7"/>
    </row>
    <row r="104" spans="1:12" s="170" customFormat="1" ht="14.4">
      <c r="A104" s="94" t="s">
        <v>617</v>
      </c>
      <c r="B104" s="94" t="s">
        <v>618</v>
      </c>
      <c r="C104" s="375">
        <v>5.1379999999999999</v>
      </c>
      <c r="D104" s="375">
        <v>5.1029999999999998</v>
      </c>
      <c r="E104" s="375">
        <v>16.471</v>
      </c>
      <c r="F104" s="375">
        <v>28.148</v>
      </c>
      <c r="G104" s="375">
        <v>52.912999999999997</v>
      </c>
      <c r="H104" s="376">
        <v>28.835999999999999</v>
      </c>
      <c r="I104" s="376">
        <v>17.5</v>
      </c>
      <c r="J104" s="7">
        <v>100</v>
      </c>
      <c r="K104" s="7" t="s">
        <v>8</v>
      </c>
      <c r="L104" s="7"/>
    </row>
    <row r="105" spans="1:12" s="170" customFormat="1" ht="14.4">
      <c r="A105" s="94" t="s">
        <v>617</v>
      </c>
      <c r="B105" s="94" t="s">
        <v>619</v>
      </c>
      <c r="C105" s="375">
        <v>2.2669999999999999</v>
      </c>
      <c r="D105" s="375">
        <v>2.7149999999999999</v>
      </c>
      <c r="E105" s="375">
        <v>8.6829999999999998</v>
      </c>
      <c r="F105" s="375">
        <v>8.2949999999999999</v>
      </c>
      <c r="G105" s="375">
        <v>22.393999999999998</v>
      </c>
      <c r="H105" s="376">
        <v>0</v>
      </c>
      <c r="I105" s="376">
        <v>0</v>
      </c>
      <c r="J105" s="7">
        <v>100</v>
      </c>
      <c r="K105" s="7" t="s">
        <v>8</v>
      </c>
      <c r="L105" s="7"/>
    </row>
    <row r="106" spans="1:12" s="170" customFormat="1" ht="14.4">
      <c r="A106" s="94" t="s">
        <v>617</v>
      </c>
      <c r="B106" s="94" t="s">
        <v>620</v>
      </c>
      <c r="C106" s="375">
        <v>1.577</v>
      </c>
      <c r="D106" s="375">
        <v>1.716</v>
      </c>
      <c r="E106" s="375">
        <v>6.0250000000000004</v>
      </c>
      <c r="F106" s="375">
        <v>0</v>
      </c>
      <c r="G106" s="375">
        <v>0</v>
      </c>
      <c r="H106" s="376">
        <v>0</v>
      </c>
      <c r="I106" s="376">
        <v>0</v>
      </c>
      <c r="J106" s="7">
        <v>100</v>
      </c>
      <c r="K106" s="7" t="s">
        <v>8</v>
      </c>
      <c r="L106" s="7"/>
    </row>
    <row r="107" spans="1:12" s="170" customFormat="1" ht="14.4">
      <c r="A107" s="94" t="s">
        <v>617</v>
      </c>
      <c r="B107" s="94" t="s">
        <v>621</v>
      </c>
      <c r="C107" s="375">
        <v>0.16900000000000001</v>
      </c>
      <c r="D107" s="375">
        <v>0.77400000000000002</v>
      </c>
      <c r="E107" s="375">
        <v>0</v>
      </c>
      <c r="F107" s="375">
        <v>0</v>
      </c>
      <c r="G107" s="375">
        <v>0</v>
      </c>
      <c r="H107" s="376">
        <v>0</v>
      </c>
      <c r="I107" s="376">
        <v>0</v>
      </c>
      <c r="J107" s="7">
        <v>100</v>
      </c>
      <c r="K107" s="7" t="s">
        <v>8</v>
      </c>
      <c r="L107" s="7"/>
    </row>
    <row r="108" spans="1:12" s="170" customFormat="1" ht="14.4">
      <c r="A108" s="94" t="s">
        <v>300</v>
      </c>
      <c r="B108" s="94" t="s">
        <v>367</v>
      </c>
      <c r="C108" s="375">
        <v>3.7290000000000001</v>
      </c>
      <c r="D108" s="375">
        <v>1.3340000000000001</v>
      </c>
      <c r="E108" s="375">
        <v>1.0009999999999999</v>
      </c>
      <c r="F108" s="375">
        <v>2.6760000000000002</v>
      </c>
      <c r="G108" s="375">
        <v>2.5939999999999999</v>
      </c>
      <c r="H108" s="376">
        <v>1.8280000000000001</v>
      </c>
      <c r="I108" s="376">
        <v>1.9359999999999999</v>
      </c>
      <c r="J108" s="7">
        <v>100</v>
      </c>
      <c r="K108" s="7" t="s">
        <v>8</v>
      </c>
      <c r="L108" s="7"/>
    </row>
    <row r="109" spans="1:12" s="7" customFormat="1" ht="14.4">
      <c r="A109" s="120"/>
      <c r="B109" s="68" t="s">
        <v>474</v>
      </c>
      <c r="C109" s="97">
        <f>SUM(C101:C108)</f>
        <v>38.649000000000001</v>
      </c>
      <c r="D109" s="97">
        <f>SUM(D101:D108)</f>
        <v>70.128</v>
      </c>
      <c r="E109" s="68">
        <f t="shared" ref="E109:H109" si="4">SUM(E101:E108)</f>
        <v>82.149000000000001</v>
      </c>
      <c r="F109" s="68">
        <f t="shared" si="4"/>
        <v>71.42</v>
      </c>
      <c r="G109" s="68">
        <f t="shared" si="4"/>
        <v>119.94899999999998</v>
      </c>
      <c r="H109" s="68">
        <f t="shared" si="4"/>
        <v>67.569000000000003</v>
      </c>
      <c r="I109" s="97">
        <f>SUM(I101:I108)</f>
        <v>51.341000000000001</v>
      </c>
      <c r="J109" s="121"/>
      <c r="K109" s="121"/>
      <c r="L109" s="121"/>
    </row>
    <row r="110" spans="1:12" s="7" customFormat="1">
      <c r="A110" s="8"/>
      <c r="B110" s="4"/>
      <c r="C110" s="4"/>
      <c r="D110" s="4"/>
      <c r="E110" s="4"/>
      <c r="F110" s="4"/>
      <c r="G110" s="4"/>
      <c r="H110" s="4"/>
      <c r="I110" s="4"/>
      <c r="J110" s="4"/>
      <c r="K110" s="4"/>
      <c r="L110" s="4"/>
    </row>
    <row r="111" spans="1:12" s="7" customFormat="1" ht="14.4">
      <c r="A111" s="75"/>
      <c r="B111" s="15" t="s">
        <v>64</v>
      </c>
      <c r="C111" s="17"/>
      <c r="D111" s="17"/>
      <c r="E111" s="17"/>
      <c r="F111" s="17"/>
      <c r="G111" s="17"/>
      <c r="H111" s="17"/>
      <c r="I111" s="17"/>
      <c r="J111" s="17"/>
      <c r="K111" s="17"/>
      <c r="L111" s="17"/>
    </row>
    <row r="112" spans="1:12" s="170" customFormat="1" ht="14.4">
      <c r="A112" s="94">
        <v>2</v>
      </c>
      <c r="B112" s="94" t="s">
        <v>281</v>
      </c>
      <c r="C112" s="375">
        <v>1.155</v>
      </c>
      <c r="D112" s="375">
        <v>1.2969999999999999</v>
      </c>
      <c r="E112" s="375">
        <v>1.2969999999999999</v>
      </c>
      <c r="F112" s="375">
        <v>1.2969999999999999</v>
      </c>
      <c r="G112" s="375">
        <v>1.2969999999999999</v>
      </c>
      <c r="H112" s="375">
        <v>1.2969999999999999</v>
      </c>
      <c r="I112" s="375">
        <v>1.2969999999999999</v>
      </c>
      <c r="J112" s="7">
        <v>100</v>
      </c>
      <c r="K112" s="7" t="s">
        <v>155</v>
      </c>
      <c r="L112" s="7"/>
    </row>
    <row r="113" spans="1:12" s="170" customFormat="1" ht="14.4">
      <c r="A113" s="94">
        <v>2</v>
      </c>
      <c r="B113" s="94" t="s">
        <v>281</v>
      </c>
      <c r="C113" s="375">
        <v>0.17199999999999999</v>
      </c>
      <c r="D113" s="375">
        <v>0.182</v>
      </c>
      <c r="E113" s="375">
        <v>0.182</v>
      </c>
      <c r="F113" s="375">
        <v>0.182</v>
      </c>
      <c r="G113" s="375">
        <v>0.182</v>
      </c>
      <c r="H113" s="375">
        <v>0.182</v>
      </c>
      <c r="I113" s="375">
        <v>0.182</v>
      </c>
      <c r="J113" s="7">
        <v>100</v>
      </c>
      <c r="K113" s="7" t="s">
        <v>28</v>
      </c>
      <c r="L113" s="7"/>
    </row>
    <row r="114" spans="1:12" s="7" customFormat="1">
      <c r="A114" s="94">
        <v>13</v>
      </c>
      <c r="B114" s="94" t="s">
        <v>280</v>
      </c>
      <c r="C114" s="375">
        <v>2.8820000000000001</v>
      </c>
      <c r="D114" s="375">
        <v>2.9359999999999999</v>
      </c>
      <c r="E114" s="375">
        <v>2.367</v>
      </c>
      <c r="F114" s="375">
        <v>2.367</v>
      </c>
      <c r="G114" s="375">
        <v>2.367</v>
      </c>
      <c r="H114" s="375">
        <v>2.367</v>
      </c>
      <c r="I114" s="375">
        <v>2.367</v>
      </c>
      <c r="J114" s="7">
        <v>100</v>
      </c>
      <c r="K114" s="7" t="s">
        <v>756</v>
      </c>
    </row>
    <row r="115" spans="1:12" s="178" customFormat="1" ht="15.6">
      <c r="A115" s="177"/>
      <c r="B115" s="68" t="s">
        <v>67</v>
      </c>
      <c r="C115" s="97">
        <f>SUM(C112:C114)</f>
        <v>4.2089999999999996</v>
      </c>
      <c r="D115" s="97">
        <f>SUM(D112:D114)</f>
        <v>4.415</v>
      </c>
      <c r="E115" s="97">
        <f t="shared" ref="E115:I115" si="5">SUM(E112:E114)</f>
        <v>3.8460000000000001</v>
      </c>
      <c r="F115" s="97">
        <f t="shared" si="5"/>
        <v>3.8460000000000001</v>
      </c>
      <c r="G115" s="97">
        <f t="shared" si="5"/>
        <v>3.8460000000000001</v>
      </c>
      <c r="H115" s="97">
        <f t="shared" si="5"/>
        <v>3.8460000000000001</v>
      </c>
      <c r="I115" s="97">
        <f t="shared" si="5"/>
        <v>3.8460000000000001</v>
      </c>
      <c r="J115" s="68"/>
      <c r="K115" s="68"/>
      <c r="L115" s="68"/>
    </row>
    <row r="116" spans="1:12" ht="14.4">
      <c r="A116" s="76"/>
      <c r="B116" s="3"/>
      <c r="C116" s="18"/>
      <c r="D116" s="18"/>
      <c r="E116" s="18"/>
      <c r="F116" s="18"/>
      <c r="G116" s="18"/>
      <c r="H116" s="18"/>
      <c r="I116" s="18"/>
      <c r="J116" s="2"/>
      <c r="K116" s="2"/>
      <c r="L116" s="2"/>
    </row>
    <row r="117" spans="1:12" ht="14.4">
      <c r="A117" s="75"/>
      <c r="B117" s="25" t="s">
        <v>65</v>
      </c>
      <c r="C117" s="17"/>
      <c r="D117" s="17"/>
      <c r="E117" s="17"/>
      <c r="F117" s="17"/>
      <c r="G117" s="17"/>
      <c r="H117" s="17"/>
      <c r="I117" s="17"/>
      <c r="J117" s="17"/>
      <c r="K117" s="17"/>
      <c r="L117" s="17"/>
    </row>
    <row r="118" spans="1:12" s="7" customFormat="1">
      <c r="A118" s="93" t="s">
        <v>157</v>
      </c>
      <c r="B118" s="7" t="s">
        <v>282</v>
      </c>
      <c r="C118" s="58">
        <v>0</v>
      </c>
      <c r="D118" s="58">
        <v>0</v>
      </c>
      <c r="E118" s="58">
        <v>0</v>
      </c>
      <c r="F118" s="58">
        <v>0</v>
      </c>
      <c r="G118" s="58">
        <v>0</v>
      </c>
      <c r="H118" s="58">
        <v>0</v>
      </c>
      <c r="I118" s="58">
        <v>0</v>
      </c>
      <c r="J118" s="171">
        <v>0</v>
      </c>
      <c r="K118" s="7" t="s">
        <v>4</v>
      </c>
      <c r="L118" s="7" t="s">
        <v>158</v>
      </c>
    </row>
    <row r="119" spans="1:12" s="7" customFormat="1">
      <c r="A119" s="93" t="s">
        <v>436</v>
      </c>
      <c r="B119" s="7" t="s">
        <v>437</v>
      </c>
      <c r="C119" s="58">
        <v>0.25</v>
      </c>
      <c r="D119" s="58">
        <v>0.25</v>
      </c>
      <c r="E119" s="58">
        <v>0.25</v>
      </c>
      <c r="F119" s="58">
        <v>0.25</v>
      </c>
      <c r="G119" s="58">
        <v>0.25</v>
      </c>
      <c r="H119" s="58">
        <v>0.25</v>
      </c>
      <c r="I119" s="58">
        <v>0.25</v>
      </c>
      <c r="J119" s="7">
        <v>3.4</v>
      </c>
      <c r="K119" s="7" t="s">
        <v>4</v>
      </c>
      <c r="L119" s="7" t="s">
        <v>159</v>
      </c>
    </row>
    <row r="120" spans="1:12" s="7" customFormat="1" ht="14.4">
      <c r="A120" s="76"/>
      <c r="B120" s="68" t="s">
        <v>68</v>
      </c>
      <c r="C120" s="18">
        <f>SUM(C118:C119)</f>
        <v>0.25</v>
      </c>
      <c r="D120" s="18">
        <f t="shared" ref="D120:I120" si="6">SUM(D118:D119)</f>
        <v>0.25</v>
      </c>
      <c r="E120" s="18">
        <f t="shared" si="6"/>
        <v>0.25</v>
      </c>
      <c r="F120" s="18">
        <f t="shared" si="6"/>
        <v>0.25</v>
      </c>
      <c r="G120" s="18">
        <f>SUM(G118:G119)</f>
        <v>0.25</v>
      </c>
      <c r="H120" s="18">
        <f t="shared" si="6"/>
        <v>0.25</v>
      </c>
      <c r="I120" s="18">
        <f t="shared" si="6"/>
        <v>0.25</v>
      </c>
      <c r="J120" s="170"/>
      <c r="K120" s="170"/>
      <c r="L120" s="170"/>
    </row>
    <row r="121" spans="1:12" s="7" customFormat="1" ht="14.4">
      <c r="A121" s="76"/>
      <c r="B121" s="68"/>
      <c r="C121" s="18"/>
      <c r="D121" s="18"/>
      <c r="E121" s="18"/>
      <c r="F121" s="18"/>
      <c r="G121" s="18"/>
      <c r="H121" s="18"/>
      <c r="I121" s="18"/>
      <c r="J121" s="170"/>
      <c r="K121" s="170"/>
      <c r="L121" s="170"/>
    </row>
    <row r="122" spans="1:12" s="7" customFormat="1" ht="14.4">
      <c r="A122" s="75"/>
      <c r="B122" s="25" t="s">
        <v>584</v>
      </c>
      <c r="C122" s="17"/>
      <c r="D122" s="17"/>
      <c r="E122" s="17"/>
      <c r="F122" s="17"/>
      <c r="G122" s="17"/>
      <c r="H122" s="17"/>
      <c r="I122" s="17"/>
      <c r="J122" s="17"/>
      <c r="K122" s="17"/>
      <c r="L122" s="17"/>
    </row>
    <row r="123" spans="1:12" s="7" customFormat="1">
      <c r="A123" s="107">
        <v>2</v>
      </c>
      <c r="B123" s="7" t="s">
        <v>808</v>
      </c>
      <c r="C123" s="58">
        <v>0</v>
      </c>
      <c r="D123" s="58">
        <v>0</v>
      </c>
      <c r="E123" s="58">
        <v>227.59399999999999</v>
      </c>
      <c r="F123" s="58">
        <v>326.32799999999997</v>
      </c>
      <c r="G123" s="58">
        <v>250.34200000000001</v>
      </c>
      <c r="H123" s="58">
        <v>158.506</v>
      </c>
      <c r="I123" s="58">
        <v>36.192999999999998</v>
      </c>
      <c r="J123" s="7">
        <v>100</v>
      </c>
      <c r="K123" s="7" t="s">
        <v>585</v>
      </c>
    </row>
    <row r="124" spans="1:12" s="7" customFormat="1">
      <c r="A124" s="107">
        <v>2</v>
      </c>
      <c r="B124" s="7" t="s">
        <v>809</v>
      </c>
      <c r="C124" s="58">
        <v>0</v>
      </c>
      <c r="D124" s="58">
        <v>0</v>
      </c>
      <c r="E124" s="58">
        <v>52.149000000000001</v>
      </c>
      <c r="F124" s="58">
        <v>194.327</v>
      </c>
      <c r="G124" s="58">
        <v>105.059</v>
      </c>
      <c r="H124" s="58">
        <v>131.31700000000001</v>
      </c>
      <c r="I124" s="58">
        <v>104.4045</v>
      </c>
      <c r="J124" s="7">
        <v>100</v>
      </c>
      <c r="K124" s="7" t="s">
        <v>585</v>
      </c>
    </row>
    <row r="125" spans="1:12" s="7" customFormat="1">
      <c r="A125" s="107">
        <v>2</v>
      </c>
      <c r="B125" s="7" t="s">
        <v>810</v>
      </c>
      <c r="C125" s="58">
        <v>0</v>
      </c>
      <c r="D125" s="58">
        <v>0</v>
      </c>
      <c r="E125" s="386">
        <v>100</v>
      </c>
      <c r="F125" s="386">
        <v>200</v>
      </c>
      <c r="G125" s="386">
        <v>300</v>
      </c>
      <c r="H125" s="386">
        <v>400</v>
      </c>
      <c r="I125" s="386">
        <v>500</v>
      </c>
      <c r="J125" s="7">
        <v>100</v>
      </c>
      <c r="K125" s="7" t="s">
        <v>585</v>
      </c>
    </row>
    <row r="126" spans="1:12" s="7" customFormat="1" ht="14.4">
      <c r="A126" s="76"/>
      <c r="B126" s="68" t="s">
        <v>588</v>
      </c>
      <c r="C126" s="18">
        <f>SUM(C123:C125)</f>
        <v>0</v>
      </c>
      <c r="D126" s="18">
        <f t="shared" ref="D126:I126" si="7">SUM(D123:D125)</f>
        <v>0</v>
      </c>
      <c r="E126" s="382">
        <f>SUM(E123:E125)</f>
        <v>379.74299999999999</v>
      </c>
      <c r="F126" s="382">
        <f>SUM(F123:F125)</f>
        <v>720.65499999999997</v>
      </c>
      <c r="G126" s="382">
        <f t="shared" si="7"/>
        <v>655.40100000000007</v>
      </c>
      <c r="H126" s="382">
        <f t="shared" si="7"/>
        <v>689.82299999999998</v>
      </c>
      <c r="I126" s="382">
        <f t="shared" si="7"/>
        <v>640.59749999999997</v>
      </c>
      <c r="J126" s="170"/>
      <c r="K126" s="170"/>
      <c r="L126" s="170"/>
    </row>
    <row r="127" spans="1:12" s="7" customFormat="1" ht="14.4">
      <c r="A127" s="76"/>
      <c r="B127" s="68"/>
      <c r="C127" s="18"/>
      <c r="D127" s="18"/>
      <c r="E127" s="18"/>
      <c r="F127" s="18"/>
      <c r="G127" s="18"/>
      <c r="H127" s="18"/>
      <c r="I127" s="18"/>
      <c r="J127" s="170"/>
      <c r="K127" s="170"/>
      <c r="L127" s="170"/>
    </row>
    <row r="128" spans="1:12" ht="15.6">
      <c r="A128" s="77"/>
      <c r="B128" s="25" t="s">
        <v>66</v>
      </c>
      <c r="C128" s="37">
        <f>SUM(C37+C41+C61+C98+C109+C115+C120+C126)</f>
        <v>447.26637999999997</v>
      </c>
      <c r="D128" s="37">
        <f t="shared" ref="D128:I128" si="8">SUM(D37+D41+D61+D98+D109+D115+D120+D126)</f>
        <v>671.72974999999997</v>
      </c>
      <c r="E128" s="381">
        <f t="shared" si="8"/>
        <v>1478.4386599999998</v>
      </c>
      <c r="F128" s="381">
        <f t="shared" si="8"/>
        <v>1645.107015</v>
      </c>
      <c r="G128" s="381">
        <f t="shared" si="8"/>
        <v>1697.8030950000002</v>
      </c>
      <c r="H128" s="381">
        <f t="shared" si="8"/>
        <v>1462.46057</v>
      </c>
      <c r="I128" s="381">
        <f t="shared" si="8"/>
        <v>1187.3915899999997</v>
      </c>
      <c r="J128" s="36"/>
      <c r="K128" s="36"/>
      <c r="L128" s="36"/>
    </row>
    <row r="130" spans="1:11">
      <c r="C130" s="142"/>
      <c r="D130" s="142"/>
      <c r="E130" s="142"/>
      <c r="F130" s="142"/>
      <c r="G130" s="142"/>
      <c r="H130" s="142"/>
      <c r="I130" s="142"/>
    </row>
    <row r="131" spans="1:11">
      <c r="C131" s="142"/>
      <c r="D131" s="142"/>
      <c r="E131" s="142"/>
      <c r="F131" s="142"/>
      <c r="G131" s="142"/>
      <c r="H131" s="142"/>
      <c r="I131" s="142"/>
      <c r="K131" s="148"/>
    </row>
    <row r="132" spans="1:11">
      <c r="C132" s="142"/>
      <c r="D132" s="142"/>
      <c r="E132" s="142"/>
      <c r="F132" s="142"/>
      <c r="G132" s="142"/>
      <c r="H132" s="142"/>
      <c r="I132" s="142"/>
    </row>
    <row r="134" spans="1:11">
      <c r="D134" s="143"/>
    </row>
    <row r="135" spans="1:11" ht="14.4">
      <c r="A135" s="42"/>
    </row>
    <row r="136" spans="1:11" ht="14.4">
      <c r="A136" s="42"/>
    </row>
    <row r="137" spans="1:11" ht="14.4">
      <c r="A137" s="42"/>
    </row>
    <row r="138" spans="1:11" ht="14.4">
      <c r="A138" s="42"/>
    </row>
  </sheetData>
  <pageMargins left="0.70866141732283472" right="0.70866141732283472" top="0.74803149606299213" bottom="0.74803149606299213" header="0.31496062992125984" footer="0.31496062992125984"/>
  <pageSetup paperSize="8" scale="98" orientation="landscape" r:id="rId1"/>
  <headerFooter>
    <oddFooter>&amp;L&amp;Z&amp;F</oddFooter>
  </headerFooter>
  <colBreaks count="1" manualBreakCount="1">
    <brk id="9" max="10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zoomScaleNormal="100" zoomScaleSheetLayoutView="100" workbookViewId="0"/>
  </sheetViews>
  <sheetFormatPr defaultColWidth="9.21875" defaultRowHeight="13.8"/>
  <cols>
    <col min="1" max="1" width="36.77734375" style="115" bestFit="1" customWidth="1"/>
    <col min="2" max="8" width="8.44140625" style="115" customWidth="1"/>
    <col min="9" max="16384" width="9.21875" style="115"/>
  </cols>
  <sheetData>
    <row r="1" spans="1:18" ht="18">
      <c r="A1" s="327" t="s">
        <v>231</v>
      </c>
    </row>
    <row r="3" spans="1:18">
      <c r="A3" s="324" t="s">
        <v>208</v>
      </c>
      <c r="B3" s="324"/>
      <c r="C3" s="324"/>
      <c r="D3" s="324"/>
      <c r="E3" s="324"/>
      <c r="F3" s="324"/>
      <c r="G3" s="324"/>
      <c r="H3" s="324"/>
    </row>
    <row r="4" spans="1:18">
      <c r="B4" s="324">
        <f>Innovatie!C3</f>
        <v>2021</v>
      </c>
      <c r="C4" s="324">
        <f>Innovatie!D3</f>
        <v>2022</v>
      </c>
      <c r="D4" s="324">
        <f>Innovatie!E3</f>
        <v>2023</v>
      </c>
      <c r="E4" s="324">
        <f>Innovatie!F3</f>
        <v>2024</v>
      </c>
      <c r="F4" s="324">
        <f>Innovatie!G3</f>
        <v>2025</v>
      </c>
      <c r="G4" s="324">
        <f>Innovatie!H3</f>
        <v>2026</v>
      </c>
      <c r="H4" s="324">
        <f>Innovatie!I3</f>
        <v>2027</v>
      </c>
      <c r="K4" s="7"/>
      <c r="L4" s="7"/>
      <c r="M4" s="7"/>
      <c r="N4" s="7"/>
      <c r="O4" s="7"/>
      <c r="P4" s="7"/>
      <c r="Q4" s="7"/>
      <c r="R4" s="7"/>
    </row>
    <row r="5" spans="1:18">
      <c r="A5" s="115" t="s">
        <v>129</v>
      </c>
      <c r="B5" s="313">
        <f>'R&amp;D'!C8</f>
        <v>0.72</v>
      </c>
      <c r="C5" s="313">
        <f>'R&amp;D'!D8</f>
        <v>0.59399999999999997</v>
      </c>
      <c r="D5" s="313">
        <f>'R&amp;D'!E8</f>
        <v>0.59399999999999997</v>
      </c>
      <c r="E5" s="313">
        <f>'R&amp;D'!F8</f>
        <v>0.59399999999999997</v>
      </c>
      <c r="F5" s="313">
        <f>'R&amp;D'!G8</f>
        <v>0.59399999999999997</v>
      </c>
      <c r="G5" s="313">
        <f>'R&amp;D'!H8</f>
        <v>0.59399999999999997</v>
      </c>
      <c r="H5" s="313">
        <f>'R&amp;D'!I8</f>
        <v>0.59399999999999997</v>
      </c>
    </row>
    <row r="6" spans="1:18" s="7" customFormat="1">
      <c r="A6" s="7" t="s">
        <v>130</v>
      </c>
      <c r="B6" s="38">
        <f>'R&amp;D'!C18</f>
        <v>46.192</v>
      </c>
      <c r="C6" s="38">
        <f>'R&amp;D'!D18</f>
        <v>118.85999999999999</v>
      </c>
      <c r="D6" s="38">
        <f>'R&amp;D'!E18</f>
        <v>45.067000000000007</v>
      </c>
      <c r="E6" s="38">
        <f>'R&amp;D'!F18</f>
        <v>41.980000000000004</v>
      </c>
      <c r="F6" s="38">
        <f>'R&amp;D'!G18</f>
        <v>41.285000000000004</v>
      </c>
      <c r="G6" s="38">
        <f>'R&amp;D'!H18</f>
        <v>41.027000000000008</v>
      </c>
      <c r="H6" s="38">
        <f>'R&amp;D'!I18</f>
        <v>41.027000000000008</v>
      </c>
      <c r="K6" s="115"/>
      <c r="L6" s="115"/>
      <c r="M6" s="115"/>
      <c r="N6" s="115"/>
      <c r="O6" s="115"/>
      <c r="P6" s="115"/>
      <c r="Q6" s="115"/>
      <c r="R6" s="115"/>
    </row>
    <row r="7" spans="1:18">
      <c r="A7" s="115" t="s">
        <v>401</v>
      </c>
      <c r="B7" s="313">
        <f>'R&amp;D'!C25</f>
        <v>24.02805</v>
      </c>
      <c r="C7" s="313">
        <f>'R&amp;D'!D25</f>
        <v>24.780499999999996</v>
      </c>
      <c r="D7" s="313">
        <f>'R&amp;D'!E25</f>
        <v>25.78285</v>
      </c>
      <c r="E7" s="313">
        <f>'R&amp;D'!F25</f>
        <v>25.886900000000001</v>
      </c>
      <c r="F7" s="313">
        <f>'R&amp;D'!G25</f>
        <v>25.234249999999999</v>
      </c>
      <c r="G7" s="313">
        <f>'R&amp;D'!H25</f>
        <v>25.100099999999998</v>
      </c>
      <c r="H7" s="313">
        <f>'R&amp;D'!I25</f>
        <v>25.085599999999999</v>
      </c>
    </row>
    <row r="8" spans="1:18">
      <c r="A8" s="115" t="s">
        <v>131</v>
      </c>
      <c r="B8" s="313">
        <f>'R&amp;D'!C31</f>
        <v>11.148</v>
      </c>
      <c r="C8" s="313">
        <f>'R&amp;D'!D31</f>
        <v>11.643000000000001</v>
      </c>
      <c r="D8" s="313">
        <f>'R&amp;D'!E31</f>
        <v>10.194000000000001</v>
      </c>
      <c r="E8" s="313">
        <f>'R&amp;D'!F31</f>
        <v>9.8640000000000008</v>
      </c>
      <c r="F8" s="313">
        <f>'R&amp;D'!G31</f>
        <v>9.8140000000000001</v>
      </c>
      <c r="G8" s="313">
        <f>'R&amp;D'!H31</f>
        <v>9.9610000000000003</v>
      </c>
      <c r="H8" s="313">
        <f>'R&amp;D'!I31</f>
        <v>9.9610000000000003</v>
      </c>
    </row>
    <row r="9" spans="1:18" s="7" customFormat="1">
      <c r="A9" s="7" t="s">
        <v>132</v>
      </c>
      <c r="B9" s="38">
        <f>'R&amp;D'!C68</f>
        <v>4853.8555478942872</v>
      </c>
      <c r="C9" s="38">
        <f>'R&amp;D'!D68</f>
        <v>5323.6829311283</v>
      </c>
      <c r="D9" s="38">
        <f>'R&amp;D'!E68</f>
        <v>5598.7826800012053</v>
      </c>
      <c r="E9" s="38">
        <f>'R&amp;D'!F68</f>
        <v>5522.1582436265653</v>
      </c>
      <c r="F9" s="38">
        <f>'R&amp;D'!G68</f>
        <v>5513.5734052426642</v>
      </c>
      <c r="G9" s="38">
        <f>'R&amp;D'!H68</f>
        <v>5527.106280348874</v>
      </c>
      <c r="H9" s="38">
        <f>'R&amp;D'!I68</f>
        <v>5541.4425216386289</v>
      </c>
      <c r="K9" s="115"/>
      <c r="L9" s="115"/>
      <c r="M9" s="115"/>
      <c r="N9" s="115"/>
      <c r="O9" s="115"/>
      <c r="P9" s="115"/>
      <c r="Q9" s="115"/>
      <c r="R9" s="115"/>
    </row>
    <row r="10" spans="1:18">
      <c r="A10" s="115" t="s">
        <v>46</v>
      </c>
      <c r="B10" s="313">
        <f>'R&amp;D'!C79</f>
        <v>189.76399999999998</v>
      </c>
      <c r="C10" s="313">
        <f>'R&amp;D'!D79</f>
        <v>180.50500000000002</v>
      </c>
      <c r="D10" s="313">
        <f>'R&amp;D'!E79</f>
        <v>252.70399999999998</v>
      </c>
      <c r="E10" s="313">
        <f>'R&amp;D'!F79</f>
        <v>251.84300000000002</v>
      </c>
      <c r="F10" s="313">
        <f>'R&amp;D'!G79</f>
        <v>261.392</v>
      </c>
      <c r="G10" s="313">
        <f>'R&amp;D'!H79</f>
        <v>268.35000000000002</v>
      </c>
      <c r="H10" s="313">
        <f>'R&amp;D'!I79</f>
        <v>273.39500000000004</v>
      </c>
    </row>
    <row r="11" spans="1:18">
      <c r="A11" s="115" t="s">
        <v>393</v>
      </c>
      <c r="B11" s="313">
        <f>'R&amp;D'!C114</f>
        <v>89.150020999999995</v>
      </c>
      <c r="C11" s="313">
        <f>'R&amp;D'!D114</f>
        <v>117.82799999999999</v>
      </c>
      <c r="D11" s="313">
        <f>'R&amp;D'!E114</f>
        <v>155.89899999999997</v>
      </c>
      <c r="E11" s="313">
        <f>'R&amp;D'!F114</f>
        <v>170.41799999999998</v>
      </c>
      <c r="F11" s="313">
        <f>'R&amp;D'!G114</f>
        <v>147.62599999999998</v>
      </c>
      <c r="G11" s="313">
        <f>'R&amp;D'!H114</f>
        <v>146.02499999999998</v>
      </c>
      <c r="H11" s="313">
        <f>'R&amp;D'!I114</f>
        <v>119.48699999999999</v>
      </c>
      <c r="K11" s="7"/>
      <c r="L11" s="7"/>
      <c r="M11" s="7"/>
      <c r="N11" s="7"/>
      <c r="O11" s="7"/>
      <c r="P11" s="7"/>
      <c r="Q11" s="7"/>
      <c r="R11" s="7"/>
    </row>
    <row r="12" spans="1:18">
      <c r="A12" s="115" t="s">
        <v>394</v>
      </c>
      <c r="B12" s="115">
        <f>'R&amp;D'!C193</f>
        <v>865.25767999999982</v>
      </c>
      <c r="C12" s="115">
        <f>'R&amp;D'!D193</f>
        <v>1233.1829949999999</v>
      </c>
      <c r="D12" s="115">
        <f>'R&amp;D'!E193</f>
        <v>1613.3165250000002</v>
      </c>
      <c r="E12" s="115">
        <f>'R&amp;D'!F193</f>
        <v>1514.2012550000009</v>
      </c>
      <c r="F12" s="115">
        <f>'R&amp;D'!G193</f>
        <v>1551.330235000001</v>
      </c>
      <c r="G12" s="115">
        <f>'R&amp;D'!H193</f>
        <v>1251.3448000000001</v>
      </c>
      <c r="H12" s="115">
        <f>'R&amp;D'!I193</f>
        <v>1102.2818249999998</v>
      </c>
    </row>
    <row r="13" spans="1:18">
      <c r="A13" s="115" t="s">
        <v>476</v>
      </c>
      <c r="B13" s="313">
        <f>'R&amp;D'!C225</f>
        <v>238.72300000000004</v>
      </c>
      <c r="C13" s="313">
        <f>'R&amp;D'!D225</f>
        <v>254.85749999999999</v>
      </c>
      <c r="D13" s="313">
        <f>'R&amp;D'!E225</f>
        <v>304.34654999999998</v>
      </c>
      <c r="E13" s="313">
        <f>'R&amp;D'!F225</f>
        <v>293.88229999999999</v>
      </c>
      <c r="F13" s="313">
        <f>'R&amp;D'!G225</f>
        <v>282.26630000000006</v>
      </c>
      <c r="G13" s="313">
        <f>'R&amp;D'!H225</f>
        <v>273.81105000000002</v>
      </c>
      <c r="H13" s="313">
        <f>'R&amp;D'!I225</f>
        <v>266.56480000000005</v>
      </c>
    </row>
    <row r="14" spans="1:18">
      <c r="A14" s="115" t="s">
        <v>133</v>
      </c>
      <c r="B14" s="313">
        <f>'R&amp;D'!C234</f>
        <v>12.28586722</v>
      </c>
      <c r="C14" s="313">
        <f>'R&amp;D'!D234</f>
        <v>12.638999999999999</v>
      </c>
      <c r="D14" s="313">
        <f>'R&amp;D'!E234</f>
        <v>13.789000000000001</v>
      </c>
      <c r="E14" s="313">
        <f>'R&amp;D'!F234</f>
        <v>11.677</v>
      </c>
      <c r="F14" s="313">
        <f>'R&amp;D'!G234</f>
        <v>10.580299999999999</v>
      </c>
      <c r="G14" s="313">
        <f>'R&amp;D'!H234</f>
        <v>16.731999999999999</v>
      </c>
      <c r="H14" s="313">
        <f>'R&amp;D'!I234</f>
        <v>19.257999999999999</v>
      </c>
    </row>
    <row r="15" spans="1:18">
      <c r="A15" s="115" t="s">
        <v>134</v>
      </c>
      <c r="B15" s="313">
        <f>'R&amp;D'!C249</f>
        <v>515.93999999999994</v>
      </c>
      <c r="C15" s="313">
        <f>'R&amp;D'!D249</f>
        <v>487.99038139798739</v>
      </c>
      <c r="D15" s="313">
        <f>'R&amp;D'!E249</f>
        <v>469.30516918511444</v>
      </c>
      <c r="E15" s="313">
        <f>'R&amp;D'!F249</f>
        <v>431.05216918511439</v>
      </c>
      <c r="F15" s="313">
        <f>'R&amp;D'!G249</f>
        <v>351.06016918511438</v>
      </c>
      <c r="G15" s="313">
        <f>'R&amp;D'!H249</f>
        <v>339.54716918511434</v>
      </c>
      <c r="H15" s="313">
        <f>'R&amp;D'!I249</f>
        <v>321.77416918511437</v>
      </c>
    </row>
    <row r="16" spans="1:18">
      <c r="A16" s="115" t="s">
        <v>591</v>
      </c>
      <c r="B16" s="313">
        <f>'R&amp;D'!C255</f>
        <v>0</v>
      </c>
      <c r="C16" s="313">
        <f>'R&amp;D'!D255</f>
        <v>0</v>
      </c>
      <c r="D16" s="422">
        <f>'R&amp;D'!E255</f>
        <v>379.74299999999999</v>
      </c>
      <c r="E16" s="422">
        <f>'R&amp;D'!F255</f>
        <v>720.65499999999997</v>
      </c>
      <c r="F16" s="422">
        <f>'R&amp;D'!G255</f>
        <v>655.40100000000007</v>
      </c>
      <c r="G16" s="422">
        <f>'R&amp;D'!H255</f>
        <v>689.82299999999998</v>
      </c>
      <c r="H16" s="422">
        <f>'R&amp;D'!I255</f>
        <v>640.59749999999997</v>
      </c>
    </row>
    <row r="17" spans="1:8" s="324" customFormat="1">
      <c r="A17" s="324" t="s">
        <v>207</v>
      </c>
      <c r="B17" s="328">
        <f>SUM(B5:B16)</f>
        <v>6847.0641661142872</v>
      </c>
      <c r="C17" s="328">
        <f t="shared" ref="C17:H17" si="0">SUM(C5:C16)</f>
        <v>7766.5633075262876</v>
      </c>
      <c r="D17" s="423">
        <f t="shared" si="0"/>
        <v>8869.5237741863202</v>
      </c>
      <c r="E17" s="423">
        <f t="shared" si="0"/>
        <v>8994.2118678116803</v>
      </c>
      <c r="F17" s="423">
        <f t="shared" si="0"/>
        <v>8850.1566594277792</v>
      </c>
      <c r="G17" s="423">
        <f t="shared" si="0"/>
        <v>8589.4213995339887</v>
      </c>
      <c r="H17" s="423">
        <f t="shared" si="0"/>
        <v>8361.4684158237433</v>
      </c>
    </row>
    <row r="18" spans="1:8">
      <c r="B18" s="313"/>
      <c r="C18" s="313"/>
      <c r="D18" s="313"/>
      <c r="E18" s="313"/>
      <c r="F18" s="313"/>
      <c r="G18" s="313"/>
      <c r="H18" s="313"/>
    </row>
    <row r="19" spans="1:8">
      <c r="A19" s="324" t="s">
        <v>242</v>
      </c>
    </row>
    <row r="20" spans="1:8" s="324" customFormat="1">
      <c r="B20" s="324">
        <f t="shared" ref="B20:H20" si="1">B4</f>
        <v>2021</v>
      </c>
      <c r="C20" s="324">
        <f t="shared" si="1"/>
        <v>2022</v>
      </c>
      <c r="D20" s="324">
        <f t="shared" si="1"/>
        <v>2023</v>
      </c>
      <c r="E20" s="324">
        <f t="shared" si="1"/>
        <v>2024</v>
      </c>
      <c r="F20" s="324">
        <f t="shared" si="1"/>
        <v>2025</v>
      </c>
      <c r="G20" s="324">
        <f t="shared" si="1"/>
        <v>2026</v>
      </c>
      <c r="H20" s="324">
        <f t="shared" si="1"/>
        <v>2027</v>
      </c>
    </row>
    <row r="21" spans="1:8">
      <c r="A21" s="115" t="str">
        <f t="shared" ref="A21:A28" si="2">A5</f>
        <v>Algemene Zaken</v>
      </c>
      <c r="B21" s="259">
        <f>'R&amp;D'!Q8</f>
        <v>0</v>
      </c>
      <c r="C21" s="259">
        <f>'R&amp;D'!R8</f>
        <v>0</v>
      </c>
      <c r="D21" s="259">
        <f>'R&amp;D'!S8</f>
        <v>0</v>
      </c>
      <c r="E21" s="259">
        <f>'R&amp;D'!T8</f>
        <v>0</v>
      </c>
      <c r="F21" s="259">
        <f>'R&amp;D'!U8</f>
        <v>0</v>
      </c>
      <c r="G21" s="259">
        <f>'R&amp;D'!V8</f>
        <v>0</v>
      </c>
      <c r="H21" s="259">
        <f>'R&amp;D'!W8</f>
        <v>0</v>
      </c>
    </row>
    <row r="22" spans="1:8" s="7" customFormat="1">
      <c r="A22" s="115" t="str">
        <f t="shared" si="2"/>
        <v xml:space="preserve">Buitenlandse Zaken </v>
      </c>
      <c r="B22" s="172">
        <f>'R&amp;D'!Q18</f>
        <v>0</v>
      </c>
      <c r="C22" s="172">
        <f>'R&amp;D'!R18</f>
        <v>0</v>
      </c>
      <c r="D22" s="172">
        <f>'R&amp;D'!S18</f>
        <v>0</v>
      </c>
      <c r="E22" s="172">
        <f>'R&amp;D'!T18</f>
        <v>0</v>
      </c>
      <c r="F22" s="172">
        <f>'R&amp;D'!U18</f>
        <v>0</v>
      </c>
      <c r="G22" s="172">
        <f>'R&amp;D'!V18</f>
        <v>0</v>
      </c>
      <c r="H22" s="172">
        <f>'R&amp;D'!W18</f>
        <v>0</v>
      </c>
    </row>
    <row r="23" spans="1:8">
      <c r="A23" s="115" t="str">
        <f t="shared" si="2"/>
        <v xml:space="preserve">Justitie en Veiligheid </v>
      </c>
      <c r="B23" s="259">
        <f>'R&amp;D'!Q25</f>
        <v>3.9662864999999998</v>
      </c>
      <c r="C23" s="259">
        <f>'R&amp;D'!R25</f>
        <v>3.9169349999999996</v>
      </c>
      <c r="D23" s="259">
        <f>'R&amp;D'!S25</f>
        <v>4.2916005000000004</v>
      </c>
      <c r="E23" s="259">
        <f>'R&amp;D'!T25</f>
        <v>4.3265970000000005</v>
      </c>
      <c r="F23" s="259">
        <f>'R&amp;D'!U25</f>
        <v>4.1320125000000001</v>
      </c>
      <c r="G23" s="259">
        <f>'R&amp;D'!V25</f>
        <v>4.0874129999999997</v>
      </c>
      <c r="H23" s="259">
        <f>'R&amp;D'!W25</f>
        <v>4.085928</v>
      </c>
    </row>
    <row r="24" spans="1:8">
      <c r="A24" s="115" t="str">
        <f t="shared" si="2"/>
        <v>Binnenlandse Zaken en Koninkrijksrelaties</v>
      </c>
      <c r="B24" s="259">
        <f>'R&amp;D'!Q264</f>
        <v>1.1148000000000002</v>
      </c>
      <c r="C24" s="259">
        <f>'R&amp;D'!R264</f>
        <v>1.1643000000000001</v>
      </c>
      <c r="D24" s="259">
        <f>'R&amp;D'!S264</f>
        <v>1.0194000000000001</v>
      </c>
      <c r="E24" s="259">
        <f>'R&amp;D'!T264</f>
        <v>0.98640000000000017</v>
      </c>
      <c r="F24" s="259">
        <f>'R&amp;D'!U264</f>
        <v>0.98140000000000005</v>
      </c>
      <c r="G24" s="259">
        <f>'R&amp;D'!V264</f>
        <v>0.9961000000000001</v>
      </c>
      <c r="H24" s="259">
        <f>'R&amp;D'!W264</f>
        <v>0.9961000000000001</v>
      </c>
    </row>
    <row r="25" spans="1:8" s="7" customFormat="1">
      <c r="A25" s="115" t="str">
        <f t="shared" si="2"/>
        <v>Onderwijs, Cultuur en Wetenschap</v>
      </c>
      <c r="B25" s="172">
        <f>'R&amp;D'!Q68</f>
        <v>308.39999999999998</v>
      </c>
      <c r="C25" s="172">
        <f>'R&amp;D'!R68</f>
        <v>309.53999999999996</v>
      </c>
      <c r="D25" s="172">
        <f>'R&amp;D'!S68</f>
        <v>356.12</v>
      </c>
      <c r="E25" s="172">
        <f>'R&amp;D'!T68</f>
        <v>351.14</v>
      </c>
      <c r="F25" s="172">
        <f>'R&amp;D'!U68</f>
        <v>308.39999999999998</v>
      </c>
      <c r="G25" s="172">
        <f>'R&amp;D'!V68</f>
        <v>308.39999999999998</v>
      </c>
      <c r="H25" s="172">
        <f>'R&amp;D'!W68</f>
        <v>308.39999999999998</v>
      </c>
    </row>
    <row r="26" spans="1:8">
      <c r="A26" s="115" t="str">
        <f t="shared" si="2"/>
        <v>Defensie</v>
      </c>
      <c r="B26" s="259">
        <f>'R&amp;D'!Q79</f>
        <v>136.535</v>
      </c>
      <c r="C26" s="259">
        <f>'R&amp;D'!R79</f>
        <v>125.96000000000001</v>
      </c>
      <c r="D26" s="259">
        <f>'R&amp;D'!S79</f>
        <v>177.00899999999999</v>
      </c>
      <c r="E26" s="259">
        <f>'R&amp;D'!T79</f>
        <v>165.93600000000001</v>
      </c>
      <c r="F26" s="259">
        <f>'R&amp;D'!U79</f>
        <v>165.90900000000002</v>
      </c>
      <c r="G26" s="259">
        <f>'R&amp;D'!V79</f>
        <v>170.886</v>
      </c>
      <c r="H26" s="259">
        <f>'R&amp;D'!W79</f>
        <v>175.93100000000001</v>
      </c>
    </row>
    <row r="27" spans="1:8">
      <c r="A27" s="115" t="str">
        <f t="shared" si="2"/>
        <v>Infrastructuur en Waterstaat</v>
      </c>
      <c r="B27" s="259">
        <f>'R&amp;D'!Q114</f>
        <v>0</v>
      </c>
      <c r="C27" s="259">
        <f>'R&amp;D'!R114</f>
        <v>13.173999999999999</v>
      </c>
      <c r="D27" s="259">
        <f>'R&amp;D'!S114</f>
        <v>63.023000000000003</v>
      </c>
      <c r="E27" s="259">
        <f>'R&amp;D'!T114</f>
        <v>82.14</v>
      </c>
      <c r="F27" s="259">
        <f>'R&amp;D'!U114</f>
        <v>59.933999999999997</v>
      </c>
      <c r="G27" s="259">
        <f>'R&amp;D'!V114</f>
        <v>60.536999999999999</v>
      </c>
      <c r="H27" s="259">
        <f>'R&amp;D'!W114</f>
        <v>38.725000000000001</v>
      </c>
    </row>
    <row r="28" spans="1:8">
      <c r="A28" s="115" t="str">
        <f t="shared" si="2"/>
        <v>Economische Zaken en Klimaat</v>
      </c>
      <c r="B28" s="259">
        <f>'R&amp;D'!Q193</f>
        <v>712.89379889999987</v>
      </c>
      <c r="C28" s="259">
        <f>'R&amp;D'!R193</f>
        <v>938.84612140000002</v>
      </c>
      <c r="D28" s="259">
        <f>'R&amp;D'!S193</f>
        <v>1274.1292129999997</v>
      </c>
      <c r="E28" s="259">
        <f>'R&amp;D'!T193</f>
        <v>1214.3029895000002</v>
      </c>
      <c r="F28" s="259">
        <f>'R&amp;D'!U193</f>
        <v>1346.8327865000001</v>
      </c>
      <c r="G28" s="259">
        <f>'R&amp;D'!V193</f>
        <v>1094.1411800000001</v>
      </c>
      <c r="H28" s="259">
        <f>'R&amp;D'!W193</f>
        <v>957.12009250000017</v>
      </c>
    </row>
    <row r="29" spans="1:8">
      <c r="A29" s="115" t="s">
        <v>476</v>
      </c>
      <c r="B29" s="259">
        <f>'R&amp;D'!Q225</f>
        <v>152.06762499999996</v>
      </c>
      <c r="C29" s="259">
        <f>'R&amp;D'!R225</f>
        <v>162.95433750000001</v>
      </c>
      <c r="D29" s="259">
        <f>'R&amp;D'!S225</f>
        <v>213.32467500000001</v>
      </c>
      <c r="E29" s="259">
        <f>'R&amp;D'!T225</f>
        <v>204.05746249999996</v>
      </c>
      <c r="F29" s="259">
        <f>'R&amp;D'!U225</f>
        <v>193.76701250000002</v>
      </c>
      <c r="G29" s="259">
        <f>'R&amp;D'!V225</f>
        <v>186.42597499999999</v>
      </c>
      <c r="H29" s="259">
        <f>'R&amp;D'!W225</f>
        <v>180.960725</v>
      </c>
    </row>
    <row r="30" spans="1:8">
      <c r="A30" s="115" t="str">
        <f>A14</f>
        <v>Sociale Zaken en Werkgelegenheid</v>
      </c>
      <c r="B30" s="259">
        <f>'R&amp;D'!Q234</f>
        <v>0</v>
      </c>
      <c r="C30" s="259">
        <f>'R&amp;D'!R234</f>
        <v>0</v>
      </c>
      <c r="D30" s="259">
        <f>'R&amp;D'!S234</f>
        <v>0</v>
      </c>
      <c r="E30" s="259">
        <f>'R&amp;D'!T234</f>
        <v>0</v>
      </c>
      <c r="F30" s="259">
        <f>'R&amp;D'!U234</f>
        <v>0</v>
      </c>
      <c r="G30" s="259">
        <f>'R&amp;D'!V234</f>
        <v>0</v>
      </c>
      <c r="H30" s="259">
        <f>'R&amp;D'!W234</f>
        <v>0</v>
      </c>
    </row>
    <row r="31" spans="1:8">
      <c r="A31" s="115" t="str">
        <f>A15</f>
        <v>Volksgezondheid, Welzijn en Sport</v>
      </c>
      <c r="B31" s="259">
        <f>'R&amp;D'!Q249</f>
        <v>0</v>
      </c>
      <c r="C31" s="259">
        <f>'R&amp;D'!R249</f>
        <v>0</v>
      </c>
      <c r="D31" s="259">
        <f>'R&amp;D'!S249</f>
        <v>17.399999999999999</v>
      </c>
      <c r="E31" s="259">
        <f>'R&amp;D'!T249</f>
        <v>29.5</v>
      </c>
      <c r="F31" s="259">
        <f>'R&amp;D'!U249</f>
        <v>3.4</v>
      </c>
      <c r="G31" s="259">
        <f>'R&amp;D'!V249</f>
        <v>12.7</v>
      </c>
      <c r="H31" s="259">
        <f>'R&amp;D'!W249</f>
        <v>12.5</v>
      </c>
    </row>
    <row r="32" spans="1:8">
      <c r="A32" s="115" t="s">
        <v>591</v>
      </c>
      <c r="B32" s="259">
        <f>'R&amp;D'!Q255</f>
        <v>0</v>
      </c>
      <c r="C32" s="259">
        <f>'R&amp;D'!R255</f>
        <v>0</v>
      </c>
      <c r="D32" s="424">
        <f>'R&amp;D'!S255</f>
        <v>379.74299999999999</v>
      </c>
      <c r="E32" s="424">
        <f>'R&amp;D'!T255</f>
        <v>720.65499999999997</v>
      </c>
      <c r="F32" s="424">
        <f>'R&amp;D'!U255</f>
        <v>655.40100000000007</v>
      </c>
      <c r="G32" s="424">
        <f>'R&amp;D'!V255</f>
        <v>689.82299999999998</v>
      </c>
      <c r="H32" s="424">
        <f>'R&amp;D'!W255</f>
        <v>640.59749999999997</v>
      </c>
    </row>
    <row r="33" spans="1:9" s="324" customFormat="1">
      <c r="A33" s="324" t="s">
        <v>127</v>
      </c>
      <c r="B33" s="328">
        <f>SUM(B21:B32)</f>
        <v>1314.9775103999998</v>
      </c>
      <c r="C33" s="328">
        <f t="shared" ref="C33:H33" si="3">SUM(C21:C32)</f>
        <v>1555.5556939000001</v>
      </c>
      <c r="D33" s="423">
        <f t="shared" si="3"/>
        <v>2486.0598884999995</v>
      </c>
      <c r="E33" s="423">
        <f t="shared" si="3"/>
        <v>2773.044449</v>
      </c>
      <c r="F33" s="423">
        <f t="shared" si="3"/>
        <v>2738.7572115000003</v>
      </c>
      <c r="G33" s="423">
        <f t="shared" si="3"/>
        <v>2527.9966680000002</v>
      </c>
      <c r="H33" s="423">
        <f t="shared" si="3"/>
        <v>2319.3163454999999</v>
      </c>
      <c r="I33" s="328"/>
    </row>
    <row r="34" spans="1:9">
      <c r="B34" s="313"/>
      <c r="C34" s="313"/>
      <c r="D34" s="313"/>
      <c r="E34" s="313"/>
      <c r="F34" s="313"/>
      <c r="G34" s="313"/>
      <c r="H34" s="313"/>
    </row>
    <row r="35" spans="1:9">
      <c r="A35" s="324" t="s">
        <v>209</v>
      </c>
    </row>
    <row r="36" spans="1:9">
      <c r="B36" s="324">
        <f t="shared" ref="B36:H36" si="4">B4</f>
        <v>2021</v>
      </c>
      <c r="C36" s="324">
        <f t="shared" si="4"/>
        <v>2022</v>
      </c>
      <c r="D36" s="324">
        <f t="shared" si="4"/>
        <v>2023</v>
      </c>
      <c r="E36" s="324">
        <f t="shared" si="4"/>
        <v>2024</v>
      </c>
      <c r="F36" s="324">
        <f t="shared" si="4"/>
        <v>2025</v>
      </c>
      <c r="G36" s="324">
        <f t="shared" si="4"/>
        <v>2026</v>
      </c>
      <c r="H36" s="324">
        <f t="shared" si="4"/>
        <v>2027</v>
      </c>
    </row>
    <row r="37" spans="1:9">
      <c r="A37" s="115" t="str">
        <f t="shared" ref="A37:A43" si="5">A21</f>
        <v>Algemene Zaken</v>
      </c>
      <c r="B37" s="329">
        <f>Innovatie!C33</f>
        <v>0</v>
      </c>
      <c r="C37" s="329">
        <v>0</v>
      </c>
      <c r="D37" s="329">
        <v>0</v>
      </c>
      <c r="E37" s="329">
        <v>0</v>
      </c>
      <c r="F37" s="329">
        <v>0</v>
      </c>
      <c r="G37" s="329">
        <v>0</v>
      </c>
      <c r="H37" s="329">
        <v>0</v>
      </c>
    </row>
    <row r="38" spans="1:9">
      <c r="A38" s="115" t="str">
        <f t="shared" si="5"/>
        <v xml:space="preserve">Buitenlandse Zaken </v>
      </c>
      <c r="B38" s="329">
        <v>0</v>
      </c>
      <c r="C38" s="329">
        <v>0</v>
      </c>
      <c r="D38" s="329">
        <v>0</v>
      </c>
      <c r="E38" s="329">
        <v>0</v>
      </c>
      <c r="F38" s="329">
        <v>0</v>
      </c>
      <c r="G38" s="329">
        <v>0</v>
      </c>
      <c r="H38" s="329">
        <v>0</v>
      </c>
    </row>
    <row r="39" spans="1:9">
      <c r="A39" s="115" t="str">
        <f t="shared" si="5"/>
        <v xml:space="preserve">Justitie en Veiligheid </v>
      </c>
      <c r="B39" s="329">
        <f>Innovatie!C35</f>
        <v>0</v>
      </c>
      <c r="C39" s="329">
        <f>Innovatie!D35</f>
        <v>0</v>
      </c>
      <c r="D39" s="329">
        <v>0</v>
      </c>
      <c r="E39" s="329">
        <f>Innovatie!F35</f>
        <v>0</v>
      </c>
      <c r="F39" s="329">
        <f>Innovatie!G35</f>
        <v>0</v>
      </c>
      <c r="G39" s="329">
        <f>Innovatie!H35</f>
        <v>0</v>
      </c>
      <c r="H39" s="329">
        <f>Innovatie!I35</f>
        <v>0</v>
      </c>
    </row>
    <row r="40" spans="1:9">
      <c r="A40" s="115" t="str">
        <f t="shared" si="5"/>
        <v>Binnenlandse Zaken en Koninkrijksrelaties</v>
      </c>
      <c r="B40" s="329">
        <v>0</v>
      </c>
      <c r="C40" s="329">
        <v>0</v>
      </c>
      <c r="D40" s="329">
        <v>0</v>
      </c>
      <c r="E40" s="329">
        <v>0</v>
      </c>
      <c r="F40" s="329">
        <v>0</v>
      </c>
      <c r="G40" s="329">
        <v>0</v>
      </c>
      <c r="H40" s="329">
        <v>0</v>
      </c>
    </row>
    <row r="41" spans="1:9">
      <c r="A41" s="115" t="str">
        <f t="shared" si="5"/>
        <v>Onderwijs, Cultuur en Wetenschap</v>
      </c>
      <c r="B41" s="329">
        <f>Innovatie!C37</f>
        <v>133.46991</v>
      </c>
      <c r="C41" s="329">
        <f>Innovatie!D37</f>
        <v>131.17459999999997</v>
      </c>
      <c r="D41" s="329">
        <f>Innovatie!E37</f>
        <v>184.53605999999999</v>
      </c>
      <c r="E41" s="329">
        <f>Innovatie!F37</f>
        <v>156.22990499999997</v>
      </c>
      <c r="F41" s="329">
        <f>Innovatie!G37</f>
        <v>149.69058500000003</v>
      </c>
      <c r="G41" s="329">
        <f>Innovatie!H37</f>
        <v>141.54431</v>
      </c>
      <c r="H41" s="329">
        <f>Innovatie!I37</f>
        <v>133.16197999999997</v>
      </c>
    </row>
    <row r="42" spans="1:9">
      <c r="A42" s="115" t="str">
        <f t="shared" si="5"/>
        <v>Defensie</v>
      </c>
      <c r="B42" s="259">
        <f>Innovatie!C41</f>
        <v>2.0819999999999999</v>
      </c>
      <c r="C42" s="259">
        <f>Innovatie!D41</f>
        <v>7.2610000000000001</v>
      </c>
      <c r="D42" s="259">
        <f>Innovatie!E41</f>
        <v>35</v>
      </c>
      <c r="E42" s="259">
        <f>Innovatie!F41</f>
        <v>55.1</v>
      </c>
      <c r="F42" s="259">
        <f>Innovatie!G41</f>
        <v>80</v>
      </c>
      <c r="G42" s="259">
        <f>Innovatie!H41</f>
        <v>80</v>
      </c>
      <c r="H42" s="259">
        <f>Innovatie!I41</f>
        <v>60</v>
      </c>
    </row>
    <row r="43" spans="1:9">
      <c r="A43" s="115" t="str">
        <f t="shared" si="5"/>
        <v>Infrastructuur en Waterstaat</v>
      </c>
      <c r="B43" s="259">
        <f>Innovatie!C61</f>
        <v>61.093999999999994</v>
      </c>
      <c r="C43" s="259">
        <f>Innovatie!D61</f>
        <v>65.917000000000002</v>
      </c>
      <c r="D43" s="259">
        <f>Innovatie!E61</f>
        <v>62.161000000000008</v>
      </c>
      <c r="E43" s="259">
        <f>Innovatie!F61</f>
        <v>55.814000000000014</v>
      </c>
      <c r="F43" s="259">
        <f>Innovatie!G61</f>
        <v>35.383000000000003</v>
      </c>
      <c r="G43" s="259">
        <f>Innovatie!H61</f>
        <v>27.956999999999997</v>
      </c>
      <c r="H43" s="259">
        <f>Innovatie!I61</f>
        <v>27.555999999999997</v>
      </c>
    </row>
    <row r="44" spans="1:9">
      <c r="A44" s="115" t="str">
        <f>A28</f>
        <v>Economische Zaken en Klimaat</v>
      </c>
      <c r="B44" s="259">
        <f>Innovatie!C98</f>
        <v>207.51246999999998</v>
      </c>
      <c r="C44" s="259">
        <f>Innovatie!D98</f>
        <v>392.58415000000002</v>
      </c>
      <c r="D44" s="259">
        <f>Innovatie!E98</f>
        <v>730.75359999999989</v>
      </c>
      <c r="E44" s="259">
        <f>Innovatie!F98</f>
        <v>581.79210999999998</v>
      </c>
      <c r="F44" s="259">
        <f>Innovatie!G98</f>
        <v>653.28351000000009</v>
      </c>
      <c r="G44" s="259">
        <f>Innovatie!H98</f>
        <v>451.47126000000003</v>
      </c>
      <c r="H44" s="259">
        <f>Innovatie!I98</f>
        <v>270.63910999999996</v>
      </c>
    </row>
    <row r="45" spans="1:9">
      <c r="A45" s="115" t="s">
        <v>476</v>
      </c>
      <c r="B45" s="259">
        <f>Innovatie!C109</f>
        <v>38.649000000000001</v>
      </c>
      <c r="C45" s="259">
        <f>Innovatie!D109</f>
        <v>70.128</v>
      </c>
      <c r="D45" s="259">
        <f>Innovatie!E109</f>
        <v>82.149000000000001</v>
      </c>
      <c r="E45" s="259">
        <f>Innovatie!F109</f>
        <v>71.42</v>
      </c>
      <c r="F45" s="259">
        <f>Innovatie!G109</f>
        <v>119.94899999999998</v>
      </c>
      <c r="G45" s="259">
        <f>Innovatie!H109</f>
        <v>67.569000000000003</v>
      </c>
      <c r="H45" s="259">
        <f>Innovatie!I109</f>
        <v>51.341000000000001</v>
      </c>
    </row>
    <row r="46" spans="1:9">
      <c r="A46" s="115" t="str">
        <f>A30</f>
        <v>Sociale Zaken en Werkgelegenheid</v>
      </c>
      <c r="B46" s="329">
        <f>Innovatie!C115</f>
        <v>4.2089999999999996</v>
      </c>
      <c r="C46" s="329">
        <f>Innovatie!D115</f>
        <v>4.415</v>
      </c>
      <c r="D46" s="329">
        <f>Innovatie!E115</f>
        <v>3.8460000000000001</v>
      </c>
      <c r="E46" s="329">
        <f>Innovatie!F115</f>
        <v>3.8460000000000001</v>
      </c>
      <c r="F46" s="329">
        <f>Innovatie!G115</f>
        <v>3.8460000000000001</v>
      </c>
      <c r="G46" s="329">
        <f>Innovatie!H115</f>
        <v>3.8460000000000001</v>
      </c>
      <c r="H46" s="329">
        <f>Innovatie!I115</f>
        <v>3.8460000000000001</v>
      </c>
    </row>
    <row r="47" spans="1:9">
      <c r="A47" s="115" t="str">
        <f>A31</f>
        <v>Volksgezondheid, Welzijn en Sport</v>
      </c>
      <c r="B47" s="259">
        <f>Innovatie!C120</f>
        <v>0.25</v>
      </c>
      <c r="C47" s="259">
        <f>Innovatie!D120</f>
        <v>0.25</v>
      </c>
      <c r="D47" s="259">
        <f>Innovatie!E120</f>
        <v>0.25</v>
      </c>
      <c r="E47" s="259">
        <f>Innovatie!F120</f>
        <v>0.25</v>
      </c>
      <c r="F47" s="259">
        <f>Innovatie!G120</f>
        <v>0.25</v>
      </c>
      <c r="G47" s="259">
        <f>Innovatie!H120</f>
        <v>0.25</v>
      </c>
      <c r="H47" s="259">
        <f>Innovatie!I120</f>
        <v>0.25</v>
      </c>
    </row>
    <row r="48" spans="1:9">
      <c r="A48" s="115" t="s">
        <v>591</v>
      </c>
      <c r="B48" s="259">
        <f>Innovatie!C126</f>
        <v>0</v>
      </c>
      <c r="C48" s="259">
        <f>Innovatie!D126</f>
        <v>0</v>
      </c>
      <c r="D48" s="424">
        <f>Innovatie!E126</f>
        <v>379.74299999999999</v>
      </c>
      <c r="E48" s="424">
        <f>Innovatie!F126</f>
        <v>720.65499999999997</v>
      </c>
      <c r="F48" s="424">
        <f>Innovatie!G126</f>
        <v>655.40100000000007</v>
      </c>
      <c r="G48" s="424">
        <f>Innovatie!H126</f>
        <v>689.82299999999998</v>
      </c>
      <c r="H48" s="424">
        <f>Innovatie!I126</f>
        <v>640.59749999999997</v>
      </c>
    </row>
    <row r="49" spans="1:9" s="324" customFormat="1">
      <c r="A49" s="324" t="s">
        <v>127</v>
      </c>
      <c r="B49" s="330">
        <f>SUM(B37:B48)</f>
        <v>447.26637999999997</v>
      </c>
      <c r="C49" s="425">
        <f t="shared" ref="C49:H49" si="6">SUM(C37:C48)</f>
        <v>671.72974999999997</v>
      </c>
      <c r="D49" s="426">
        <f t="shared" si="6"/>
        <v>1478.4386599999998</v>
      </c>
      <c r="E49" s="426">
        <f t="shared" si="6"/>
        <v>1645.107015</v>
      </c>
      <c r="F49" s="426">
        <f t="shared" si="6"/>
        <v>1697.8030950000002</v>
      </c>
      <c r="G49" s="426">
        <f t="shared" si="6"/>
        <v>1462.46057</v>
      </c>
      <c r="H49" s="426">
        <f t="shared" si="6"/>
        <v>1187.3915899999997</v>
      </c>
      <c r="I49" s="330"/>
    </row>
    <row r="50" spans="1:9">
      <c r="B50" s="259"/>
      <c r="C50" s="259"/>
      <c r="D50" s="259"/>
      <c r="E50" s="259"/>
      <c r="F50" s="259"/>
      <c r="G50" s="259"/>
      <c r="H50" s="259"/>
    </row>
    <row r="51" spans="1:9">
      <c r="A51" s="324" t="s">
        <v>210</v>
      </c>
    </row>
    <row r="52" spans="1:9">
      <c r="B52" s="324">
        <f t="shared" ref="B52:H52" si="7">B20</f>
        <v>2021</v>
      </c>
      <c r="C52" s="324">
        <f t="shared" si="7"/>
        <v>2022</v>
      </c>
      <c r="D52" s="324">
        <f t="shared" si="7"/>
        <v>2023</v>
      </c>
      <c r="E52" s="324">
        <f t="shared" si="7"/>
        <v>2024</v>
      </c>
      <c r="F52" s="324">
        <f t="shared" si="7"/>
        <v>2025</v>
      </c>
      <c r="G52" s="324">
        <f t="shared" si="7"/>
        <v>2026</v>
      </c>
      <c r="H52" s="324">
        <f t="shared" si="7"/>
        <v>2027</v>
      </c>
    </row>
    <row r="53" spans="1:9">
      <c r="A53" s="115" t="str">
        <f t="shared" ref="A53:A60" si="8">A37</f>
        <v>Algemene Zaken</v>
      </c>
      <c r="B53" s="313">
        <f t="shared" ref="B53:H64" si="9">+B5+B37</f>
        <v>0.72</v>
      </c>
      <c r="C53" s="313">
        <f t="shared" si="9"/>
        <v>0.59399999999999997</v>
      </c>
      <c r="D53" s="313">
        <f t="shared" si="9"/>
        <v>0.59399999999999997</v>
      </c>
      <c r="E53" s="313">
        <f t="shared" si="9"/>
        <v>0.59399999999999997</v>
      </c>
      <c r="F53" s="313">
        <f t="shared" si="9"/>
        <v>0.59399999999999997</v>
      </c>
      <c r="G53" s="313">
        <f t="shared" si="9"/>
        <v>0.59399999999999997</v>
      </c>
      <c r="H53" s="313">
        <f t="shared" si="9"/>
        <v>0.59399999999999997</v>
      </c>
    </row>
    <row r="54" spans="1:9" s="7" customFormat="1">
      <c r="A54" s="115" t="str">
        <f t="shared" si="8"/>
        <v xml:space="preserve">Buitenlandse Zaken </v>
      </c>
      <c r="B54" s="313">
        <f t="shared" si="9"/>
        <v>46.192</v>
      </c>
      <c r="C54" s="313">
        <f t="shared" si="9"/>
        <v>118.85999999999999</v>
      </c>
      <c r="D54" s="313">
        <f t="shared" si="9"/>
        <v>45.067000000000007</v>
      </c>
      <c r="E54" s="313">
        <f t="shared" si="9"/>
        <v>41.980000000000004</v>
      </c>
      <c r="F54" s="313">
        <f t="shared" si="9"/>
        <v>41.285000000000004</v>
      </c>
      <c r="G54" s="313">
        <f t="shared" si="9"/>
        <v>41.027000000000008</v>
      </c>
      <c r="H54" s="313">
        <f t="shared" si="9"/>
        <v>41.027000000000008</v>
      </c>
    </row>
    <row r="55" spans="1:9">
      <c r="A55" s="115" t="str">
        <f t="shared" si="8"/>
        <v xml:space="preserve">Justitie en Veiligheid </v>
      </c>
      <c r="B55" s="313">
        <f t="shared" si="9"/>
        <v>24.02805</v>
      </c>
      <c r="C55" s="313">
        <f t="shared" si="9"/>
        <v>24.780499999999996</v>
      </c>
      <c r="D55" s="313">
        <f t="shared" si="9"/>
        <v>25.78285</v>
      </c>
      <c r="E55" s="313">
        <f t="shared" si="9"/>
        <v>25.886900000000001</v>
      </c>
      <c r="F55" s="313">
        <f t="shared" si="9"/>
        <v>25.234249999999999</v>
      </c>
      <c r="G55" s="313">
        <f t="shared" si="9"/>
        <v>25.100099999999998</v>
      </c>
      <c r="H55" s="313">
        <f t="shared" si="9"/>
        <v>25.085599999999999</v>
      </c>
    </row>
    <row r="56" spans="1:9">
      <c r="A56" s="115" t="str">
        <f t="shared" si="8"/>
        <v>Binnenlandse Zaken en Koninkrijksrelaties</v>
      </c>
      <c r="B56" s="313">
        <f t="shared" si="9"/>
        <v>11.148</v>
      </c>
      <c r="C56" s="313">
        <f t="shared" si="9"/>
        <v>11.643000000000001</v>
      </c>
      <c r="D56" s="313">
        <f t="shared" si="9"/>
        <v>10.194000000000001</v>
      </c>
      <c r="E56" s="313">
        <f t="shared" si="9"/>
        <v>9.8640000000000008</v>
      </c>
      <c r="F56" s="313">
        <f t="shared" si="9"/>
        <v>9.8140000000000001</v>
      </c>
      <c r="G56" s="313">
        <f t="shared" si="9"/>
        <v>9.9610000000000003</v>
      </c>
      <c r="H56" s="313">
        <f t="shared" si="9"/>
        <v>9.9610000000000003</v>
      </c>
    </row>
    <row r="57" spans="1:9" s="7" customFormat="1">
      <c r="A57" s="115" t="str">
        <f t="shared" si="8"/>
        <v>Onderwijs, Cultuur en Wetenschap</v>
      </c>
      <c r="B57" s="313">
        <f t="shared" si="9"/>
        <v>4987.325457894287</v>
      </c>
      <c r="C57" s="313">
        <f t="shared" si="9"/>
        <v>5454.8575311283003</v>
      </c>
      <c r="D57" s="313">
        <f t="shared" si="9"/>
        <v>5783.3187400012057</v>
      </c>
      <c r="E57" s="313">
        <f t="shared" si="9"/>
        <v>5678.3881486265655</v>
      </c>
      <c r="F57" s="313">
        <f t="shared" si="9"/>
        <v>5663.2639902426645</v>
      </c>
      <c r="G57" s="313">
        <f t="shared" si="9"/>
        <v>5668.6505903488742</v>
      </c>
      <c r="H57" s="313">
        <f t="shared" si="9"/>
        <v>5674.6045016386288</v>
      </c>
    </row>
    <row r="58" spans="1:9">
      <c r="A58" s="115" t="str">
        <f t="shared" si="8"/>
        <v>Defensie</v>
      </c>
      <c r="B58" s="313">
        <f t="shared" si="9"/>
        <v>191.84599999999998</v>
      </c>
      <c r="C58" s="313">
        <f t="shared" si="9"/>
        <v>187.76600000000002</v>
      </c>
      <c r="D58" s="313">
        <f t="shared" si="9"/>
        <v>287.70399999999995</v>
      </c>
      <c r="E58" s="313">
        <f t="shared" si="9"/>
        <v>306.94300000000004</v>
      </c>
      <c r="F58" s="313">
        <f t="shared" si="9"/>
        <v>341.392</v>
      </c>
      <c r="G58" s="313">
        <f t="shared" si="9"/>
        <v>348.35</v>
      </c>
      <c r="H58" s="313">
        <f t="shared" si="9"/>
        <v>333.39500000000004</v>
      </c>
    </row>
    <row r="59" spans="1:9">
      <c r="A59" s="115" t="str">
        <f t="shared" si="8"/>
        <v>Infrastructuur en Waterstaat</v>
      </c>
      <c r="B59" s="313">
        <f t="shared" si="9"/>
        <v>150.24402099999998</v>
      </c>
      <c r="C59" s="313">
        <f t="shared" si="9"/>
        <v>183.745</v>
      </c>
      <c r="D59" s="313">
        <f t="shared" si="9"/>
        <v>218.05999999999997</v>
      </c>
      <c r="E59" s="313">
        <f t="shared" si="9"/>
        <v>226.232</v>
      </c>
      <c r="F59" s="313">
        <f t="shared" si="9"/>
        <v>183.00899999999999</v>
      </c>
      <c r="G59" s="313">
        <f t="shared" si="9"/>
        <v>173.98199999999997</v>
      </c>
      <c r="H59" s="313">
        <f t="shared" si="9"/>
        <v>147.04300000000001</v>
      </c>
    </row>
    <row r="60" spans="1:9">
      <c r="A60" s="115" t="str">
        <f t="shared" si="8"/>
        <v>Economische Zaken en Klimaat</v>
      </c>
      <c r="B60" s="313">
        <f t="shared" si="9"/>
        <v>1072.7701499999998</v>
      </c>
      <c r="C60" s="313">
        <f t="shared" si="9"/>
        <v>1625.7671449999998</v>
      </c>
      <c r="D60" s="313">
        <f t="shared" si="9"/>
        <v>2344.0701250000002</v>
      </c>
      <c r="E60" s="313">
        <f t="shared" si="9"/>
        <v>2095.9933650000007</v>
      </c>
      <c r="F60" s="313">
        <f t="shared" si="9"/>
        <v>2204.613745000001</v>
      </c>
      <c r="G60" s="313">
        <f t="shared" si="9"/>
        <v>1702.8160600000001</v>
      </c>
      <c r="H60" s="313">
        <f t="shared" si="9"/>
        <v>1372.9209349999996</v>
      </c>
    </row>
    <row r="61" spans="1:9">
      <c r="A61" s="115" t="s">
        <v>476</v>
      </c>
      <c r="B61" s="313">
        <f t="shared" si="9"/>
        <v>277.37200000000007</v>
      </c>
      <c r="C61" s="313">
        <f t="shared" si="9"/>
        <v>324.9855</v>
      </c>
      <c r="D61" s="313">
        <f t="shared" si="9"/>
        <v>386.49554999999998</v>
      </c>
      <c r="E61" s="313">
        <f t="shared" si="9"/>
        <v>365.3023</v>
      </c>
      <c r="F61" s="313">
        <f t="shared" si="9"/>
        <v>402.21530000000007</v>
      </c>
      <c r="G61" s="313">
        <f t="shared" si="9"/>
        <v>341.38005000000004</v>
      </c>
      <c r="H61" s="313">
        <f t="shared" si="9"/>
        <v>317.90580000000006</v>
      </c>
    </row>
    <row r="62" spans="1:9">
      <c r="A62" s="115" t="str">
        <f>A46</f>
        <v>Sociale Zaken en Werkgelegenheid</v>
      </c>
      <c r="B62" s="313">
        <f t="shared" si="9"/>
        <v>16.49486722</v>
      </c>
      <c r="C62" s="313">
        <f t="shared" si="9"/>
        <v>17.053999999999998</v>
      </c>
      <c r="D62" s="313">
        <f t="shared" si="9"/>
        <v>17.635000000000002</v>
      </c>
      <c r="E62" s="313">
        <f t="shared" si="9"/>
        <v>15.523</v>
      </c>
      <c r="F62" s="313">
        <f t="shared" si="9"/>
        <v>14.426299999999999</v>
      </c>
      <c r="G62" s="313">
        <f t="shared" si="9"/>
        <v>20.577999999999999</v>
      </c>
      <c r="H62" s="313">
        <f t="shared" si="9"/>
        <v>23.103999999999999</v>
      </c>
    </row>
    <row r="63" spans="1:9">
      <c r="A63" s="115" t="str">
        <f>A47</f>
        <v>Volksgezondheid, Welzijn en Sport</v>
      </c>
      <c r="B63" s="313">
        <f t="shared" si="9"/>
        <v>516.18999999999994</v>
      </c>
      <c r="C63" s="313">
        <f t="shared" si="9"/>
        <v>488.24038139798739</v>
      </c>
      <c r="D63" s="313">
        <f t="shared" si="9"/>
        <v>469.55516918511444</v>
      </c>
      <c r="E63" s="313">
        <f t="shared" si="9"/>
        <v>431.30216918511439</v>
      </c>
      <c r="F63" s="313">
        <f t="shared" si="9"/>
        <v>351.31016918511438</v>
      </c>
      <c r="G63" s="313">
        <f t="shared" si="9"/>
        <v>339.79716918511434</v>
      </c>
      <c r="H63" s="313">
        <f t="shared" si="9"/>
        <v>322.02416918511437</v>
      </c>
    </row>
    <row r="64" spans="1:9">
      <c r="A64" s="115" t="s">
        <v>591</v>
      </c>
      <c r="B64" s="313">
        <f t="shared" si="9"/>
        <v>0</v>
      </c>
      <c r="C64" s="313">
        <f t="shared" si="9"/>
        <v>0</v>
      </c>
      <c r="D64" s="422">
        <f t="shared" si="9"/>
        <v>759.48599999999999</v>
      </c>
      <c r="E64" s="422">
        <f t="shared" si="9"/>
        <v>1441.31</v>
      </c>
      <c r="F64" s="422">
        <f t="shared" si="9"/>
        <v>1310.8020000000001</v>
      </c>
      <c r="G64" s="422">
        <f t="shared" si="9"/>
        <v>1379.646</v>
      </c>
      <c r="H64" s="422">
        <f t="shared" si="9"/>
        <v>1281.1949999999999</v>
      </c>
    </row>
    <row r="65" spans="1:8" s="324" customFormat="1">
      <c r="A65" s="324" t="s">
        <v>127</v>
      </c>
      <c r="B65" s="328">
        <f>SUM(B53:B64)</f>
        <v>7294.3305461142872</v>
      </c>
      <c r="C65" s="328">
        <f t="shared" ref="C65:H65" si="10">SUM(C53:C64)</f>
        <v>8438.2930575262872</v>
      </c>
      <c r="D65" s="423">
        <f t="shared" si="10"/>
        <v>10347.962434186322</v>
      </c>
      <c r="E65" s="423">
        <f t="shared" si="10"/>
        <v>10639.318882811678</v>
      </c>
      <c r="F65" s="423">
        <f t="shared" si="10"/>
        <v>10547.959754427779</v>
      </c>
      <c r="G65" s="423">
        <f t="shared" si="10"/>
        <v>10051.88196953399</v>
      </c>
      <c r="H65" s="423">
        <f t="shared" si="10"/>
        <v>9548.8600058237425</v>
      </c>
    </row>
    <row r="66" spans="1:8">
      <c r="B66" s="313"/>
      <c r="C66" s="313"/>
      <c r="D66" s="313"/>
      <c r="E66" s="313"/>
      <c r="F66" s="313"/>
      <c r="G66" s="313"/>
      <c r="H66" s="313"/>
    </row>
    <row r="67" spans="1:8">
      <c r="B67" s="259"/>
      <c r="C67" s="259"/>
      <c r="D67" s="259"/>
      <c r="E67" s="259"/>
      <c r="F67" s="259"/>
      <c r="G67" s="259"/>
      <c r="H67" s="259"/>
    </row>
  </sheetData>
  <sortState ref="K4:R15">
    <sortCondition descending="1" ref="L4:L15"/>
  </sortState>
  <pageMargins left="0.70866141732283472" right="0.70866141732283472" top="0.74803149606299213" bottom="0.74803149606299213" header="0.31496062992125984" footer="0.31496062992125984"/>
  <pageSetup paperSize="9" scale="93" orientation="portrait" horizontalDpi="300" verticalDpi="300" r:id="rId1"/>
  <headerFooter>
    <oddFooter>&amp;L&amp;Z&amp;F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zoomScaleNormal="100" zoomScaleSheetLayoutView="100" workbookViewId="0"/>
  </sheetViews>
  <sheetFormatPr defaultColWidth="9.21875" defaultRowHeight="14.4"/>
  <cols>
    <col min="1" max="1" width="46" style="40" customWidth="1"/>
    <col min="2" max="8" width="13.5546875" style="34" customWidth="1"/>
    <col min="9" max="9" width="12.5546875" style="34" customWidth="1"/>
    <col min="10" max="10" width="15.21875" style="34" customWidth="1"/>
    <col min="11" max="16384" width="9.21875" style="34"/>
  </cols>
  <sheetData>
    <row r="1" spans="1:18" ht="18">
      <c r="A1" s="70" t="s">
        <v>193</v>
      </c>
      <c r="I1" s="126"/>
    </row>
    <row r="2" spans="1:18" ht="15" customHeight="1">
      <c r="B2" s="260"/>
      <c r="C2" s="260"/>
      <c r="D2" s="260"/>
      <c r="E2" s="260"/>
      <c r="F2" s="260"/>
      <c r="G2" s="260"/>
      <c r="H2" s="260"/>
      <c r="I2" s="201"/>
    </row>
    <row r="4" spans="1:18" s="35" customFormat="1" ht="15.75" customHeight="1">
      <c r="A4" s="85" t="s">
        <v>402</v>
      </c>
      <c r="B4" s="202">
        <f>Innovatie!C3</f>
        <v>2021</v>
      </c>
      <c r="C4" s="202">
        <f>Innovatie!D3</f>
        <v>2022</v>
      </c>
      <c r="D4" s="202">
        <f>Innovatie!E3</f>
        <v>2023</v>
      </c>
      <c r="E4" s="202">
        <f>Innovatie!F3</f>
        <v>2024</v>
      </c>
      <c r="F4" s="202">
        <f>Innovatie!G3</f>
        <v>2025</v>
      </c>
      <c r="G4" s="202">
        <f>Innovatie!H3</f>
        <v>2026</v>
      </c>
      <c r="H4" s="202">
        <f>Innovatie!I3</f>
        <v>2027</v>
      </c>
      <c r="I4" s="203" t="s">
        <v>336</v>
      </c>
    </row>
    <row r="5" spans="1:18" s="152" customFormat="1" ht="28.8">
      <c r="A5" s="179" t="s">
        <v>389</v>
      </c>
      <c r="B5" s="180">
        <v>1411</v>
      </c>
      <c r="C5" s="180">
        <v>1336</v>
      </c>
      <c r="D5" s="180">
        <v>1370</v>
      </c>
      <c r="E5" s="180">
        <v>1281</v>
      </c>
      <c r="F5" s="180">
        <v>1281</v>
      </c>
      <c r="G5" s="180">
        <v>1281</v>
      </c>
      <c r="H5" s="180">
        <v>1281</v>
      </c>
      <c r="I5" s="181">
        <v>100</v>
      </c>
      <c r="J5" s="151"/>
      <c r="K5" s="151"/>
      <c r="L5" s="182"/>
      <c r="M5" s="182"/>
      <c r="N5" s="182"/>
      <c r="O5" s="182"/>
      <c r="P5" s="182"/>
      <c r="Q5" s="182"/>
      <c r="R5" s="182"/>
    </row>
    <row r="6" spans="1:18" s="152" customFormat="1">
      <c r="A6" s="179" t="s">
        <v>592</v>
      </c>
      <c r="B6" s="180">
        <v>5</v>
      </c>
      <c r="C6" s="180">
        <v>5</v>
      </c>
      <c r="D6" s="180">
        <v>5</v>
      </c>
      <c r="E6" s="180">
        <v>5</v>
      </c>
      <c r="F6" s="180">
        <v>5</v>
      </c>
      <c r="G6" s="180">
        <v>5</v>
      </c>
      <c r="H6" s="180">
        <v>5</v>
      </c>
      <c r="I6" s="181">
        <v>100</v>
      </c>
      <c r="J6" s="151"/>
      <c r="K6" s="151"/>
      <c r="L6" s="182"/>
      <c r="M6" s="182"/>
      <c r="N6" s="182"/>
      <c r="O6" s="182"/>
      <c r="P6" s="182"/>
      <c r="Q6" s="182"/>
      <c r="R6" s="182"/>
    </row>
    <row r="7" spans="1:18" s="321" customFormat="1">
      <c r="A7" s="317" t="s">
        <v>335</v>
      </c>
      <c r="B7" s="322">
        <f>B5+B6</f>
        <v>1416</v>
      </c>
      <c r="C7" s="322">
        <f t="shared" ref="C7:H7" si="0">C5+C6</f>
        <v>1341</v>
      </c>
      <c r="D7" s="322">
        <f t="shared" si="0"/>
        <v>1375</v>
      </c>
      <c r="E7" s="322">
        <f t="shared" si="0"/>
        <v>1286</v>
      </c>
      <c r="F7" s="322">
        <f t="shared" si="0"/>
        <v>1286</v>
      </c>
      <c r="G7" s="322">
        <f t="shared" si="0"/>
        <v>1286</v>
      </c>
      <c r="H7" s="322">
        <f t="shared" si="0"/>
        <v>1286</v>
      </c>
      <c r="I7" s="319"/>
      <c r="J7" s="320"/>
    </row>
    <row r="8" spans="1:18" s="152" customFormat="1">
      <c r="A8" s="179"/>
      <c r="B8" s="180"/>
      <c r="C8" s="180"/>
      <c r="D8" s="180"/>
      <c r="E8" s="180"/>
      <c r="F8" s="180"/>
      <c r="G8" s="180"/>
      <c r="H8" s="180"/>
      <c r="I8" s="181"/>
      <c r="J8" s="151"/>
      <c r="K8" s="151"/>
      <c r="L8" s="182"/>
      <c r="M8" s="182"/>
      <c r="N8" s="182"/>
      <c r="O8" s="182"/>
      <c r="P8" s="182"/>
      <c r="Q8" s="182"/>
      <c r="R8" s="182"/>
    </row>
    <row r="9" spans="1:18" s="152" customFormat="1">
      <c r="A9" s="197" t="s">
        <v>550</v>
      </c>
      <c r="B9" s="180"/>
      <c r="C9" s="180"/>
      <c r="D9" s="180"/>
      <c r="E9" s="180"/>
      <c r="F9" s="180"/>
      <c r="G9" s="180"/>
      <c r="H9" s="180"/>
      <c r="I9" s="181"/>
      <c r="J9" s="151"/>
      <c r="K9" s="151"/>
      <c r="L9" s="182"/>
      <c r="M9" s="182"/>
      <c r="N9" s="182"/>
      <c r="O9" s="182"/>
      <c r="P9" s="182"/>
      <c r="Q9" s="182"/>
      <c r="R9" s="182"/>
    </row>
    <row r="10" spans="1:18" ht="14.25" customHeight="1">
      <c r="A10" s="85" t="s">
        <v>402</v>
      </c>
      <c r="B10" s="202">
        <f t="shared" ref="B10:H10" si="1">B4</f>
        <v>2021</v>
      </c>
      <c r="C10" s="202">
        <f t="shared" si="1"/>
        <v>2022</v>
      </c>
      <c r="D10" s="202">
        <f t="shared" si="1"/>
        <v>2023</v>
      </c>
      <c r="E10" s="202">
        <f t="shared" si="1"/>
        <v>2024</v>
      </c>
      <c r="F10" s="202">
        <f t="shared" si="1"/>
        <v>2025</v>
      </c>
      <c r="G10" s="202">
        <f t="shared" si="1"/>
        <v>2026</v>
      </c>
      <c r="H10" s="202">
        <f t="shared" si="1"/>
        <v>2027</v>
      </c>
      <c r="I10" s="203" t="s">
        <v>470</v>
      </c>
      <c r="J10" s="35"/>
      <c r="K10" s="35"/>
      <c r="L10" s="114"/>
      <c r="M10" s="114"/>
      <c r="N10" s="114"/>
      <c r="O10" s="114"/>
      <c r="P10" s="114"/>
      <c r="Q10" s="114"/>
      <c r="R10" s="114"/>
    </row>
    <row r="11" spans="1:18" s="152" customFormat="1" ht="15" customHeight="1">
      <c r="A11" s="179" t="s">
        <v>666</v>
      </c>
      <c r="B11" s="180">
        <v>149</v>
      </c>
      <c r="C11" s="180">
        <v>139</v>
      </c>
      <c r="D11" s="180">
        <v>139</v>
      </c>
      <c r="E11" s="180">
        <v>139</v>
      </c>
      <c r="F11" s="180">
        <v>139</v>
      </c>
      <c r="G11" s="180">
        <v>139</v>
      </c>
      <c r="H11" s="180">
        <v>139</v>
      </c>
      <c r="I11" s="198">
        <v>100</v>
      </c>
      <c r="J11" s="151"/>
      <c r="K11" s="151"/>
    </row>
    <row r="12" spans="1:18" s="152" customFormat="1" ht="15" customHeight="1">
      <c r="A12" s="179" t="s">
        <v>667</v>
      </c>
      <c r="B12" s="180">
        <v>0</v>
      </c>
      <c r="C12" s="180">
        <v>0</v>
      </c>
      <c r="D12" s="180">
        <v>30</v>
      </c>
      <c r="E12" s="180">
        <v>30</v>
      </c>
      <c r="F12" s="180">
        <v>30</v>
      </c>
      <c r="G12" s="180">
        <v>0</v>
      </c>
      <c r="H12" s="180">
        <v>0</v>
      </c>
      <c r="I12" s="198">
        <v>100</v>
      </c>
      <c r="J12" s="151"/>
      <c r="K12" s="151"/>
    </row>
    <row r="13" spans="1:18" s="153" customFormat="1" ht="15" customHeight="1">
      <c r="A13" s="150" t="s">
        <v>451</v>
      </c>
      <c r="B13" s="199">
        <f>SUM(B11:B12)</f>
        <v>149</v>
      </c>
      <c r="C13" s="199">
        <f t="shared" ref="C13:H13" si="2">SUM(C11:C12)</f>
        <v>139</v>
      </c>
      <c r="D13" s="199">
        <f t="shared" si="2"/>
        <v>169</v>
      </c>
      <c r="E13" s="199">
        <f t="shared" si="2"/>
        <v>169</v>
      </c>
      <c r="F13" s="199">
        <f t="shared" si="2"/>
        <v>169</v>
      </c>
      <c r="G13" s="199">
        <f t="shared" si="2"/>
        <v>139</v>
      </c>
      <c r="H13" s="199">
        <f t="shared" si="2"/>
        <v>139</v>
      </c>
      <c r="I13" s="200">
        <v>100</v>
      </c>
    </row>
    <row r="14" spans="1:18" ht="15" customHeight="1">
      <c r="B14" s="138"/>
      <c r="C14" s="138"/>
      <c r="D14" s="138"/>
      <c r="E14" s="138"/>
      <c r="F14" s="138"/>
      <c r="G14" s="138"/>
      <c r="H14" s="138"/>
      <c r="I14" s="122"/>
      <c r="J14" s="35"/>
      <c r="K14" s="35"/>
    </row>
    <row r="15" spans="1:18" s="35" customFormat="1">
      <c r="A15" s="41" t="s">
        <v>413</v>
      </c>
      <c r="B15" s="140">
        <f>SUM(B7,B13)</f>
        <v>1565</v>
      </c>
      <c r="C15" s="140">
        <f t="shared" ref="C15:H15" si="3">SUM(C7,C13)</f>
        <v>1480</v>
      </c>
      <c r="D15" s="140">
        <f t="shared" si="3"/>
        <v>1544</v>
      </c>
      <c r="E15" s="140">
        <f t="shared" si="3"/>
        <v>1455</v>
      </c>
      <c r="F15" s="140">
        <f t="shared" si="3"/>
        <v>1455</v>
      </c>
      <c r="G15" s="140">
        <f t="shared" si="3"/>
        <v>1425</v>
      </c>
      <c r="H15" s="140">
        <f t="shared" si="3"/>
        <v>1425</v>
      </c>
    </row>
    <row r="16" spans="1:18" s="321" customFormat="1">
      <c r="A16" s="317"/>
      <c r="B16" s="318"/>
      <c r="C16" s="318"/>
      <c r="D16" s="318"/>
      <c r="E16" s="318"/>
      <c r="F16" s="318"/>
      <c r="G16" s="318"/>
      <c r="H16" s="318"/>
      <c r="I16" s="319"/>
      <c r="J16" s="320"/>
    </row>
    <row r="17" spans="1:14" s="321" customFormat="1">
      <c r="A17" s="317"/>
      <c r="B17" s="318"/>
      <c r="C17" s="318"/>
      <c r="D17" s="318"/>
      <c r="E17" s="318"/>
      <c r="F17" s="318"/>
      <c r="G17" s="318"/>
      <c r="H17" s="339"/>
      <c r="I17" s="319"/>
      <c r="J17" s="320"/>
    </row>
    <row r="18" spans="1:14" s="321" customFormat="1">
      <c r="A18" s="317"/>
      <c r="B18" s="318"/>
      <c r="C18" s="318"/>
      <c r="D18" s="318"/>
      <c r="E18" s="318"/>
      <c r="F18" s="318"/>
      <c r="G18" s="318"/>
      <c r="H18" s="318"/>
      <c r="I18" s="319"/>
      <c r="J18" s="320"/>
    </row>
    <row r="19" spans="1:14" s="35" customFormat="1">
      <c r="A19" s="41" t="s">
        <v>467</v>
      </c>
      <c r="B19" s="140"/>
      <c r="C19" s="140"/>
      <c r="D19" s="140"/>
      <c r="E19" s="140"/>
      <c r="F19" s="140"/>
      <c r="G19" s="140"/>
      <c r="H19" s="140"/>
    </row>
    <row r="20" spans="1:14" s="35" customFormat="1">
      <c r="A20" s="132" t="s">
        <v>563</v>
      </c>
      <c r="B20" s="67"/>
      <c r="C20" s="67"/>
      <c r="D20" s="377" t="s">
        <v>839</v>
      </c>
      <c r="E20" s="67"/>
      <c r="F20" s="67"/>
      <c r="G20" s="67"/>
      <c r="H20" s="331"/>
      <c r="I20" s="332"/>
      <c r="J20" s="332"/>
      <c r="K20" s="332"/>
      <c r="L20" s="332"/>
      <c r="M20" s="332"/>
      <c r="N20" s="332"/>
    </row>
    <row r="21" spans="1:14">
      <c r="A21" s="42" t="s">
        <v>466</v>
      </c>
      <c r="D21" s="132" t="s">
        <v>840</v>
      </c>
      <c r="H21" s="333"/>
      <c r="I21" s="333"/>
      <c r="J21" s="333"/>
      <c r="K21" s="333"/>
      <c r="L21" s="333"/>
      <c r="M21" s="333"/>
      <c r="N21" s="334"/>
    </row>
    <row r="22" spans="1:14">
      <c r="A22" s="42"/>
      <c r="H22" s="334"/>
      <c r="I22" s="334"/>
      <c r="J22" s="334"/>
      <c r="K22" s="334"/>
      <c r="L22" s="334"/>
      <c r="M22" s="334"/>
      <c r="N22" s="334"/>
    </row>
    <row r="23" spans="1:14">
      <c r="A23" s="64" t="s">
        <v>468</v>
      </c>
      <c r="H23" s="43"/>
      <c r="I23" s="43"/>
      <c r="J23" s="43"/>
      <c r="K23" s="43"/>
      <c r="L23" s="43"/>
      <c r="M23" s="43"/>
      <c r="N23" s="43"/>
    </row>
    <row r="24" spans="1:14">
      <c r="A24" s="42" t="s">
        <v>272</v>
      </c>
    </row>
    <row r="25" spans="1:14">
      <c r="A25" s="42" t="s">
        <v>541</v>
      </c>
    </row>
    <row r="26" spans="1:14">
      <c r="A26" s="42" t="s">
        <v>542</v>
      </c>
    </row>
    <row r="27" spans="1:14">
      <c r="A27" s="42" t="s">
        <v>665</v>
      </c>
    </row>
    <row r="28" spans="1:14">
      <c r="A28" s="106"/>
      <c r="G28" s="40"/>
    </row>
    <row r="29" spans="1:14">
      <c r="A29" s="166" t="s">
        <v>469</v>
      </c>
      <c r="G29" s="40"/>
    </row>
    <row r="30" spans="1:14">
      <c r="A30" s="40" t="s">
        <v>125</v>
      </c>
      <c r="B30" s="34" t="s">
        <v>196</v>
      </c>
    </row>
    <row r="31" spans="1:14">
      <c r="A31" s="40" t="s">
        <v>126</v>
      </c>
      <c r="B31" s="34" t="s">
        <v>197</v>
      </c>
    </row>
    <row r="32" spans="1:14">
      <c r="A32" s="40" t="s">
        <v>194</v>
      </c>
      <c r="B32" s="34" t="s">
        <v>199</v>
      </c>
    </row>
    <row r="33" spans="1:7">
      <c r="A33" s="40" t="s">
        <v>195</v>
      </c>
      <c r="B33" s="34" t="s">
        <v>198</v>
      </c>
    </row>
    <row r="35" spans="1:7">
      <c r="A35" s="213" t="s">
        <v>414</v>
      </c>
    </row>
    <row r="36" spans="1:7">
      <c r="A36" s="213" t="s">
        <v>390</v>
      </c>
    </row>
    <row r="37" spans="1:7">
      <c r="A37" s="213" t="s">
        <v>391</v>
      </c>
    </row>
    <row r="38" spans="1:7">
      <c r="A38" s="213" t="s">
        <v>419</v>
      </c>
    </row>
    <row r="39" spans="1:7">
      <c r="A39" s="213" t="s">
        <v>415</v>
      </c>
    </row>
    <row r="40" spans="1:7">
      <c r="A40" s="213" t="s">
        <v>416</v>
      </c>
    </row>
    <row r="41" spans="1:7" s="101" customFormat="1">
      <c r="A41" s="170" t="s">
        <v>417</v>
      </c>
    </row>
    <row r="42" spans="1:7" s="101" customFormat="1">
      <c r="A42" s="170" t="s">
        <v>418</v>
      </c>
    </row>
    <row r="43" spans="1:7" s="101" customFormat="1">
      <c r="A43" s="170" t="s">
        <v>450</v>
      </c>
    </row>
    <row r="44" spans="1:7" s="101" customFormat="1">
      <c r="A44" s="214" t="s">
        <v>669</v>
      </c>
      <c r="B44" s="215"/>
      <c r="C44" s="215"/>
      <c r="D44" s="215"/>
      <c r="E44" s="215"/>
      <c r="F44" s="215"/>
      <c r="G44" s="215"/>
    </row>
    <row r="45" spans="1:7" s="101" customFormat="1">
      <c r="A45" s="214" t="s">
        <v>670</v>
      </c>
      <c r="B45" s="215"/>
      <c r="C45" s="215"/>
      <c r="D45" s="215"/>
      <c r="E45" s="215"/>
      <c r="F45" s="215"/>
      <c r="G45" s="215"/>
    </row>
    <row r="46" spans="1:7" s="101" customFormat="1">
      <c r="A46" s="215"/>
    </row>
    <row r="47" spans="1:7">
      <c r="A47" s="216" t="s">
        <v>456</v>
      </c>
    </row>
    <row r="48" spans="1:7">
      <c r="A48" s="216" t="s">
        <v>457</v>
      </c>
    </row>
    <row r="49" spans="1:17">
      <c r="A49" s="216" t="s">
        <v>458</v>
      </c>
    </row>
    <row r="50" spans="1:17">
      <c r="A50" s="216" t="s">
        <v>459</v>
      </c>
    </row>
    <row r="51" spans="1:17">
      <c r="A51" s="216" t="s">
        <v>460</v>
      </c>
    </row>
    <row r="52" spans="1:17">
      <c r="A52" s="216" t="s">
        <v>461</v>
      </c>
    </row>
    <row r="53" spans="1:17">
      <c r="A53" s="216" t="s">
        <v>462</v>
      </c>
    </row>
    <row r="54" spans="1:17">
      <c r="A54" s="216" t="s">
        <v>463</v>
      </c>
    </row>
    <row r="55" spans="1:17">
      <c r="A55" s="216" t="s">
        <v>464</v>
      </c>
    </row>
    <row r="56" spans="1:17">
      <c r="A56" s="217" t="s">
        <v>465</v>
      </c>
    </row>
    <row r="57" spans="1:17">
      <c r="A57" s="217"/>
    </row>
    <row r="58" spans="1:17">
      <c r="A58" s="218" t="s">
        <v>668</v>
      </c>
      <c r="B58" s="101"/>
      <c r="C58" s="101"/>
      <c r="D58" s="101"/>
    </row>
    <row r="59" spans="1:17">
      <c r="A59" s="219" t="s">
        <v>564</v>
      </c>
    </row>
    <row r="60" spans="1:17">
      <c r="A60" t="s">
        <v>543</v>
      </c>
      <c r="B60"/>
      <c r="C60"/>
      <c r="D60"/>
      <c r="E60"/>
      <c r="F60"/>
      <c r="G60"/>
      <c r="H60"/>
      <c r="I60"/>
      <c r="J60"/>
      <c r="K60"/>
      <c r="L60"/>
      <c r="M60"/>
      <c r="P60" t="s">
        <v>544</v>
      </c>
      <c r="Q60" t="s">
        <v>545</v>
      </c>
    </row>
    <row r="61" spans="1:17">
      <c r="A61" s="190" t="s">
        <v>546</v>
      </c>
      <c r="B61" s="190">
        <v>2007</v>
      </c>
      <c r="C61" s="190">
        <v>2008</v>
      </c>
      <c r="D61" s="190">
        <v>2009</v>
      </c>
      <c r="E61" s="190">
        <v>2010</v>
      </c>
      <c r="F61" s="190">
        <v>2011</v>
      </c>
      <c r="G61" s="190">
        <v>2012</v>
      </c>
      <c r="H61" s="190">
        <v>2013</v>
      </c>
      <c r="I61" s="190">
        <v>2014</v>
      </c>
      <c r="J61" s="190">
        <v>2015</v>
      </c>
      <c r="K61" s="190">
        <v>2016</v>
      </c>
      <c r="L61" s="190">
        <v>2017</v>
      </c>
      <c r="M61" s="190">
        <v>2018</v>
      </c>
      <c r="N61" s="190">
        <v>2019</v>
      </c>
      <c r="O61" s="190">
        <v>2020</v>
      </c>
      <c r="P61" s="190">
        <v>2021</v>
      </c>
      <c r="Q61" s="190">
        <v>2022</v>
      </c>
    </row>
    <row r="62" spans="1:17">
      <c r="A62" s="191" t="s">
        <v>547</v>
      </c>
      <c r="B62" s="192" t="s">
        <v>548</v>
      </c>
      <c r="C62" s="192">
        <v>52</v>
      </c>
      <c r="D62" s="192">
        <v>91</v>
      </c>
      <c r="E62" s="192">
        <v>361</v>
      </c>
      <c r="F62" s="192">
        <v>605</v>
      </c>
      <c r="G62" s="192">
        <v>697</v>
      </c>
      <c r="H62" s="192">
        <v>883</v>
      </c>
      <c r="I62" s="192">
        <v>1081</v>
      </c>
      <c r="J62" s="192">
        <v>1264</v>
      </c>
      <c r="K62" s="192">
        <v>1368</v>
      </c>
      <c r="L62" s="192">
        <v>1581</v>
      </c>
      <c r="M62" s="192">
        <v>1646</v>
      </c>
      <c r="N62" s="192">
        <v>1597</v>
      </c>
      <c r="O62" s="192">
        <v>1636</v>
      </c>
      <c r="P62" s="192">
        <v>1410</v>
      </c>
      <c r="Q62" s="192">
        <v>1433</v>
      </c>
    </row>
    <row r="63" spans="1:17">
      <c r="A63" s="193" t="s">
        <v>549</v>
      </c>
      <c r="B63" s="194"/>
      <c r="C63" s="41"/>
      <c r="D63" s="195"/>
      <c r="E63" s="196"/>
      <c r="F63" s="195"/>
      <c r="G63"/>
      <c r="H63"/>
      <c r="I63"/>
      <c r="J63"/>
      <c r="K63"/>
      <c r="L63"/>
      <c r="M63"/>
      <c r="N63"/>
    </row>
  </sheetData>
  <hyperlinks>
    <hyperlink ref="A58" r:id="rId1"/>
    <hyperlink ref="A59" r:id="rId2"/>
    <hyperlink ref="D20" r:id="rId3"/>
  </hyperlinks>
  <pageMargins left="0.70866141732283472" right="0.70866141732283472" top="0.74803149606299213" bottom="0.74803149606299213" header="0.31496062992125984" footer="0.31496062992125984"/>
  <pageSetup paperSize="9" scale="85" orientation="landscape" r:id="rId4"/>
  <headerFooter>
    <oddFooter>&amp;L&amp;Z&amp;F</oddFooter>
  </headerFooter>
  <rowBreaks count="1" manualBreakCount="1">
    <brk id="34"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D39"/>
  <sheetViews>
    <sheetView zoomScaleNormal="100" workbookViewId="0">
      <selection activeCell="F19" sqref="F19"/>
    </sheetView>
  </sheetViews>
  <sheetFormatPr defaultColWidth="9.21875" defaultRowHeight="15" customHeight="1"/>
  <cols>
    <col min="1" max="1" width="4.77734375" style="101" customWidth="1"/>
    <col min="2" max="2" width="100.5546875" style="101" customWidth="1"/>
    <col min="3" max="9" width="11.77734375" style="101" customWidth="1"/>
    <col min="10" max="10" width="9.21875" style="101"/>
    <col min="11" max="11" width="10" style="101" bestFit="1" customWidth="1"/>
    <col min="12" max="12" width="10.77734375" style="101" customWidth="1"/>
    <col min="13" max="16384" width="9.21875" style="101"/>
  </cols>
  <sheetData>
    <row r="1" spans="1:30" ht="15" customHeight="1">
      <c r="A1" s="64" t="s">
        <v>244</v>
      </c>
      <c r="B1" s="124"/>
      <c r="C1" s="132"/>
      <c r="D1" s="84"/>
      <c r="E1" s="84"/>
      <c r="F1" s="84"/>
      <c r="G1" s="84"/>
      <c r="H1" s="84"/>
      <c r="I1" s="84"/>
    </row>
    <row r="2" spans="1:30" ht="15" customHeight="1">
      <c r="A2" s="126"/>
      <c r="B2" s="124"/>
      <c r="C2" s="84"/>
      <c r="D2" s="84"/>
      <c r="E2" s="84"/>
      <c r="F2" s="84"/>
      <c r="G2" s="84"/>
      <c r="H2" s="84"/>
      <c r="I2" s="84"/>
    </row>
    <row r="3" spans="1:30" ht="15" customHeight="1">
      <c r="A3" s="127"/>
      <c r="B3" s="290"/>
      <c r="C3" s="151">
        <v>2021</v>
      </c>
      <c r="D3" s="151">
        <v>2022</v>
      </c>
      <c r="E3" s="151">
        <v>2023</v>
      </c>
      <c r="F3" s="151">
        <v>2024</v>
      </c>
      <c r="G3" s="151">
        <v>2025</v>
      </c>
      <c r="H3" s="151">
        <v>2026</v>
      </c>
      <c r="I3" s="151">
        <v>2027</v>
      </c>
      <c r="J3" s="215"/>
      <c r="K3" s="91"/>
      <c r="L3"/>
      <c r="M3"/>
      <c r="N3"/>
      <c r="O3"/>
      <c r="P3"/>
      <c r="Q3"/>
      <c r="R3"/>
      <c r="S3"/>
      <c r="T3"/>
      <c r="U3"/>
      <c r="V3"/>
      <c r="W3"/>
      <c r="X3" s="188"/>
      <c r="Y3" s="188"/>
      <c r="Z3"/>
    </row>
    <row r="4" spans="1:30" ht="15" customHeight="1">
      <c r="A4" s="84">
        <v>1</v>
      </c>
      <c r="B4" s="291" t="s">
        <v>95</v>
      </c>
      <c r="C4" s="292">
        <v>57.531681535671105</v>
      </c>
      <c r="D4" s="292">
        <v>82.538549737932016</v>
      </c>
      <c r="E4" s="292">
        <v>94.101790642890123</v>
      </c>
      <c r="F4" s="292">
        <v>106.69891191539287</v>
      </c>
      <c r="G4" s="292">
        <v>101.39970484468047</v>
      </c>
      <c r="H4" s="292">
        <v>101.3859039021</v>
      </c>
      <c r="I4" s="292">
        <v>97.763963668218935</v>
      </c>
      <c r="J4" s="215"/>
      <c r="K4" s="139"/>
      <c r="L4" s="186"/>
      <c r="M4" s="186"/>
      <c r="N4" s="187"/>
      <c r="O4" s="187"/>
      <c r="P4" s="187"/>
      <c r="Q4" s="187"/>
      <c r="R4" s="187"/>
      <c r="S4" s="187"/>
      <c r="T4" s="187"/>
      <c r="U4" s="129"/>
      <c r="V4" s="129"/>
      <c r="W4" s="129"/>
      <c r="X4" s="189"/>
      <c r="Y4" s="189"/>
      <c r="Z4" s="189"/>
      <c r="AA4" s="189"/>
      <c r="AB4" s="189"/>
      <c r="AC4" s="189"/>
      <c r="AD4" s="189"/>
    </row>
    <row r="5" spans="1:30" ht="15" customHeight="1">
      <c r="A5" s="84">
        <v>2</v>
      </c>
      <c r="B5" s="291" t="s">
        <v>106</v>
      </c>
      <c r="C5" s="292">
        <v>46.038750428934563</v>
      </c>
      <c r="D5" s="292">
        <v>47.265622589141699</v>
      </c>
      <c r="E5" s="292">
        <v>81.146760722137302</v>
      </c>
      <c r="F5" s="292">
        <v>81.138788047114417</v>
      </c>
      <c r="G5" s="292">
        <v>72.229879280781688</v>
      </c>
      <c r="H5" s="292">
        <v>68.205340583125277</v>
      </c>
      <c r="I5" s="292">
        <v>59.981186733024821</v>
      </c>
      <c r="J5" s="215"/>
      <c r="K5" s="139"/>
      <c r="L5" s="186"/>
      <c r="M5" s="186"/>
      <c r="N5" s="187"/>
      <c r="O5" s="187"/>
      <c r="P5" s="187"/>
      <c r="Q5" s="187"/>
      <c r="R5" s="187"/>
      <c r="S5" s="187"/>
      <c r="T5" s="187"/>
      <c r="U5" s="129"/>
      <c r="V5" s="129"/>
      <c r="W5" s="129"/>
      <c r="X5" s="189"/>
      <c r="Y5" s="189"/>
      <c r="Z5" s="189"/>
      <c r="AA5" s="189"/>
      <c r="AB5" s="189"/>
      <c r="AC5" s="189"/>
      <c r="AD5" s="189"/>
    </row>
    <row r="6" spans="1:30" ht="15" customHeight="1">
      <c r="A6" s="84">
        <v>3</v>
      </c>
      <c r="B6" s="213" t="s">
        <v>81</v>
      </c>
      <c r="C6" s="292">
        <v>146.41924450483393</v>
      </c>
      <c r="D6" s="292">
        <v>150.16357010118671</v>
      </c>
      <c r="E6" s="292">
        <v>172.55043017997332</v>
      </c>
      <c r="F6" s="292">
        <v>197.64094879189497</v>
      </c>
      <c r="G6" s="292">
        <v>188.85268659225113</v>
      </c>
      <c r="H6" s="292">
        <v>191.70412062643476</v>
      </c>
      <c r="I6" s="292">
        <v>184.86203204864006</v>
      </c>
      <c r="J6" s="215"/>
      <c r="K6" s="139"/>
      <c r="L6" s="186"/>
      <c r="M6" s="186"/>
      <c r="N6" s="187"/>
      <c r="O6" s="187"/>
      <c r="P6" s="187"/>
      <c r="Q6" s="187"/>
      <c r="R6" s="187"/>
      <c r="S6" s="187"/>
      <c r="T6" s="187"/>
      <c r="U6" s="129"/>
      <c r="V6" s="129"/>
      <c r="W6" s="129"/>
      <c r="X6" s="189"/>
      <c r="Y6" s="189"/>
      <c r="Z6" s="189"/>
      <c r="AA6" s="189"/>
      <c r="AB6" s="189"/>
      <c r="AC6" s="189"/>
      <c r="AD6" s="189"/>
    </row>
    <row r="7" spans="1:30" ht="15" customHeight="1">
      <c r="A7" s="84">
        <v>4</v>
      </c>
      <c r="B7" s="291" t="s">
        <v>278</v>
      </c>
      <c r="C7" s="292">
        <v>119.46131047101612</v>
      </c>
      <c r="D7" s="292">
        <v>149.94943367748436</v>
      </c>
      <c r="E7" s="292">
        <v>220.37688290617905</v>
      </c>
      <c r="F7" s="292">
        <v>259.50809704474301</v>
      </c>
      <c r="G7" s="292">
        <v>200.65886220653073</v>
      </c>
      <c r="H7" s="292">
        <v>180.85268562137523</v>
      </c>
      <c r="I7" s="292">
        <v>145.55559802457779</v>
      </c>
      <c r="J7" s="215"/>
      <c r="K7" s="139"/>
      <c r="L7" s="186"/>
      <c r="M7" s="186"/>
      <c r="N7" s="187"/>
      <c r="O7" s="187"/>
      <c r="P7" s="187"/>
      <c r="Q7" s="187"/>
      <c r="R7" s="187"/>
      <c r="S7" s="187"/>
      <c r="T7" s="187"/>
      <c r="U7" s="129"/>
      <c r="V7" s="129"/>
      <c r="W7" s="129"/>
      <c r="X7" s="189"/>
      <c r="Y7" s="189"/>
      <c r="Z7" s="189"/>
      <c r="AA7" s="189"/>
      <c r="AB7" s="189"/>
      <c r="AC7" s="189"/>
      <c r="AD7" s="189"/>
    </row>
    <row r="8" spans="1:30" ht="15" customHeight="1">
      <c r="A8" s="84">
        <v>5</v>
      </c>
      <c r="B8" s="291" t="s">
        <v>152</v>
      </c>
      <c r="C8" s="292">
        <v>138.22566717671089</v>
      </c>
      <c r="D8" s="292">
        <v>182.7835599095709</v>
      </c>
      <c r="E8" s="292">
        <v>368.6316162020579</v>
      </c>
      <c r="F8" s="292">
        <v>455.88121308072573</v>
      </c>
      <c r="G8" s="292">
        <v>603.73399658491576</v>
      </c>
      <c r="H8" s="292">
        <v>427.09516068123457</v>
      </c>
      <c r="I8" s="292">
        <v>230.94418172268161</v>
      </c>
      <c r="J8" s="215"/>
      <c r="K8" s="139"/>
      <c r="L8" s="186"/>
      <c r="M8" s="186"/>
      <c r="N8" s="187"/>
      <c r="O8" s="187"/>
      <c r="P8" s="187"/>
      <c r="Q8" s="187"/>
      <c r="R8" s="187"/>
      <c r="S8" s="187"/>
      <c r="T8" s="187"/>
      <c r="U8" s="129"/>
      <c r="V8" s="129"/>
      <c r="W8" s="129"/>
      <c r="X8" s="189"/>
      <c r="Y8" s="189"/>
      <c r="Z8" s="189"/>
      <c r="AA8" s="189"/>
      <c r="AB8" s="189"/>
      <c r="AC8" s="189"/>
      <c r="AD8" s="189"/>
    </row>
    <row r="9" spans="1:30" ht="15" customHeight="1">
      <c r="A9" s="84">
        <v>6</v>
      </c>
      <c r="B9" s="291" t="s">
        <v>153</v>
      </c>
      <c r="C9" s="292">
        <v>338.22915765745364</v>
      </c>
      <c r="D9" s="292">
        <v>533.8094535545622</v>
      </c>
      <c r="E9" s="292">
        <v>777.11582692463162</v>
      </c>
      <c r="F9" s="292">
        <v>796.33377889359474</v>
      </c>
      <c r="G9" s="292">
        <v>738.66153171817541</v>
      </c>
      <c r="H9" s="292">
        <v>663.7870766424769</v>
      </c>
      <c r="I9" s="292">
        <v>660.64737308971769</v>
      </c>
      <c r="J9" s="215"/>
      <c r="K9" s="139"/>
      <c r="L9" s="186"/>
      <c r="M9" s="186"/>
      <c r="N9" s="187"/>
      <c r="O9" s="187"/>
      <c r="P9" s="187"/>
      <c r="Q9" s="187"/>
      <c r="R9" s="187"/>
      <c r="S9" s="187"/>
      <c r="T9" s="187"/>
      <c r="U9" s="129"/>
      <c r="V9" s="129"/>
      <c r="W9" s="129"/>
      <c r="X9" s="189"/>
      <c r="Y9" s="189"/>
      <c r="Z9" s="189"/>
      <c r="AA9" s="189"/>
      <c r="AB9" s="189"/>
      <c r="AC9" s="189"/>
      <c r="AD9" s="189"/>
    </row>
    <row r="10" spans="1:30" ht="15" customHeight="1">
      <c r="A10" s="84">
        <v>7</v>
      </c>
      <c r="B10" s="291" t="s">
        <v>85</v>
      </c>
      <c r="C10" s="292">
        <v>535.31716649371219</v>
      </c>
      <c r="D10" s="292">
        <v>539.24534801007098</v>
      </c>
      <c r="E10" s="292">
        <v>654.12393436237028</v>
      </c>
      <c r="F10" s="292">
        <v>686.87715653063879</v>
      </c>
      <c r="G10" s="292">
        <v>516.56563423491139</v>
      </c>
      <c r="H10" s="292">
        <v>490.26701884863269</v>
      </c>
      <c r="I10" s="292">
        <v>449.61668635375224</v>
      </c>
      <c r="J10" s="215"/>
      <c r="K10" s="139"/>
      <c r="L10" s="186"/>
      <c r="M10" s="186"/>
      <c r="N10" s="187"/>
      <c r="O10" s="187"/>
      <c r="P10" s="187"/>
      <c r="Q10" s="187"/>
      <c r="R10" s="187"/>
      <c r="S10" s="187"/>
      <c r="T10" s="187"/>
      <c r="U10" s="129"/>
      <c r="V10" s="129"/>
      <c r="W10" s="129"/>
      <c r="X10" s="189"/>
      <c r="Y10" s="189"/>
      <c r="Z10" s="189"/>
      <c r="AA10" s="189"/>
      <c r="AB10" s="189"/>
      <c r="AC10" s="189"/>
      <c r="AD10" s="189"/>
    </row>
    <row r="11" spans="1:30" ht="15" customHeight="1">
      <c r="A11" s="84">
        <v>8</v>
      </c>
      <c r="B11" s="291" t="s">
        <v>188</v>
      </c>
      <c r="C11" s="292">
        <v>219.59421850916985</v>
      </c>
      <c r="D11" s="292">
        <v>243.66113436959452</v>
      </c>
      <c r="E11" s="292">
        <v>320.59747246196099</v>
      </c>
      <c r="F11" s="292">
        <v>351.71447232707072</v>
      </c>
      <c r="G11" s="292">
        <v>322.60620934323077</v>
      </c>
      <c r="H11" s="292">
        <v>320.25514853355787</v>
      </c>
      <c r="I11" s="292">
        <v>303.38512514132418</v>
      </c>
      <c r="J11" s="215"/>
      <c r="K11" s="139"/>
      <c r="L11" s="186"/>
      <c r="M11" s="186"/>
      <c r="N11" s="187"/>
      <c r="O11" s="187"/>
      <c r="P11" s="187"/>
      <c r="Q11" s="187"/>
      <c r="R11" s="187"/>
      <c r="S11" s="187"/>
      <c r="T11" s="187"/>
      <c r="X11" s="189"/>
      <c r="Y11" s="189"/>
      <c r="Z11" s="189"/>
      <c r="AA11" s="189"/>
      <c r="AB11" s="189"/>
      <c r="AC11" s="189"/>
      <c r="AD11" s="189"/>
    </row>
    <row r="12" spans="1:30" ht="15" customHeight="1">
      <c r="A12" s="84">
        <v>9</v>
      </c>
      <c r="B12" s="291" t="s">
        <v>92</v>
      </c>
      <c r="C12" s="292">
        <v>47.152500000000003</v>
      </c>
      <c r="D12" s="292">
        <v>146.67176833333338</v>
      </c>
      <c r="E12" s="292">
        <v>385.92423280900437</v>
      </c>
      <c r="F12" s="292">
        <v>250.05615260134985</v>
      </c>
      <c r="G12" s="292">
        <v>198.59136874607236</v>
      </c>
      <c r="H12" s="292">
        <v>106.41146675080549</v>
      </c>
      <c r="I12" s="292">
        <v>83.485450891471203</v>
      </c>
      <c r="J12" s="215"/>
      <c r="K12" s="139"/>
      <c r="L12" s="186"/>
      <c r="M12" s="186"/>
      <c r="N12" s="187"/>
      <c r="O12" s="187"/>
      <c r="P12" s="187"/>
      <c r="Q12" s="187"/>
      <c r="R12" s="187"/>
      <c r="S12" s="187"/>
      <c r="T12" s="187"/>
      <c r="X12" s="189"/>
      <c r="Y12" s="189"/>
      <c r="Z12" s="189"/>
      <c r="AA12" s="189"/>
      <c r="AB12" s="189"/>
      <c r="AC12" s="189"/>
      <c r="AD12" s="189"/>
    </row>
    <row r="13" spans="1:30" ht="15" customHeight="1">
      <c r="A13" s="84">
        <v>10</v>
      </c>
      <c r="B13" s="291" t="s">
        <v>55</v>
      </c>
      <c r="C13" s="292">
        <v>21.601970000000005</v>
      </c>
      <c r="D13" s="292">
        <v>24.404579999999999</v>
      </c>
      <c r="E13" s="292">
        <v>26.402346025894936</v>
      </c>
      <c r="F13" s="292">
        <v>34.56705239924802</v>
      </c>
      <c r="G13" s="292">
        <v>28.359027019885531</v>
      </c>
      <c r="H13" s="292">
        <v>26.47067079855902</v>
      </c>
      <c r="I13" s="292">
        <v>25.57972598895169</v>
      </c>
      <c r="J13" s="215"/>
      <c r="K13" s="139"/>
      <c r="L13" s="186"/>
      <c r="M13" s="186"/>
      <c r="N13" s="187"/>
      <c r="O13" s="187"/>
      <c r="P13" s="187"/>
      <c r="Q13" s="187"/>
      <c r="R13" s="187"/>
      <c r="S13" s="187"/>
      <c r="T13" s="187"/>
      <c r="X13" s="189"/>
      <c r="Y13" s="189"/>
      <c r="Z13" s="189"/>
      <c r="AA13" s="189"/>
      <c r="AB13" s="189"/>
      <c r="AC13" s="189"/>
      <c r="AD13" s="189"/>
    </row>
    <row r="14" spans="1:30" ht="15" customHeight="1">
      <c r="A14" s="84">
        <v>11</v>
      </c>
      <c r="B14" s="291" t="s">
        <v>189</v>
      </c>
      <c r="C14" s="292">
        <v>86.974558161284492</v>
      </c>
      <c r="D14" s="292">
        <v>161.73284221309478</v>
      </c>
      <c r="E14" s="292">
        <v>102.88539995486202</v>
      </c>
      <c r="F14" s="292">
        <v>110.85301762936565</v>
      </c>
      <c r="G14" s="292">
        <v>102.65489400443431</v>
      </c>
      <c r="H14" s="292">
        <v>106.77545013056726</v>
      </c>
      <c r="I14" s="292">
        <v>106.16898854305668</v>
      </c>
      <c r="J14" s="215"/>
      <c r="K14" s="139"/>
      <c r="L14" s="186"/>
      <c r="M14" s="186"/>
      <c r="N14" s="187"/>
      <c r="O14" s="187"/>
      <c r="P14" s="187"/>
      <c r="Q14" s="187"/>
      <c r="R14" s="187"/>
      <c r="S14" s="187"/>
      <c r="T14" s="187"/>
      <c r="X14" s="189"/>
      <c r="Y14" s="189"/>
      <c r="Z14" s="189"/>
      <c r="AA14" s="189"/>
      <c r="AB14" s="189"/>
      <c r="AC14" s="189"/>
      <c r="AD14" s="189"/>
    </row>
    <row r="15" spans="1:30" ht="15" customHeight="1">
      <c r="A15" s="84">
        <v>12</v>
      </c>
      <c r="B15" s="293" t="s">
        <v>190</v>
      </c>
      <c r="C15" s="294">
        <v>3764.1686881411483</v>
      </c>
      <c r="D15" s="294">
        <v>4146.3864090041734</v>
      </c>
      <c r="E15" s="294">
        <v>4240.3115380381705</v>
      </c>
      <c r="F15" s="294">
        <v>4302.2025284475694</v>
      </c>
      <c r="G15" s="294">
        <v>4343.4911908870299</v>
      </c>
      <c r="H15" s="294">
        <v>4399.6560009052737</v>
      </c>
      <c r="I15" s="294">
        <v>4414.5880649362471</v>
      </c>
      <c r="J15" s="215"/>
      <c r="K15" s="139"/>
      <c r="L15" s="186"/>
      <c r="M15" s="186"/>
      <c r="N15" s="187"/>
      <c r="O15" s="187"/>
      <c r="P15" s="187"/>
      <c r="Q15" s="187"/>
      <c r="R15" s="187"/>
      <c r="S15" s="187"/>
      <c r="T15" s="187"/>
      <c r="X15" s="189"/>
      <c r="Y15" s="189"/>
      <c r="Z15" s="189"/>
      <c r="AA15" s="189"/>
      <c r="AB15" s="189"/>
      <c r="AC15" s="189"/>
      <c r="AD15" s="189"/>
    </row>
    <row r="16" spans="1:30" ht="14.4">
      <c r="A16" s="84">
        <v>13</v>
      </c>
      <c r="B16" s="293" t="s">
        <v>192</v>
      </c>
      <c r="C16" s="294">
        <v>1111.4274368815657</v>
      </c>
      <c r="D16" s="294">
        <v>1145.7253637164083</v>
      </c>
      <c r="E16" s="294">
        <v>1381.6551053697747</v>
      </c>
      <c r="F16" s="294">
        <v>1524.0559128564096</v>
      </c>
      <c r="G16" s="294">
        <v>1445.2911781717432</v>
      </c>
      <c r="H16" s="294">
        <v>1442.4797688317683</v>
      </c>
      <c r="I16" s="294">
        <v>1390.9114767130811</v>
      </c>
      <c r="J16" s="215"/>
      <c r="K16" s="139"/>
      <c r="L16" s="186"/>
      <c r="M16" s="186"/>
      <c r="N16" s="187"/>
      <c r="O16" s="187"/>
      <c r="P16" s="187"/>
      <c r="Q16" s="187"/>
      <c r="R16" s="187"/>
      <c r="S16" s="187"/>
      <c r="T16" s="187"/>
    </row>
    <row r="17" spans="1:20" ht="15" customHeight="1">
      <c r="A17" s="84">
        <v>14</v>
      </c>
      <c r="B17" s="291" t="s">
        <v>46</v>
      </c>
      <c r="C17" s="292">
        <v>214.92201615278873</v>
      </c>
      <c r="D17" s="292">
        <v>212.22557230973447</v>
      </c>
      <c r="E17" s="292">
        <v>323.44363758641322</v>
      </c>
      <c r="F17" s="292">
        <v>357.33833724656273</v>
      </c>
      <c r="G17" s="292">
        <v>342.46089579313599</v>
      </c>
      <c r="H17" s="292">
        <v>353.8980866780754</v>
      </c>
      <c r="I17" s="292">
        <v>348.57596196899959</v>
      </c>
      <c r="J17" s="215"/>
      <c r="K17" s="139"/>
      <c r="L17" s="186"/>
      <c r="M17" s="186"/>
      <c r="N17" s="187"/>
      <c r="O17" s="187"/>
      <c r="P17" s="187"/>
      <c r="Q17" s="187"/>
      <c r="R17" s="187"/>
      <c r="S17" s="187"/>
      <c r="T17" s="187"/>
    </row>
    <row r="18" spans="1:20" s="91" customFormat="1" ht="15" customHeight="1">
      <c r="A18" s="35"/>
      <c r="B18" s="151" t="s">
        <v>127</v>
      </c>
      <c r="C18" s="295">
        <f t="shared" ref="C18:I18" si="0">SUM(C4:C17)</f>
        <v>6847.0643661142894</v>
      </c>
      <c r="D18" s="295">
        <f t="shared" si="0"/>
        <v>7766.5632075262884</v>
      </c>
      <c r="E18" s="295">
        <f t="shared" si="0"/>
        <v>9149.266974186321</v>
      </c>
      <c r="F18" s="295">
        <f t="shared" si="0"/>
        <v>9514.8663678116809</v>
      </c>
      <c r="G18" s="295">
        <f t="shared" si="0"/>
        <v>9205.5570594277797</v>
      </c>
      <c r="H18" s="295">
        <f t="shared" si="0"/>
        <v>8879.2438995339871</v>
      </c>
      <c r="I18" s="295">
        <f t="shared" si="0"/>
        <v>8502.0658158237457</v>
      </c>
      <c r="J18" s="296"/>
      <c r="K18" s="241"/>
      <c r="L18" s="240"/>
      <c r="N18" s="187"/>
      <c r="O18" s="187"/>
      <c r="P18" s="187"/>
      <c r="Q18" s="187"/>
      <c r="R18" s="187"/>
      <c r="S18" s="187"/>
      <c r="T18" s="187"/>
    </row>
    <row r="19" spans="1:20" ht="15" customHeight="1">
      <c r="B19" s="297"/>
      <c r="C19" s="298"/>
      <c r="D19" s="298"/>
      <c r="E19" s="298"/>
      <c r="F19" s="298"/>
      <c r="G19" s="298"/>
      <c r="H19" s="298"/>
      <c r="I19" s="298"/>
      <c r="J19" s="215"/>
      <c r="K19" s="128"/>
      <c r="L19" s="186"/>
      <c r="M19" s="186"/>
      <c r="N19" s="187"/>
      <c r="O19" s="187"/>
      <c r="P19" s="187"/>
      <c r="Q19" s="187"/>
      <c r="R19" s="187"/>
      <c r="S19" s="187"/>
      <c r="T19" s="187"/>
    </row>
    <row r="20" spans="1:20" ht="15" customHeight="1">
      <c r="B20" s="215"/>
      <c r="C20" s="299"/>
      <c r="D20" s="299"/>
      <c r="E20" s="299"/>
      <c r="F20" s="299"/>
      <c r="G20" s="299"/>
      <c r="H20" s="299"/>
      <c r="I20" s="299"/>
      <c r="J20" s="215"/>
      <c r="K20" s="128"/>
      <c r="L20" s="186"/>
      <c r="M20" s="186"/>
      <c r="N20" s="187"/>
      <c r="O20" s="187"/>
      <c r="P20" s="187"/>
      <c r="Q20" s="187"/>
      <c r="R20" s="187"/>
      <c r="S20" s="187"/>
      <c r="T20" s="187"/>
    </row>
    <row r="21" spans="1:20" ht="15" customHeight="1">
      <c r="B21" s="215"/>
      <c r="C21" s="299"/>
      <c r="D21" s="299"/>
      <c r="E21" s="299"/>
      <c r="F21" s="299"/>
      <c r="G21" s="299"/>
      <c r="H21" s="299"/>
      <c r="I21" s="299"/>
      <c r="J21" s="215"/>
      <c r="K21" s="128"/>
      <c r="L21" s="186"/>
      <c r="M21" s="186"/>
      <c r="N21" s="187"/>
      <c r="O21" s="187"/>
      <c r="P21" s="187"/>
      <c r="Q21" s="187"/>
      <c r="R21" s="187"/>
      <c r="S21" s="187"/>
      <c r="T21" s="187"/>
    </row>
    <row r="22" spans="1:20" s="84" customFormat="1" ht="15" customHeight="1">
      <c r="B22" s="151" t="s">
        <v>273</v>
      </c>
      <c r="C22" s="151">
        <f t="shared" ref="C22:I22" si="1">C3</f>
        <v>2021</v>
      </c>
      <c r="D22" s="151">
        <f t="shared" si="1"/>
        <v>2022</v>
      </c>
      <c r="E22" s="151">
        <f t="shared" si="1"/>
        <v>2023</v>
      </c>
      <c r="F22" s="151">
        <f t="shared" si="1"/>
        <v>2024</v>
      </c>
      <c r="G22" s="151">
        <f t="shared" si="1"/>
        <v>2025</v>
      </c>
      <c r="H22" s="151">
        <f t="shared" si="1"/>
        <v>2026</v>
      </c>
      <c r="I22" s="151">
        <f t="shared" si="1"/>
        <v>2027</v>
      </c>
      <c r="J22" s="291"/>
      <c r="L22" s="186"/>
      <c r="M22" s="186"/>
      <c r="N22" s="187"/>
      <c r="O22" s="187"/>
      <c r="P22" s="187"/>
      <c r="Q22" s="187"/>
      <c r="R22" s="187"/>
      <c r="S22" s="187"/>
      <c r="T22" s="187"/>
    </row>
    <row r="23" spans="1:20" s="84" customFormat="1" ht="15" customHeight="1">
      <c r="A23" s="84">
        <v>1</v>
      </c>
      <c r="B23" s="291" t="s">
        <v>95</v>
      </c>
      <c r="C23" s="300">
        <f>+C4/C$18*100</f>
        <v>0.84023865498317696</v>
      </c>
      <c r="D23" s="300">
        <f t="shared" ref="D23:I23" si="2">+D4/D$18*100</f>
        <v>1.0627422649177305</v>
      </c>
      <c r="E23" s="300">
        <f t="shared" si="2"/>
        <v>1.0285172671033456</v>
      </c>
      <c r="F23" s="300">
        <f t="shared" si="2"/>
        <v>1.1213915970102322</v>
      </c>
      <c r="G23" s="300">
        <f t="shared" si="2"/>
        <v>1.1015053645323176</v>
      </c>
      <c r="H23" s="300">
        <f t="shared" si="2"/>
        <v>1.1418303748523124</v>
      </c>
      <c r="I23" s="300">
        <f t="shared" si="2"/>
        <v>1.1498848137150866</v>
      </c>
      <c r="J23" s="291"/>
      <c r="L23" s="186"/>
      <c r="M23" s="186"/>
      <c r="N23" s="187"/>
      <c r="O23" s="187"/>
      <c r="P23" s="187"/>
      <c r="Q23" s="187"/>
      <c r="R23" s="187"/>
      <c r="S23" s="187"/>
      <c r="T23" s="187"/>
    </row>
    <row r="24" spans="1:20" s="84" customFormat="1" ht="15" customHeight="1">
      <c r="A24" s="84">
        <v>2</v>
      </c>
      <c r="B24" s="291" t="s">
        <v>106</v>
      </c>
      <c r="C24" s="300">
        <f t="shared" ref="C24:C30" si="3">+C5/C$18*100</f>
        <v>0.67238670424623981</v>
      </c>
      <c r="D24" s="300">
        <f t="shared" ref="D24:I24" si="4">+D5/D$18*100</f>
        <v>0.60857835475205224</v>
      </c>
      <c r="E24" s="300">
        <f t="shared" si="4"/>
        <v>0.88692089706294741</v>
      </c>
      <c r="F24" s="300">
        <f t="shared" si="4"/>
        <v>0.85275804105460584</v>
      </c>
      <c r="G24" s="300">
        <f t="shared" si="4"/>
        <v>0.78463344276170854</v>
      </c>
      <c r="H24" s="300">
        <f t="shared" si="4"/>
        <v>0.76814356441661569</v>
      </c>
      <c r="I24" s="300">
        <f t="shared" si="4"/>
        <v>0.70548956021241271</v>
      </c>
      <c r="J24" s="291"/>
      <c r="L24" s="186"/>
      <c r="M24" s="186"/>
      <c r="N24" s="187"/>
      <c r="O24" s="187"/>
      <c r="P24" s="187"/>
      <c r="Q24" s="187"/>
      <c r="R24" s="187"/>
      <c r="S24" s="187"/>
      <c r="T24" s="187"/>
    </row>
    <row r="25" spans="1:20" s="84" customFormat="1" ht="15" customHeight="1">
      <c r="A25" s="84">
        <v>3</v>
      </c>
      <c r="B25" s="291" t="s">
        <v>81</v>
      </c>
      <c r="C25" s="300">
        <f t="shared" si="3"/>
        <v>2.1384236612328924</v>
      </c>
      <c r="D25" s="300">
        <f t="shared" ref="D25:I25" si="5">+D6/D$18*100</f>
        <v>1.9334622804031101</v>
      </c>
      <c r="E25" s="300">
        <f t="shared" si="5"/>
        <v>1.8859481384334496</v>
      </c>
      <c r="F25" s="300">
        <f t="shared" si="5"/>
        <v>2.0771804999858374</v>
      </c>
      <c r="G25" s="300">
        <f t="shared" si="5"/>
        <v>2.0515074250595138</v>
      </c>
      <c r="H25" s="300">
        <f t="shared" si="5"/>
        <v>2.1590140196114675</v>
      </c>
      <c r="I25" s="300">
        <f t="shared" si="5"/>
        <v>2.1743189955620119</v>
      </c>
      <c r="J25" s="291"/>
      <c r="L25" s="186"/>
      <c r="M25" s="186"/>
      <c r="N25" s="187"/>
      <c r="O25" s="187"/>
      <c r="P25" s="187"/>
      <c r="Q25" s="187"/>
      <c r="R25" s="187"/>
      <c r="S25" s="187"/>
      <c r="T25" s="187"/>
    </row>
    <row r="26" spans="1:20" s="84" customFormat="1" ht="15" customHeight="1">
      <c r="A26" s="84">
        <v>4</v>
      </c>
      <c r="B26" s="291" t="s">
        <v>278</v>
      </c>
      <c r="C26" s="300">
        <f t="shared" si="3"/>
        <v>1.7447084485173379</v>
      </c>
      <c r="D26" s="300">
        <f t="shared" ref="D26:I26" si="6">+D7/D$18*100</f>
        <v>1.9307051223400065</v>
      </c>
      <c r="E26" s="300">
        <f t="shared" si="6"/>
        <v>2.4086834882832564</v>
      </c>
      <c r="F26" s="300">
        <f t="shared" si="6"/>
        <v>2.7273961295204945</v>
      </c>
      <c r="G26" s="300">
        <f t="shared" si="6"/>
        <v>2.1797579539309679</v>
      </c>
      <c r="H26" s="300">
        <f t="shared" si="6"/>
        <v>2.0368027691059032</v>
      </c>
      <c r="I26" s="300">
        <f t="shared" si="6"/>
        <v>1.7120027200174672</v>
      </c>
      <c r="J26" s="291"/>
      <c r="L26" s="186"/>
      <c r="M26" s="186"/>
      <c r="N26" s="187"/>
      <c r="O26" s="187"/>
      <c r="P26" s="187"/>
      <c r="Q26" s="187"/>
      <c r="R26" s="187"/>
      <c r="S26" s="187"/>
      <c r="T26" s="187"/>
    </row>
    <row r="27" spans="1:20" s="84" customFormat="1" ht="15" customHeight="1">
      <c r="A27" s="84">
        <v>5</v>
      </c>
      <c r="B27" s="291" t="s">
        <v>152</v>
      </c>
      <c r="C27" s="300">
        <f t="shared" si="3"/>
        <v>2.0187581098372815</v>
      </c>
      <c r="D27" s="300">
        <f t="shared" ref="D27:I27" si="7">+D8/D$18*100</f>
        <v>2.3534677440395018</v>
      </c>
      <c r="E27" s="300">
        <f t="shared" si="7"/>
        <v>4.0290836112019965</v>
      </c>
      <c r="F27" s="300">
        <f t="shared" si="7"/>
        <v>4.791251873204958</v>
      </c>
      <c r="G27" s="300">
        <f t="shared" si="7"/>
        <v>6.5583646126728166</v>
      </c>
      <c r="H27" s="300">
        <f t="shared" si="7"/>
        <v>4.8100397456550326</v>
      </c>
      <c r="I27" s="300">
        <f t="shared" si="7"/>
        <v>2.7163302040411925</v>
      </c>
      <c r="J27" s="291"/>
      <c r="L27" s="186"/>
      <c r="M27" s="186"/>
      <c r="N27" s="187"/>
      <c r="O27" s="187"/>
      <c r="P27" s="187"/>
      <c r="Q27" s="187"/>
      <c r="R27" s="187"/>
      <c r="S27" s="187"/>
      <c r="T27" s="187"/>
    </row>
    <row r="28" spans="1:20" s="84" customFormat="1" ht="15" customHeight="1">
      <c r="A28" s="84">
        <v>6</v>
      </c>
      <c r="B28" s="291" t="s">
        <v>153</v>
      </c>
      <c r="C28" s="300">
        <f t="shared" si="3"/>
        <v>4.9397689224498817</v>
      </c>
      <c r="D28" s="300">
        <f t="shared" ref="D28:I28" si="8">+D9/D$18*100</f>
        <v>6.8731746499824693</v>
      </c>
      <c r="E28" s="300">
        <f t="shared" si="8"/>
        <v>8.4937495989261311</v>
      </c>
      <c r="F28" s="300">
        <f t="shared" si="8"/>
        <v>8.3693637735948894</v>
      </c>
      <c r="G28" s="300">
        <f t="shared" si="8"/>
        <v>8.0240829202365589</v>
      </c>
      <c r="H28" s="300">
        <f t="shared" si="8"/>
        <v>7.4757162226089395</v>
      </c>
      <c r="I28" s="300">
        <f t="shared" si="8"/>
        <v>7.7704335322851064</v>
      </c>
      <c r="J28" s="291"/>
      <c r="L28" s="186"/>
      <c r="M28" s="186"/>
      <c r="N28" s="187"/>
      <c r="O28" s="187"/>
      <c r="P28" s="187"/>
      <c r="Q28" s="187"/>
      <c r="R28" s="187"/>
      <c r="S28" s="187"/>
      <c r="T28" s="187"/>
    </row>
    <row r="29" spans="1:20" s="84" customFormat="1" ht="15" customHeight="1">
      <c r="A29" s="84">
        <v>7</v>
      </c>
      <c r="B29" s="291" t="s">
        <v>85</v>
      </c>
      <c r="C29" s="300">
        <f t="shared" si="3"/>
        <v>7.8181997111486892</v>
      </c>
      <c r="D29" s="300">
        <f t="shared" ref="D29:I29" si="9">+D10/D$18*100</f>
        <v>6.9431656396938655</v>
      </c>
      <c r="E29" s="300">
        <f t="shared" si="9"/>
        <v>7.1494682165020542</v>
      </c>
      <c r="F29" s="300">
        <f t="shared" si="9"/>
        <v>7.2189890007736732</v>
      </c>
      <c r="G29" s="300">
        <f t="shared" si="9"/>
        <v>5.6114543737021965</v>
      </c>
      <c r="H29" s="300">
        <f t="shared" si="9"/>
        <v>5.5214951227363356</v>
      </c>
      <c r="I29" s="300">
        <f t="shared" si="9"/>
        <v>5.2883228158142632</v>
      </c>
      <c r="J29" s="291"/>
      <c r="L29" s="186"/>
      <c r="M29" s="186"/>
      <c r="N29" s="187"/>
      <c r="O29" s="187"/>
      <c r="P29" s="187"/>
      <c r="Q29" s="187"/>
      <c r="R29" s="187"/>
      <c r="S29" s="187"/>
      <c r="T29" s="187"/>
    </row>
    <row r="30" spans="1:20" s="84" customFormat="1" ht="15" customHeight="1">
      <c r="A30" s="84">
        <v>8</v>
      </c>
      <c r="B30" s="291" t="s">
        <v>188</v>
      </c>
      <c r="C30" s="300">
        <f t="shared" si="3"/>
        <v>3.207129461144377</v>
      </c>
      <c r="D30" s="300">
        <f t="shared" ref="D30:I30" si="10">+D11/D$18*100</f>
        <v>3.1373096163496301</v>
      </c>
      <c r="E30" s="300">
        <f t="shared" si="10"/>
        <v>3.5040782323490234</v>
      </c>
      <c r="F30" s="300">
        <f t="shared" si="10"/>
        <v>3.6964730636354837</v>
      </c>
      <c r="G30" s="300">
        <f t="shared" si="10"/>
        <v>3.5044724318213509</v>
      </c>
      <c r="H30" s="300">
        <f t="shared" si="10"/>
        <v>3.6067840027501208</v>
      </c>
      <c r="I30" s="300">
        <f t="shared" si="10"/>
        <v>3.5683695199897709</v>
      </c>
      <c r="J30" s="291"/>
      <c r="L30" s="186"/>
      <c r="M30" s="187"/>
      <c r="N30" s="187"/>
      <c r="O30" s="187"/>
      <c r="P30" s="187"/>
      <c r="Q30" s="187"/>
      <c r="R30" s="187"/>
      <c r="S30" s="187"/>
    </row>
    <row r="31" spans="1:20" s="84" customFormat="1" ht="15" customHeight="1">
      <c r="A31" s="84">
        <v>9</v>
      </c>
      <c r="B31" s="291" t="s">
        <v>92</v>
      </c>
      <c r="C31" s="300">
        <f t="shared" ref="C31:I31" si="11">+C12/C$18*100</f>
        <v>0.68865279306201499</v>
      </c>
      <c r="D31" s="300">
        <f t="shared" si="11"/>
        <v>1.8885028604569805</v>
      </c>
      <c r="E31" s="300">
        <f t="shared" si="11"/>
        <v>4.2180890982616246</v>
      </c>
      <c r="F31" s="300">
        <f t="shared" si="11"/>
        <v>2.6280574307094566</v>
      </c>
      <c r="G31" s="300">
        <f t="shared" si="11"/>
        <v>2.1572987649094739</v>
      </c>
      <c r="H31" s="300">
        <f t="shared" si="11"/>
        <v>1.1984293702799438</v>
      </c>
      <c r="I31" s="300">
        <f t="shared" si="11"/>
        <v>0.98194312652921389</v>
      </c>
      <c r="J31" s="291"/>
    </row>
    <row r="32" spans="1:20" s="84" customFormat="1" ht="15" customHeight="1">
      <c r="A32" s="84">
        <v>10</v>
      </c>
      <c r="B32" s="291" t="s">
        <v>55</v>
      </c>
      <c r="C32" s="300">
        <f t="shared" ref="C32:I32" si="12">+C13/C$18*100</f>
        <v>0.31549243361734491</v>
      </c>
      <c r="D32" s="300">
        <f t="shared" si="12"/>
        <v>0.31422624586831954</v>
      </c>
      <c r="E32" s="300">
        <f t="shared" si="12"/>
        <v>0.2885733480112268</v>
      </c>
      <c r="F32" s="300">
        <f t="shared" si="12"/>
        <v>0.36329519578106362</v>
      </c>
      <c r="G32" s="300">
        <f t="shared" si="12"/>
        <v>0.30806421422201619</v>
      </c>
      <c r="H32" s="300">
        <f t="shared" si="12"/>
        <v>0.29811852335702016</v>
      </c>
      <c r="I32" s="300">
        <f t="shared" si="12"/>
        <v>0.30086483147829324</v>
      </c>
      <c r="J32" s="291"/>
    </row>
    <row r="33" spans="1:10" s="84" customFormat="1" ht="15" customHeight="1">
      <c r="A33" s="84">
        <v>11</v>
      </c>
      <c r="B33" s="291" t="s">
        <v>189</v>
      </c>
      <c r="C33" s="300">
        <f t="shared" ref="C33:I33" si="13">+C14/C$18*100</f>
        <v>1.270245955211351</v>
      </c>
      <c r="D33" s="300">
        <f t="shared" si="13"/>
        <v>2.0824248498533491</v>
      </c>
      <c r="E33" s="300">
        <f t="shared" si="13"/>
        <v>1.1245206883255476</v>
      </c>
      <c r="F33" s="300">
        <f t="shared" si="13"/>
        <v>1.1650507042786842</v>
      </c>
      <c r="G33" s="300">
        <f t="shared" si="13"/>
        <v>1.1151404889647751</v>
      </c>
      <c r="H33" s="300">
        <f t="shared" si="13"/>
        <v>1.2025286312517127</v>
      </c>
      <c r="I33" s="300">
        <f t="shared" si="13"/>
        <v>1.2487434329837661</v>
      </c>
      <c r="J33" s="291"/>
    </row>
    <row r="34" spans="1:10" s="84" customFormat="1" ht="15" customHeight="1">
      <c r="A34" s="84">
        <v>12</v>
      </c>
      <c r="B34" s="301" t="s">
        <v>190</v>
      </c>
      <c r="C34" s="300">
        <f t="shared" ref="C34:I34" si="14">+C15/C$18*100</f>
        <v>54.974927748157199</v>
      </c>
      <c r="D34" s="300">
        <f t="shared" si="14"/>
        <v>53.387660644879119</v>
      </c>
      <c r="E34" s="300">
        <f t="shared" si="14"/>
        <v>46.345915470624654</v>
      </c>
      <c r="F34" s="300">
        <f t="shared" si="14"/>
        <v>45.215585402247015</v>
      </c>
      <c r="G34" s="300">
        <f t="shared" si="14"/>
        <v>47.183360690146245</v>
      </c>
      <c r="H34" s="300">
        <f t="shared" si="14"/>
        <v>49.549894683444641</v>
      </c>
      <c r="I34" s="300">
        <f t="shared" si="14"/>
        <v>51.92371078473623</v>
      </c>
      <c r="J34" s="291"/>
    </row>
    <row r="35" spans="1:10" s="84" customFormat="1" ht="15" customHeight="1">
      <c r="A35" s="84">
        <v>13</v>
      </c>
      <c r="B35" s="301" t="s">
        <v>192</v>
      </c>
      <c r="C35" s="300">
        <f t="shared" ref="C35:I35" si="15">+C16/C$18*100</f>
        <v>16.232174512364061</v>
      </c>
      <c r="D35" s="300">
        <f t="shared" si="15"/>
        <v>14.752025227917134</v>
      </c>
      <c r="E35" s="300">
        <f t="shared" si="15"/>
        <v>15.101265590652964</v>
      </c>
      <c r="F35" s="300">
        <f t="shared" si="15"/>
        <v>16.017628140445723</v>
      </c>
      <c r="G35" s="300">
        <f t="shared" si="15"/>
        <v>15.700203353707559</v>
      </c>
      <c r="H35" s="300">
        <f t="shared" si="15"/>
        <v>16.245524789644243</v>
      </c>
      <c r="I35" s="300">
        <f t="shared" si="15"/>
        <v>16.359688419776354</v>
      </c>
      <c r="J35" s="291"/>
    </row>
    <row r="36" spans="1:10" s="84" customFormat="1" ht="15" customHeight="1">
      <c r="A36" s="84">
        <v>14</v>
      </c>
      <c r="B36" s="291" t="s">
        <v>46</v>
      </c>
      <c r="C36" s="300">
        <f t="shared" ref="C36:I36" si="16">+C17/C$18*100</f>
        <v>3.1388928840281523</v>
      </c>
      <c r="D36" s="300">
        <f t="shared" si="16"/>
        <v>2.7325544985467256</v>
      </c>
      <c r="E36" s="300">
        <f t="shared" si="16"/>
        <v>3.5351863542617665</v>
      </c>
      <c r="F36" s="300">
        <f t="shared" si="16"/>
        <v>3.7555791477578766</v>
      </c>
      <c r="G36" s="300">
        <f t="shared" si="16"/>
        <v>3.7201539633324856</v>
      </c>
      <c r="H36" s="300">
        <f t="shared" si="16"/>
        <v>3.985678180285702</v>
      </c>
      <c r="I36" s="300">
        <f t="shared" si="16"/>
        <v>4.0998972428588152</v>
      </c>
      <c r="J36" s="291"/>
    </row>
    <row r="37" spans="1:10" s="35" customFormat="1" ht="15" customHeight="1">
      <c r="B37" s="151" t="s">
        <v>127</v>
      </c>
      <c r="C37" s="302">
        <f t="shared" ref="C37:I37" si="17">SUM(C23:C36)</f>
        <v>99.999999999999986</v>
      </c>
      <c r="D37" s="302">
        <f t="shared" si="17"/>
        <v>99.999999999999986</v>
      </c>
      <c r="E37" s="302">
        <f t="shared" si="17"/>
        <v>99.999999999999986</v>
      </c>
      <c r="F37" s="302">
        <f t="shared" si="17"/>
        <v>99.999999999999986</v>
      </c>
      <c r="G37" s="302">
        <f t="shared" si="17"/>
        <v>100</v>
      </c>
      <c r="H37" s="302">
        <f t="shared" si="17"/>
        <v>100</v>
      </c>
      <c r="I37" s="302">
        <f t="shared" si="17"/>
        <v>99.999999999999972</v>
      </c>
      <c r="J37" s="151"/>
    </row>
    <row r="38" spans="1:10" s="84" customFormat="1" ht="15" customHeight="1">
      <c r="B38" s="291"/>
      <c r="C38" s="291"/>
      <c r="D38" s="291"/>
      <c r="E38" s="291"/>
      <c r="F38" s="291"/>
      <c r="G38" s="291"/>
      <c r="H38" s="291"/>
      <c r="I38" s="291"/>
      <c r="J38" s="291"/>
    </row>
    <row r="39" spans="1:10" s="84" customFormat="1" ht="15" customHeight="1"/>
  </sheetData>
  <pageMargins left="0.70866141732283472" right="0.70866141732283472" top="0.74803149606299213" bottom="0.74803149606299213" header="0.31496062992125984" footer="0.31496062992125984"/>
  <pageSetup paperSize="9" scale="71" orientation="landscape" r:id="rId1"/>
  <headerFooter>
    <oddFooter>&amp;L&amp;Z&amp;F</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O311"/>
  <sheetViews>
    <sheetView zoomScaleNormal="100" zoomScaleSheetLayoutView="100" workbookViewId="0">
      <selection activeCell="F3" sqref="F3"/>
    </sheetView>
  </sheetViews>
  <sheetFormatPr defaultColWidth="9.21875" defaultRowHeight="13.8"/>
  <cols>
    <col min="1" max="1" width="9.21875" style="4"/>
    <col min="2" max="2" width="13.77734375" style="4" customWidth="1"/>
    <col min="3" max="3" width="51.5546875" style="4" customWidth="1"/>
    <col min="4" max="4" width="13.44140625" style="4" customWidth="1"/>
    <col min="5" max="10" width="14.21875" style="4" customWidth="1"/>
    <col min="11" max="11" width="10.77734375" style="4" customWidth="1"/>
    <col min="12" max="12" width="9.21875" style="4"/>
    <col min="13" max="13" width="31.21875" style="4" customWidth="1"/>
    <col min="14" max="14" width="12" style="4" customWidth="1"/>
    <col min="15" max="15" width="6.21875" style="4" customWidth="1"/>
    <col min="16" max="16384" width="9.21875" style="4"/>
  </cols>
  <sheetData>
    <row r="1" spans="1:15" ht="18">
      <c r="B1" s="24" t="s">
        <v>741</v>
      </c>
      <c r="C1" s="123"/>
      <c r="D1" s="123"/>
      <c r="E1" s="123"/>
      <c r="F1" s="123"/>
      <c r="G1" s="123"/>
      <c r="H1" s="123"/>
      <c r="I1" s="123"/>
      <c r="J1" s="123"/>
      <c r="K1" s="123"/>
      <c r="L1" s="123"/>
      <c r="M1" s="81"/>
      <c r="N1" s="123"/>
      <c r="O1" s="123"/>
    </row>
    <row r="3" spans="1:15">
      <c r="A3" s="1" t="s">
        <v>523</v>
      </c>
      <c r="B3" s="23" t="s">
        <v>58</v>
      </c>
      <c r="C3" s="21" t="s">
        <v>59</v>
      </c>
      <c r="D3" s="1">
        <f>Totaal!C3</f>
        <v>2021</v>
      </c>
      <c r="E3" s="1">
        <f>Totaal!D3</f>
        <v>2022</v>
      </c>
      <c r="F3" s="1">
        <f>Totaal!E3</f>
        <v>2023</v>
      </c>
      <c r="G3" s="1">
        <f>Totaal!F3</f>
        <v>2024</v>
      </c>
      <c r="H3" s="1">
        <f>Totaal!G3</f>
        <v>2025</v>
      </c>
      <c r="I3" s="1">
        <f>Totaal!H3</f>
        <v>2026</v>
      </c>
      <c r="J3" s="1">
        <f>Totaal!I3</f>
        <v>2027</v>
      </c>
      <c r="K3" s="21" t="s">
        <v>338</v>
      </c>
      <c r="L3" s="22" t="s">
        <v>63</v>
      </c>
      <c r="M3" s="21" t="s">
        <v>43</v>
      </c>
      <c r="N3" s="21" t="s">
        <v>174</v>
      </c>
      <c r="O3" s="21" t="s">
        <v>0</v>
      </c>
    </row>
    <row r="4" spans="1:15" s="7" customFormat="1">
      <c r="A4" s="7" t="s">
        <v>143</v>
      </c>
      <c r="B4" s="7" t="s">
        <v>552</v>
      </c>
      <c r="C4" s="169" t="s">
        <v>553</v>
      </c>
      <c r="D4" s="95">
        <v>0.625</v>
      </c>
      <c r="E4" s="92">
        <v>0.59399999999999997</v>
      </c>
      <c r="F4" s="92">
        <v>0.59399999999999997</v>
      </c>
      <c r="G4" s="92">
        <v>0.59399999999999997</v>
      </c>
      <c r="H4" s="92">
        <v>0.59399999999999997</v>
      </c>
      <c r="I4" s="92">
        <v>0.59399999999999997</v>
      </c>
      <c r="J4" s="92">
        <v>0.59399999999999997</v>
      </c>
      <c r="K4" s="7">
        <v>80</v>
      </c>
      <c r="L4" s="7">
        <v>11</v>
      </c>
      <c r="M4" s="92" t="s">
        <v>48</v>
      </c>
      <c r="N4" s="7" t="s">
        <v>6</v>
      </c>
      <c r="O4" s="7" t="s">
        <v>33</v>
      </c>
    </row>
    <row r="5" spans="1:15" s="7" customFormat="1">
      <c r="A5" s="7" t="s">
        <v>144</v>
      </c>
      <c r="B5" s="7">
        <v>5</v>
      </c>
      <c r="C5" s="7" t="s">
        <v>140</v>
      </c>
      <c r="D5" s="55">
        <v>0.31</v>
      </c>
      <c r="E5" s="55">
        <v>0.34</v>
      </c>
      <c r="F5" s="55">
        <v>0.24199999999999999</v>
      </c>
      <c r="G5" s="55">
        <v>0.24199999999999999</v>
      </c>
      <c r="H5" s="55">
        <v>0.24199999999999999</v>
      </c>
      <c r="I5" s="55">
        <v>0.24199999999999999</v>
      </c>
      <c r="J5" s="55">
        <v>0.24199999999999999</v>
      </c>
      <c r="K5" s="7">
        <v>10</v>
      </c>
      <c r="L5" s="92">
        <v>11</v>
      </c>
      <c r="M5" s="92" t="s">
        <v>48</v>
      </c>
      <c r="N5" s="7" t="s">
        <v>4</v>
      </c>
      <c r="O5" s="7" t="s">
        <v>32</v>
      </c>
    </row>
    <row r="6" spans="1:15" s="7" customFormat="1">
      <c r="A6" s="7" t="s">
        <v>144</v>
      </c>
      <c r="B6" s="7">
        <v>17</v>
      </c>
      <c r="C6" s="7" t="s">
        <v>141</v>
      </c>
      <c r="D6" s="55">
        <v>1.454</v>
      </c>
      <c r="E6" s="55">
        <v>1.425</v>
      </c>
      <c r="F6" s="55">
        <v>3</v>
      </c>
      <c r="G6" s="55">
        <v>3</v>
      </c>
      <c r="H6" s="55">
        <v>3</v>
      </c>
      <c r="I6" s="55">
        <v>3</v>
      </c>
      <c r="J6" s="55">
        <v>3</v>
      </c>
      <c r="K6" s="7">
        <v>100</v>
      </c>
      <c r="L6" s="92">
        <v>11</v>
      </c>
      <c r="M6" s="92" t="s">
        <v>48</v>
      </c>
      <c r="N6" s="7" t="s">
        <v>7</v>
      </c>
      <c r="O6" s="7" t="s">
        <v>33</v>
      </c>
    </row>
    <row r="7" spans="1:15" s="7" customFormat="1">
      <c r="A7" s="7" t="s">
        <v>144</v>
      </c>
      <c r="B7" s="7">
        <v>17</v>
      </c>
      <c r="C7" s="7" t="s">
        <v>226</v>
      </c>
      <c r="D7" s="55">
        <v>23.565000000000001</v>
      </c>
      <c r="E7" s="55">
        <v>25.038</v>
      </c>
      <c r="F7" s="55">
        <v>25.088249999999999</v>
      </c>
      <c r="G7" s="55">
        <v>24.434999999999999</v>
      </c>
      <c r="H7" s="55">
        <v>24.21</v>
      </c>
      <c r="I7" s="55">
        <v>24.192499999999999</v>
      </c>
      <c r="J7" s="55">
        <v>24.192499999999999</v>
      </c>
      <c r="K7" s="7">
        <v>5</v>
      </c>
      <c r="L7" s="92">
        <v>11</v>
      </c>
      <c r="M7" s="92" t="s">
        <v>48</v>
      </c>
      <c r="N7" s="7" t="s">
        <v>7</v>
      </c>
      <c r="O7" s="7" t="s">
        <v>33</v>
      </c>
    </row>
    <row r="8" spans="1:15" s="7" customFormat="1">
      <c r="A8" s="7" t="s">
        <v>144</v>
      </c>
      <c r="B8" s="7">
        <v>17</v>
      </c>
      <c r="C8" s="7" t="s">
        <v>227</v>
      </c>
      <c r="D8" s="83">
        <v>4.9779999999999998</v>
      </c>
      <c r="E8" s="83">
        <v>5.9790000000000001</v>
      </c>
      <c r="F8" s="83">
        <v>4.9172500000000001</v>
      </c>
      <c r="G8" s="83">
        <v>4.8903500000000006</v>
      </c>
      <c r="H8" s="83">
        <v>4.8778500000000005</v>
      </c>
      <c r="I8" s="83">
        <v>4.8778500000000005</v>
      </c>
      <c r="J8" s="83">
        <v>4.8778500000000005</v>
      </c>
      <c r="K8" s="7">
        <v>5</v>
      </c>
      <c r="L8" s="92">
        <v>11</v>
      </c>
      <c r="M8" s="92" t="s">
        <v>48</v>
      </c>
      <c r="N8" s="7" t="s">
        <v>7</v>
      </c>
      <c r="O8" s="7" t="s">
        <v>33</v>
      </c>
    </row>
    <row r="9" spans="1:15" s="7" customFormat="1">
      <c r="A9" s="7" t="s">
        <v>144</v>
      </c>
      <c r="B9" s="7" t="s">
        <v>614</v>
      </c>
      <c r="C9" s="7" t="s">
        <v>613</v>
      </c>
      <c r="D9" s="83">
        <v>12.688844048</v>
      </c>
      <c r="E9" s="83">
        <v>6.5243712225000001</v>
      </c>
      <c r="F9" s="83">
        <v>3.7508499999999998</v>
      </c>
      <c r="G9" s="83">
        <v>0.16</v>
      </c>
      <c r="H9" s="83">
        <v>0.05</v>
      </c>
      <c r="I9" s="83">
        <v>0</v>
      </c>
      <c r="J9" s="83">
        <v>0</v>
      </c>
      <c r="K9" s="7">
        <v>5</v>
      </c>
      <c r="L9" s="92">
        <v>11</v>
      </c>
      <c r="M9" s="92" t="s">
        <v>48</v>
      </c>
      <c r="O9" s="7" t="s">
        <v>33</v>
      </c>
    </row>
    <row r="10" spans="1:15" s="7" customFormat="1">
      <c r="A10" s="7" t="s">
        <v>144</v>
      </c>
      <c r="B10" s="7">
        <v>17</v>
      </c>
      <c r="C10" s="7" t="s">
        <v>228</v>
      </c>
      <c r="D10" s="83">
        <v>7.0259999999999998</v>
      </c>
      <c r="E10" s="83">
        <v>8.8390000000000004</v>
      </c>
      <c r="F10" s="83">
        <v>7.9914499999999995</v>
      </c>
      <c r="G10" s="83">
        <v>8.0878499999999995</v>
      </c>
      <c r="H10" s="83">
        <v>7.8378500000000004</v>
      </c>
      <c r="I10" s="83">
        <v>7.8378500000000004</v>
      </c>
      <c r="J10" s="83">
        <v>7.8378500000000004</v>
      </c>
      <c r="K10" s="7">
        <v>5</v>
      </c>
      <c r="L10" s="92">
        <v>11</v>
      </c>
      <c r="M10" s="92" t="s">
        <v>48</v>
      </c>
      <c r="N10" s="7" t="s">
        <v>7</v>
      </c>
      <c r="O10" s="7" t="s">
        <v>33</v>
      </c>
    </row>
    <row r="11" spans="1:15" s="7" customFormat="1">
      <c r="A11" s="7" t="s">
        <v>596</v>
      </c>
      <c r="B11" s="92"/>
      <c r="C11" s="92" t="s">
        <v>480</v>
      </c>
      <c r="D11" s="95">
        <v>2.4729999999999999</v>
      </c>
      <c r="E11" s="95">
        <v>2.492</v>
      </c>
      <c r="F11" s="95">
        <v>2.694</v>
      </c>
      <c r="G11" s="95">
        <v>2.7069999999999999</v>
      </c>
      <c r="H11" s="95">
        <v>2.7069999999999999</v>
      </c>
      <c r="I11" s="95">
        <v>2.6789999999999998</v>
      </c>
      <c r="J11" s="95">
        <v>2.6789999999999998</v>
      </c>
      <c r="K11" s="92">
        <v>10</v>
      </c>
      <c r="L11" s="92">
        <v>11</v>
      </c>
      <c r="M11" s="92" t="s">
        <v>48</v>
      </c>
      <c r="N11" s="92" t="s">
        <v>56</v>
      </c>
      <c r="O11" s="7" t="s">
        <v>33</v>
      </c>
    </row>
    <row r="12" spans="1:15" s="7" customFormat="1">
      <c r="A12" s="7" t="s">
        <v>596</v>
      </c>
      <c r="B12" s="92"/>
      <c r="C12" s="92" t="s">
        <v>481</v>
      </c>
      <c r="D12" s="95">
        <v>2.4729999999999999</v>
      </c>
      <c r="E12" s="95">
        <v>2.4929999999999999</v>
      </c>
      <c r="F12" s="95">
        <v>2.6949999999999998</v>
      </c>
      <c r="G12" s="95">
        <v>2.7069999999999999</v>
      </c>
      <c r="H12" s="95">
        <v>2.7080000000000002</v>
      </c>
      <c r="I12" s="95">
        <v>2.68</v>
      </c>
      <c r="J12" s="95">
        <v>2.68</v>
      </c>
      <c r="K12" s="92">
        <v>10</v>
      </c>
      <c r="L12" s="92">
        <v>11</v>
      </c>
      <c r="M12" s="92" t="s">
        <v>48</v>
      </c>
      <c r="N12" s="92" t="s">
        <v>4</v>
      </c>
      <c r="O12" s="7" t="s">
        <v>33</v>
      </c>
    </row>
    <row r="13" spans="1:15" s="7" customFormat="1">
      <c r="A13" s="7" t="s">
        <v>596</v>
      </c>
      <c r="B13" s="92"/>
      <c r="C13" s="92" t="s">
        <v>479</v>
      </c>
      <c r="D13" s="95">
        <v>7.0970000000000004</v>
      </c>
      <c r="E13" s="95">
        <v>7</v>
      </c>
      <c r="F13" s="95">
        <v>7</v>
      </c>
      <c r="G13" s="95">
        <v>7</v>
      </c>
      <c r="H13" s="95">
        <v>7</v>
      </c>
      <c r="I13" s="95">
        <v>7</v>
      </c>
      <c r="J13" s="95">
        <v>7</v>
      </c>
      <c r="K13" s="92">
        <v>15</v>
      </c>
      <c r="L13" s="92">
        <v>11</v>
      </c>
      <c r="M13" s="92" t="s">
        <v>48</v>
      </c>
      <c r="N13" s="92" t="s">
        <v>6</v>
      </c>
      <c r="O13" s="92" t="s">
        <v>33</v>
      </c>
    </row>
    <row r="14" spans="1:15" s="7" customFormat="1">
      <c r="A14" s="7" t="s">
        <v>596</v>
      </c>
      <c r="B14" s="92" t="s">
        <v>339</v>
      </c>
      <c r="C14" s="92" t="s">
        <v>559</v>
      </c>
      <c r="D14" s="95">
        <v>11.365</v>
      </c>
      <c r="E14" s="95">
        <v>11.51</v>
      </c>
      <c r="F14" s="95">
        <v>11.303000000000001</v>
      </c>
      <c r="G14" s="95">
        <v>11.308</v>
      </c>
      <c r="H14" s="95">
        <v>11.315</v>
      </c>
      <c r="I14" s="95">
        <v>11.315</v>
      </c>
      <c r="J14" s="95">
        <v>11.315</v>
      </c>
      <c r="K14" s="117">
        <v>15</v>
      </c>
      <c r="L14" s="92">
        <v>11</v>
      </c>
      <c r="M14" s="92" t="s">
        <v>48</v>
      </c>
      <c r="N14" s="92" t="s">
        <v>6</v>
      </c>
      <c r="O14" s="92" t="s">
        <v>33</v>
      </c>
    </row>
    <row r="15" spans="1:15" s="20" customFormat="1">
      <c r="A15" s="7" t="s">
        <v>145</v>
      </c>
      <c r="B15" s="92" t="s">
        <v>554</v>
      </c>
      <c r="C15" s="92" t="s">
        <v>555</v>
      </c>
      <c r="D15" s="95">
        <f>2.652/3</f>
        <v>0.88400000000000001</v>
      </c>
      <c r="E15" s="95">
        <f>3.036/3</f>
        <v>1.012</v>
      </c>
      <c r="F15" s="95">
        <f>3.058/3</f>
        <v>1.0193333333333332</v>
      </c>
      <c r="G15" s="95">
        <f>2.734/3</f>
        <v>0.91133333333333333</v>
      </c>
      <c r="H15" s="95">
        <f>2.732/3</f>
        <v>0.91066666666666674</v>
      </c>
      <c r="I15" s="95">
        <f>2.732/3</f>
        <v>0.91066666666666674</v>
      </c>
      <c r="J15" s="95">
        <f>2.763/3</f>
        <v>0.92099999999999993</v>
      </c>
      <c r="K15" s="92">
        <v>80</v>
      </c>
      <c r="L15" s="100">
        <v>1</v>
      </c>
      <c r="M15" s="92"/>
      <c r="N15" s="93" t="s">
        <v>424</v>
      </c>
      <c r="O15" s="92" t="s">
        <v>33</v>
      </c>
    </row>
    <row r="16" spans="1:15" s="20" customFormat="1">
      <c r="A16" s="7" t="s">
        <v>145</v>
      </c>
      <c r="B16" s="92" t="s">
        <v>554</v>
      </c>
      <c r="C16" s="92" t="s">
        <v>555</v>
      </c>
      <c r="D16" s="95">
        <f t="shared" ref="D16:D17" si="0">2.652/3</f>
        <v>0.88400000000000001</v>
      </c>
      <c r="E16" s="95">
        <f t="shared" ref="E16:E17" si="1">3.036/3</f>
        <v>1.012</v>
      </c>
      <c r="F16" s="95">
        <f t="shared" ref="F16:F17" si="2">3.058/3</f>
        <v>1.0193333333333332</v>
      </c>
      <c r="G16" s="95">
        <f t="shared" ref="G16:G17" si="3">2.734/3</f>
        <v>0.91133333333333333</v>
      </c>
      <c r="H16" s="95">
        <f t="shared" ref="H16:I17" si="4">2.732/3</f>
        <v>0.91066666666666674</v>
      </c>
      <c r="I16" s="95">
        <f t="shared" si="4"/>
        <v>0.91066666666666674</v>
      </c>
      <c r="J16" s="95">
        <f t="shared" ref="J16:J17" si="5">2.763/3</f>
        <v>0.92099999999999993</v>
      </c>
      <c r="K16" s="92">
        <v>80</v>
      </c>
      <c r="L16" s="100">
        <v>3</v>
      </c>
      <c r="M16" s="92"/>
      <c r="N16" s="93" t="s">
        <v>424</v>
      </c>
      <c r="O16" s="92" t="s">
        <v>33</v>
      </c>
    </row>
    <row r="17" spans="1:15" s="20" customFormat="1">
      <c r="A17" s="7" t="s">
        <v>145</v>
      </c>
      <c r="B17" s="92" t="s">
        <v>554</v>
      </c>
      <c r="C17" s="92" t="s">
        <v>555</v>
      </c>
      <c r="D17" s="95">
        <f t="shared" si="0"/>
        <v>0.88400000000000001</v>
      </c>
      <c r="E17" s="95">
        <f t="shared" si="1"/>
        <v>1.012</v>
      </c>
      <c r="F17" s="95">
        <f t="shared" si="2"/>
        <v>1.0193333333333332</v>
      </c>
      <c r="G17" s="95">
        <f t="shared" si="3"/>
        <v>0.91133333333333333</v>
      </c>
      <c r="H17" s="95">
        <f t="shared" si="4"/>
        <v>0.91066666666666674</v>
      </c>
      <c r="I17" s="95">
        <f t="shared" si="4"/>
        <v>0.91066666666666674</v>
      </c>
      <c r="J17" s="95">
        <f t="shared" si="5"/>
        <v>0.92099999999999993</v>
      </c>
      <c r="K17" s="92">
        <v>80</v>
      </c>
      <c r="L17" s="100">
        <v>5</v>
      </c>
      <c r="M17" s="92"/>
      <c r="N17" s="93" t="s">
        <v>424</v>
      </c>
      <c r="O17" s="92" t="s">
        <v>33</v>
      </c>
    </row>
    <row r="18" spans="1:15" s="20" customFormat="1">
      <c r="A18" s="7" t="s">
        <v>145</v>
      </c>
      <c r="B18" s="92" t="s">
        <v>554</v>
      </c>
      <c r="C18" s="92" t="s">
        <v>555</v>
      </c>
      <c r="D18" s="95">
        <f>0.189/3</f>
        <v>6.3E-2</v>
      </c>
      <c r="E18" s="95">
        <f>0.217/3</f>
        <v>7.2333333333333333E-2</v>
      </c>
      <c r="F18" s="95">
        <f>0.218/3</f>
        <v>7.2666666666666671E-2</v>
      </c>
      <c r="G18" s="95">
        <f>0.195/3</f>
        <v>6.5000000000000002E-2</v>
      </c>
      <c r="H18" s="95">
        <f>0.195/3</f>
        <v>6.5000000000000002E-2</v>
      </c>
      <c r="I18" s="95">
        <f>0.195/3</f>
        <v>6.5000000000000002E-2</v>
      </c>
      <c r="J18" s="95">
        <f>0.197/3</f>
        <v>6.5666666666666665E-2</v>
      </c>
      <c r="K18" s="92">
        <v>80</v>
      </c>
      <c r="L18" s="100">
        <v>1</v>
      </c>
      <c r="M18" s="92"/>
      <c r="N18" s="92" t="s">
        <v>56</v>
      </c>
      <c r="O18" s="92" t="s">
        <v>33</v>
      </c>
    </row>
    <row r="19" spans="1:15" s="20" customFormat="1">
      <c r="A19" s="7" t="s">
        <v>145</v>
      </c>
      <c r="B19" s="92" t="s">
        <v>554</v>
      </c>
      <c r="C19" s="92" t="s">
        <v>555</v>
      </c>
      <c r="D19" s="95">
        <f t="shared" ref="D19:D20" si="6">0.189/3</f>
        <v>6.3E-2</v>
      </c>
      <c r="E19" s="95">
        <f t="shared" ref="E19:E20" si="7">0.217/3</f>
        <v>7.2333333333333333E-2</v>
      </c>
      <c r="F19" s="95">
        <f t="shared" ref="F19:F20" si="8">0.218/3</f>
        <v>7.2666666666666671E-2</v>
      </c>
      <c r="G19" s="95">
        <f t="shared" ref="G19:I20" si="9">0.195/3</f>
        <v>6.5000000000000002E-2</v>
      </c>
      <c r="H19" s="95">
        <f t="shared" si="9"/>
        <v>6.5000000000000002E-2</v>
      </c>
      <c r="I19" s="95">
        <f t="shared" si="9"/>
        <v>6.5000000000000002E-2</v>
      </c>
      <c r="J19" s="95">
        <f t="shared" ref="J19:J20" si="10">0.197/3</f>
        <v>6.5666666666666665E-2</v>
      </c>
      <c r="K19" s="92">
        <v>80</v>
      </c>
      <c r="L19" s="100">
        <v>3</v>
      </c>
      <c r="M19" s="92"/>
      <c r="N19" s="92" t="s">
        <v>56</v>
      </c>
      <c r="O19" s="92" t="s">
        <v>33</v>
      </c>
    </row>
    <row r="20" spans="1:15" s="20" customFormat="1">
      <c r="A20" s="7" t="s">
        <v>145</v>
      </c>
      <c r="B20" s="92" t="s">
        <v>554</v>
      </c>
      <c r="C20" s="92" t="s">
        <v>555</v>
      </c>
      <c r="D20" s="95">
        <f t="shared" si="6"/>
        <v>6.3E-2</v>
      </c>
      <c r="E20" s="95">
        <f t="shared" si="7"/>
        <v>7.2333333333333333E-2</v>
      </c>
      <c r="F20" s="95">
        <f t="shared" si="8"/>
        <v>7.2666666666666671E-2</v>
      </c>
      <c r="G20" s="95">
        <f t="shared" si="9"/>
        <v>6.5000000000000002E-2</v>
      </c>
      <c r="H20" s="95">
        <f t="shared" si="9"/>
        <v>6.5000000000000002E-2</v>
      </c>
      <c r="I20" s="95">
        <f t="shared" si="9"/>
        <v>6.5000000000000002E-2</v>
      </c>
      <c r="J20" s="95">
        <f t="shared" si="10"/>
        <v>6.5666666666666665E-2</v>
      </c>
      <c r="K20" s="92">
        <v>80</v>
      </c>
      <c r="L20" s="100">
        <v>5</v>
      </c>
      <c r="M20" s="92"/>
      <c r="N20" s="92" t="s">
        <v>56</v>
      </c>
      <c r="O20" s="92" t="s">
        <v>33</v>
      </c>
    </row>
    <row r="21" spans="1:15" s="20" customFormat="1">
      <c r="A21" s="7" t="s">
        <v>145</v>
      </c>
      <c r="B21" s="92" t="s">
        <v>554</v>
      </c>
      <c r="C21" s="92" t="s">
        <v>555</v>
      </c>
      <c r="D21" s="95">
        <f>6.63/3</f>
        <v>2.21</v>
      </c>
      <c r="E21" s="95">
        <f>7.591/3</f>
        <v>2.5303333333333335</v>
      </c>
      <c r="F21" s="95">
        <f>7.646/3</f>
        <v>2.5486666666666666</v>
      </c>
      <c r="G21" s="95">
        <f>6.836/3</f>
        <v>2.2786666666666666</v>
      </c>
      <c r="H21" s="95">
        <f>6.829/3</f>
        <v>2.2763333333333331</v>
      </c>
      <c r="I21" s="95">
        <f>6.83/3</f>
        <v>2.2766666666666668</v>
      </c>
      <c r="J21" s="95">
        <f>6.907/3</f>
        <v>2.3023333333333333</v>
      </c>
      <c r="K21" s="92">
        <v>80</v>
      </c>
      <c r="L21" s="100">
        <v>1</v>
      </c>
      <c r="M21" s="92"/>
      <c r="N21" s="93" t="s">
        <v>8</v>
      </c>
      <c r="O21" s="92" t="s">
        <v>33</v>
      </c>
    </row>
    <row r="22" spans="1:15" s="20" customFormat="1">
      <c r="A22" s="7" t="s">
        <v>145</v>
      </c>
      <c r="B22" s="92" t="s">
        <v>554</v>
      </c>
      <c r="C22" s="92" t="s">
        <v>555</v>
      </c>
      <c r="D22" s="95">
        <f t="shared" ref="D22:D23" si="11">6.63/3</f>
        <v>2.21</v>
      </c>
      <c r="E22" s="95">
        <f t="shared" ref="E22:E23" si="12">7.591/3</f>
        <v>2.5303333333333335</v>
      </c>
      <c r="F22" s="95">
        <f t="shared" ref="F22:F23" si="13">7.646/3</f>
        <v>2.5486666666666666</v>
      </c>
      <c r="G22" s="95">
        <f t="shared" ref="G22:G23" si="14">6.836/3</f>
        <v>2.2786666666666666</v>
      </c>
      <c r="H22" s="95">
        <f t="shared" ref="H22:H23" si="15">6.829/3</f>
        <v>2.2763333333333331</v>
      </c>
      <c r="I22" s="95">
        <f t="shared" ref="I22:I23" si="16">6.83/3</f>
        <v>2.2766666666666668</v>
      </c>
      <c r="J22" s="95">
        <f t="shared" ref="J22:J23" si="17">6.907/3</f>
        <v>2.3023333333333333</v>
      </c>
      <c r="K22" s="92">
        <v>80</v>
      </c>
      <c r="L22" s="100">
        <v>3</v>
      </c>
      <c r="M22" s="92"/>
      <c r="N22" s="93" t="s">
        <v>8</v>
      </c>
      <c r="O22" s="92" t="s">
        <v>33</v>
      </c>
    </row>
    <row r="23" spans="1:15" s="20" customFormat="1">
      <c r="A23" s="7" t="s">
        <v>145</v>
      </c>
      <c r="B23" s="92" t="s">
        <v>554</v>
      </c>
      <c r="C23" s="92" t="s">
        <v>555</v>
      </c>
      <c r="D23" s="95">
        <f t="shared" si="11"/>
        <v>2.21</v>
      </c>
      <c r="E23" s="95">
        <f t="shared" si="12"/>
        <v>2.5303333333333335</v>
      </c>
      <c r="F23" s="95">
        <f t="shared" si="13"/>
        <v>2.5486666666666666</v>
      </c>
      <c r="G23" s="95">
        <f t="shared" si="14"/>
        <v>2.2786666666666666</v>
      </c>
      <c r="H23" s="95">
        <f t="shared" si="15"/>
        <v>2.2763333333333331</v>
      </c>
      <c r="I23" s="95">
        <f t="shared" si="16"/>
        <v>2.2766666666666668</v>
      </c>
      <c r="J23" s="95">
        <f t="shared" si="17"/>
        <v>2.3023333333333333</v>
      </c>
      <c r="K23" s="92">
        <v>80</v>
      </c>
      <c r="L23" s="100">
        <v>5</v>
      </c>
      <c r="M23" s="92"/>
      <c r="N23" s="93" t="s">
        <v>8</v>
      </c>
      <c r="O23" s="92" t="s">
        <v>33</v>
      </c>
    </row>
    <row r="24" spans="1:15" s="284" customFormat="1">
      <c r="A24" s="204" t="s">
        <v>146</v>
      </c>
      <c r="B24" s="162">
        <v>7</v>
      </c>
      <c r="C24" s="163" t="s">
        <v>715</v>
      </c>
      <c r="D24" s="156">
        <v>526.74569904467785</v>
      </c>
      <c r="E24" s="156">
        <v>591.98315548522726</v>
      </c>
      <c r="F24" s="156">
        <v>615.43580152595302</v>
      </c>
      <c r="G24" s="156">
        <v>594.81999396870174</v>
      </c>
      <c r="H24" s="156">
        <v>606.55540815048073</v>
      </c>
      <c r="I24" s="156">
        <v>616.2546694191401</v>
      </c>
      <c r="J24" s="156">
        <v>622.10457313381016</v>
      </c>
      <c r="K24" s="211">
        <v>100</v>
      </c>
      <c r="L24" s="164" t="s">
        <v>532</v>
      </c>
      <c r="M24" s="163" t="s">
        <v>76</v>
      </c>
      <c r="N24" s="164" t="s">
        <v>56</v>
      </c>
      <c r="O24" s="163" t="s">
        <v>32</v>
      </c>
    </row>
    <row r="25" spans="1:15" s="284" customFormat="1">
      <c r="A25" s="204" t="s">
        <v>146</v>
      </c>
      <c r="B25" s="162">
        <v>7</v>
      </c>
      <c r="C25" s="163" t="s">
        <v>716</v>
      </c>
      <c r="D25" s="156">
        <v>543.10703724989378</v>
      </c>
      <c r="E25" s="156">
        <v>610.37084547728773</v>
      </c>
      <c r="F25" s="156">
        <v>634.55195816591493</v>
      </c>
      <c r="G25" s="156">
        <v>613.29579948585501</v>
      </c>
      <c r="H25" s="156">
        <v>625.39572937370349</v>
      </c>
      <c r="I25" s="156">
        <v>635.39626105471768</v>
      </c>
      <c r="J25" s="156">
        <v>641.42786962871037</v>
      </c>
      <c r="K25" s="211">
        <v>100</v>
      </c>
      <c r="L25" s="164" t="s">
        <v>533</v>
      </c>
      <c r="M25" s="163" t="s">
        <v>88</v>
      </c>
      <c r="N25" s="164" t="s">
        <v>56</v>
      </c>
      <c r="O25" s="163" t="s">
        <v>32</v>
      </c>
    </row>
    <row r="26" spans="1:15" s="284" customFormat="1">
      <c r="A26" s="204" t="s">
        <v>146</v>
      </c>
      <c r="B26" s="162">
        <v>7</v>
      </c>
      <c r="C26" s="163" t="s">
        <v>717</v>
      </c>
      <c r="D26" s="156">
        <v>1131.8434107264875</v>
      </c>
      <c r="E26" s="156">
        <v>1259.9233129225713</v>
      </c>
      <c r="F26" s="156">
        <v>1300.9471661428206</v>
      </c>
      <c r="G26" s="156">
        <v>1254.9113988061181</v>
      </c>
      <c r="H26" s="156">
        <v>1275.5756627757282</v>
      </c>
      <c r="I26" s="156">
        <v>1292.728696146808</v>
      </c>
      <c r="J26" s="156">
        <v>1303.2509365785409</v>
      </c>
      <c r="K26" s="211">
        <v>100</v>
      </c>
      <c r="L26" s="164" t="s">
        <v>191</v>
      </c>
      <c r="M26" s="163" t="s">
        <v>90</v>
      </c>
      <c r="N26" s="164" t="s">
        <v>56</v>
      </c>
      <c r="O26" s="163" t="s">
        <v>32</v>
      </c>
    </row>
    <row r="27" spans="1:15" s="284" customFormat="1">
      <c r="A27" s="204" t="s">
        <v>146</v>
      </c>
      <c r="B27" s="162">
        <v>7</v>
      </c>
      <c r="C27" s="163" t="s">
        <v>718</v>
      </c>
      <c r="D27" s="156">
        <v>138.10771583403323</v>
      </c>
      <c r="E27" s="156">
        <v>155.21235686321859</v>
      </c>
      <c r="F27" s="156">
        <v>161.36141774937877</v>
      </c>
      <c r="G27" s="156">
        <v>155.95614895084893</v>
      </c>
      <c r="H27" s="156">
        <v>159.03306301004534</v>
      </c>
      <c r="I27" s="156">
        <v>161.57611712804098</v>
      </c>
      <c r="J27" s="156">
        <v>163.10990628160667</v>
      </c>
      <c r="K27" s="211">
        <v>100</v>
      </c>
      <c r="L27" s="164" t="s">
        <v>534</v>
      </c>
      <c r="M27" s="163" t="s">
        <v>721</v>
      </c>
      <c r="N27" s="164" t="s">
        <v>56</v>
      </c>
      <c r="O27" s="163" t="s">
        <v>32</v>
      </c>
    </row>
    <row r="28" spans="1:15" s="284" customFormat="1">
      <c r="A28" s="204" t="s">
        <v>146</v>
      </c>
      <c r="B28" s="162">
        <v>7</v>
      </c>
      <c r="C28" s="163" t="s">
        <v>719</v>
      </c>
      <c r="D28" s="156">
        <v>603.13280738511025</v>
      </c>
      <c r="E28" s="156">
        <v>677.83080742766015</v>
      </c>
      <c r="F28" s="156">
        <v>704.68448705486207</v>
      </c>
      <c r="G28" s="156">
        <v>681.07903586453062</v>
      </c>
      <c r="H28" s="156">
        <v>694.5162852129738</v>
      </c>
      <c r="I28" s="156">
        <v>705.62210475575853</v>
      </c>
      <c r="J28" s="156">
        <v>712.32034426062887</v>
      </c>
      <c r="K28" s="211">
        <v>100</v>
      </c>
      <c r="L28" s="164" t="s">
        <v>535</v>
      </c>
      <c r="M28" s="163" t="s">
        <v>73</v>
      </c>
      <c r="N28" s="164" t="s">
        <v>56</v>
      </c>
      <c r="O28" s="163" t="s">
        <v>32</v>
      </c>
    </row>
    <row r="29" spans="1:15" s="284" customFormat="1">
      <c r="A29" s="204" t="s">
        <v>146</v>
      </c>
      <c r="B29" s="162">
        <v>7</v>
      </c>
      <c r="C29" s="163" t="s">
        <v>720</v>
      </c>
      <c r="D29" s="156">
        <v>267.69299193023056</v>
      </c>
      <c r="E29" s="156">
        <v>300.8467698009589</v>
      </c>
      <c r="F29" s="156">
        <v>312.76544137000775</v>
      </c>
      <c r="G29" s="156">
        <v>302.28845557578603</v>
      </c>
      <c r="H29" s="156">
        <v>308.25241150282704</v>
      </c>
      <c r="I29" s="156">
        <v>313.18159132001284</v>
      </c>
      <c r="J29" s="156">
        <v>316.15452157976421</v>
      </c>
      <c r="K29" s="211">
        <v>100</v>
      </c>
      <c r="L29" s="164" t="s">
        <v>536</v>
      </c>
      <c r="M29" s="163" t="s">
        <v>722</v>
      </c>
      <c r="N29" s="164" t="s">
        <v>56</v>
      </c>
      <c r="O29" s="163" t="s">
        <v>32</v>
      </c>
    </row>
    <row r="30" spans="1:15" s="20" customFormat="1">
      <c r="A30" s="204" t="s">
        <v>146</v>
      </c>
      <c r="B30" s="162">
        <v>6</v>
      </c>
      <c r="C30" s="163" t="s">
        <v>449</v>
      </c>
      <c r="D30" s="156">
        <v>13.645332628080499</v>
      </c>
      <c r="E30" s="156">
        <v>13.960693359842002</v>
      </c>
      <c r="F30" s="156">
        <v>13.966596664180395</v>
      </c>
      <c r="G30" s="156">
        <v>13.966596664180395</v>
      </c>
      <c r="H30" s="156">
        <v>13.966596664180395</v>
      </c>
      <c r="I30" s="156">
        <v>13.966596664180395</v>
      </c>
      <c r="J30" s="156">
        <v>13.966596664180395</v>
      </c>
      <c r="K30" s="163">
        <v>100</v>
      </c>
      <c r="L30" s="164" t="s">
        <v>532</v>
      </c>
      <c r="M30" s="163" t="s">
        <v>411</v>
      </c>
      <c r="N30" s="164"/>
      <c r="O30" s="163" t="s">
        <v>32</v>
      </c>
    </row>
    <row r="31" spans="1:15" s="20" customFormat="1">
      <c r="A31" s="204" t="s">
        <v>146</v>
      </c>
      <c r="B31" s="162">
        <v>6</v>
      </c>
      <c r="C31" s="163" t="s">
        <v>449</v>
      </c>
      <c r="D31" s="156">
        <v>13.645332628080499</v>
      </c>
      <c r="E31" s="156">
        <v>13.960693359842002</v>
      </c>
      <c r="F31" s="156">
        <v>13.966596664180395</v>
      </c>
      <c r="G31" s="156">
        <v>13.966596664180395</v>
      </c>
      <c r="H31" s="156">
        <v>13.966596664180395</v>
      </c>
      <c r="I31" s="156">
        <v>13.966596664180395</v>
      </c>
      <c r="J31" s="156">
        <v>13.966596664180395</v>
      </c>
      <c r="K31" s="163">
        <v>100</v>
      </c>
      <c r="L31" s="164" t="s">
        <v>533</v>
      </c>
      <c r="M31" s="163" t="s">
        <v>411</v>
      </c>
      <c r="N31" s="164"/>
      <c r="O31" s="163" t="s">
        <v>32</v>
      </c>
    </row>
    <row r="32" spans="1:15" s="20" customFormat="1">
      <c r="A32" s="204" t="s">
        <v>146</v>
      </c>
      <c r="B32" s="162">
        <v>6</v>
      </c>
      <c r="C32" s="163" t="s">
        <v>449</v>
      </c>
      <c r="D32" s="156">
        <v>16.12473374342343</v>
      </c>
      <c r="E32" s="156">
        <v>16.497396541127671</v>
      </c>
      <c r="F32" s="156">
        <v>16.504372494976323</v>
      </c>
      <c r="G32" s="156">
        <v>16.504372494976323</v>
      </c>
      <c r="H32" s="156">
        <v>16.504372494976323</v>
      </c>
      <c r="I32" s="156">
        <v>16.504372494976323</v>
      </c>
      <c r="J32" s="156">
        <v>16.504372494976323</v>
      </c>
      <c r="K32" s="163">
        <v>100</v>
      </c>
      <c r="L32" s="164" t="s">
        <v>191</v>
      </c>
      <c r="M32" s="163" t="s">
        <v>411</v>
      </c>
      <c r="N32" s="164"/>
      <c r="O32" s="163" t="s">
        <v>32</v>
      </c>
    </row>
    <row r="33" spans="1:15" s="20" customFormat="1">
      <c r="A33" s="204" t="s">
        <v>146</v>
      </c>
      <c r="B33" s="162">
        <v>6</v>
      </c>
      <c r="C33" s="163" t="s">
        <v>449</v>
      </c>
      <c r="D33" s="156">
        <v>11.671413322170821</v>
      </c>
      <c r="E33" s="156">
        <v>11.941154305867787</v>
      </c>
      <c r="F33" s="156">
        <v>11.946203644478864</v>
      </c>
      <c r="G33" s="156">
        <v>11.946203644478864</v>
      </c>
      <c r="H33" s="156">
        <v>11.946203644478864</v>
      </c>
      <c r="I33" s="156">
        <v>11.946203644478864</v>
      </c>
      <c r="J33" s="156">
        <v>11.946203644478864</v>
      </c>
      <c r="K33" s="163">
        <v>100</v>
      </c>
      <c r="L33" s="164" t="s">
        <v>534</v>
      </c>
      <c r="M33" s="163" t="s">
        <v>411</v>
      </c>
      <c r="N33" s="164"/>
      <c r="O33" s="163" t="s">
        <v>32</v>
      </c>
    </row>
    <row r="34" spans="1:15" s="20" customFormat="1">
      <c r="A34" s="204" t="s">
        <v>146</v>
      </c>
      <c r="B34" s="162">
        <v>6</v>
      </c>
      <c r="C34" s="163" t="s">
        <v>449</v>
      </c>
      <c r="D34" s="156">
        <v>29.470149824305196</v>
      </c>
      <c r="E34" s="156">
        <v>30.15124190663294</v>
      </c>
      <c r="F34" s="156">
        <v>30.163991413592768</v>
      </c>
      <c r="G34" s="156">
        <v>30.163991413592768</v>
      </c>
      <c r="H34" s="156">
        <v>30.163991413592768</v>
      </c>
      <c r="I34" s="156">
        <v>30.163991413592768</v>
      </c>
      <c r="J34" s="156">
        <v>30.163991413592768</v>
      </c>
      <c r="K34" s="163">
        <v>100</v>
      </c>
      <c r="L34" s="164" t="s">
        <v>535</v>
      </c>
      <c r="M34" s="163" t="s">
        <v>411</v>
      </c>
      <c r="N34" s="164"/>
      <c r="O34" s="163" t="s">
        <v>32</v>
      </c>
    </row>
    <row r="35" spans="1:15" s="20" customFormat="1">
      <c r="A35" s="204" t="s">
        <v>146</v>
      </c>
      <c r="B35" s="162">
        <v>6</v>
      </c>
      <c r="C35" s="163" t="s">
        <v>449</v>
      </c>
      <c r="D35" s="156">
        <v>3.2790378539395602</v>
      </c>
      <c r="E35" s="156">
        <v>3.3548205266876052</v>
      </c>
      <c r="F35" s="156">
        <v>3.356239118591263</v>
      </c>
      <c r="G35" s="156">
        <v>3.356239118591263</v>
      </c>
      <c r="H35" s="156">
        <v>3.356239118591263</v>
      </c>
      <c r="I35" s="156">
        <v>3.356239118591263</v>
      </c>
      <c r="J35" s="156">
        <v>3.356239118591263</v>
      </c>
      <c r="K35" s="163">
        <v>100</v>
      </c>
      <c r="L35" s="164" t="s">
        <v>536</v>
      </c>
      <c r="M35" s="163" t="s">
        <v>411</v>
      </c>
      <c r="N35" s="164"/>
      <c r="O35" s="163" t="s">
        <v>32</v>
      </c>
    </row>
    <row r="36" spans="1:15" s="20" customFormat="1">
      <c r="A36" s="204" t="s">
        <v>146</v>
      </c>
      <c r="B36" s="162">
        <v>6</v>
      </c>
      <c r="C36" s="222" t="s">
        <v>324</v>
      </c>
      <c r="D36" s="156">
        <v>9.4010121588903335</v>
      </c>
      <c r="E36" s="156">
        <v>9.1462379716544397</v>
      </c>
      <c r="F36" s="156">
        <v>8.8981438393277799</v>
      </c>
      <c r="G36" s="156">
        <v>8.5798314553970787</v>
      </c>
      <c r="H36" s="156">
        <v>8.5798314553970787</v>
      </c>
      <c r="I36" s="156">
        <v>8.2691312270606225</v>
      </c>
      <c r="J36" s="156">
        <v>8.2691312270606225</v>
      </c>
      <c r="K36" s="163">
        <v>100</v>
      </c>
      <c r="L36" s="164" t="s">
        <v>532</v>
      </c>
      <c r="M36" s="163" t="s">
        <v>411</v>
      </c>
      <c r="N36" s="164"/>
      <c r="O36" s="163" t="s">
        <v>33</v>
      </c>
    </row>
    <row r="37" spans="1:15" s="20" customFormat="1">
      <c r="A37" s="204" t="s">
        <v>146</v>
      </c>
      <c r="B37" s="162">
        <v>6</v>
      </c>
      <c r="C37" s="222" t="s">
        <v>324</v>
      </c>
      <c r="D37" s="156">
        <v>9.4010121588903335</v>
      </c>
      <c r="E37" s="156">
        <v>9.1462379716544397</v>
      </c>
      <c r="F37" s="156">
        <v>8.8981438393277799</v>
      </c>
      <c r="G37" s="156">
        <v>8.5798314553970787</v>
      </c>
      <c r="H37" s="156">
        <v>8.5798314553970787</v>
      </c>
      <c r="I37" s="156">
        <v>8.2691312270606225</v>
      </c>
      <c r="J37" s="156">
        <v>8.2691312270606225</v>
      </c>
      <c r="K37" s="163">
        <v>100</v>
      </c>
      <c r="L37" s="164" t="s">
        <v>533</v>
      </c>
      <c r="M37" s="163" t="s">
        <v>411</v>
      </c>
      <c r="N37" s="164"/>
      <c r="O37" s="163" t="s">
        <v>33</v>
      </c>
    </row>
    <row r="38" spans="1:15" s="20" customFormat="1">
      <c r="A38" s="204" t="s">
        <v>146</v>
      </c>
      <c r="B38" s="162">
        <v>6</v>
      </c>
      <c r="C38" s="222" t="s">
        <v>324</v>
      </c>
      <c r="D38" s="156">
        <v>11.109206503976377</v>
      </c>
      <c r="E38" s="156">
        <v>10.808139022087238</v>
      </c>
      <c r="F38" s="156">
        <v>10.514965382711045</v>
      </c>
      <c r="G38" s="156">
        <v>10.13881460808248</v>
      </c>
      <c r="H38" s="156">
        <v>10.13881460808248</v>
      </c>
      <c r="I38" s="156">
        <v>9.7716591423640171</v>
      </c>
      <c r="J38" s="156">
        <v>9.7716591423640171</v>
      </c>
      <c r="K38" s="163">
        <v>100</v>
      </c>
      <c r="L38" s="164" t="s">
        <v>191</v>
      </c>
      <c r="M38" s="163" t="s">
        <v>411</v>
      </c>
      <c r="N38" s="164"/>
      <c r="O38" s="163" t="s">
        <v>33</v>
      </c>
    </row>
    <row r="39" spans="1:15" s="20" customFormat="1">
      <c r="A39" s="204" t="s">
        <v>146</v>
      </c>
      <c r="B39" s="162">
        <v>6</v>
      </c>
      <c r="C39" s="222" t="s">
        <v>324</v>
      </c>
      <c r="D39" s="156">
        <v>8.0410717381388856</v>
      </c>
      <c r="E39" s="156">
        <v>7.823152913871386</v>
      </c>
      <c r="F39" s="156">
        <v>7.6109478148743142</v>
      </c>
      <c r="G39" s="156">
        <v>7.3386821618718097</v>
      </c>
      <c r="H39" s="156">
        <v>7.3386821618718097</v>
      </c>
      <c r="I39" s="156">
        <v>7.0729274981309551</v>
      </c>
      <c r="J39" s="156">
        <v>7.0729274981309551</v>
      </c>
      <c r="K39" s="163">
        <v>100</v>
      </c>
      <c r="L39" s="164" t="s">
        <v>534</v>
      </c>
      <c r="M39" s="163" t="s">
        <v>411</v>
      </c>
      <c r="N39" s="164"/>
      <c r="O39" s="163" t="s">
        <v>33</v>
      </c>
    </row>
    <row r="40" spans="1:15" s="20" customFormat="1">
      <c r="A40" s="204" t="s">
        <v>146</v>
      </c>
      <c r="B40" s="162">
        <v>6</v>
      </c>
      <c r="C40" s="222" t="s">
        <v>324</v>
      </c>
      <c r="D40" s="156">
        <v>20.303589833528722</v>
      </c>
      <c r="E40" s="156">
        <v>19.753347954209758</v>
      </c>
      <c r="F40" s="156">
        <v>19.217533148555866</v>
      </c>
      <c r="G40" s="156">
        <v>18.530066312748207</v>
      </c>
      <c r="H40" s="156">
        <v>18.530066312748207</v>
      </c>
      <c r="I40" s="156">
        <v>17.85903963065191</v>
      </c>
      <c r="J40" s="156">
        <v>17.85903963065191</v>
      </c>
      <c r="K40" s="163">
        <v>100</v>
      </c>
      <c r="L40" s="164" t="s">
        <v>535</v>
      </c>
      <c r="M40" s="163" t="s">
        <v>411</v>
      </c>
      <c r="N40" s="164"/>
      <c r="O40" s="163" t="s">
        <v>33</v>
      </c>
    </row>
    <row r="41" spans="1:15" s="20" customFormat="1">
      <c r="A41" s="204" t="s">
        <v>146</v>
      </c>
      <c r="B41" s="162">
        <v>6</v>
      </c>
      <c r="C41" s="222" t="s">
        <v>324</v>
      </c>
      <c r="D41" s="156">
        <v>2.2591076065753506</v>
      </c>
      <c r="E41" s="156">
        <v>2.1978841665227424</v>
      </c>
      <c r="F41" s="156">
        <v>2.1382659752032209</v>
      </c>
      <c r="G41" s="156">
        <v>2.0617740065033465</v>
      </c>
      <c r="H41" s="156">
        <v>2.0617740065033465</v>
      </c>
      <c r="I41" s="156">
        <v>1.9871112747318735</v>
      </c>
      <c r="J41" s="156">
        <v>1.9871112747318735</v>
      </c>
      <c r="K41" s="163">
        <v>100</v>
      </c>
      <c r="L41" s="164" t="s">
        <v>536</v>
      </c>
      <c r="M41" s="163" t="s">
        <v>411</v>
      </c>
      <c r="N41" s="164"/>
      <c r="O41" s="163" t="s">
        <v>33</v>
      </c>
    </row>
    <row r="42" spans="1:15" s="20" customFormat="1">
      <c r="A42" s="7" t="s">
        <v>146</v>
      </c>
      <c r="B42" s="102">
        <v>7</v>
      </c>
      <c r="C42" s="103" t="s">
        <v>70</v>
      </c>
      <c r="D42" s="223">
        <v>2.3397000000000001</v>
      </c>
      <c r="E42" s="223">
        <v>2.1352499999999996</v>
      </c>
      <c r="F42" s="223">
        <v>2.17605</v>
      </c>
      <c r="G42" s="223">
        <v>2.1683999999999997</v>
      </c>
      <c r="H42" s="223">
        <v>2.1683999999999997</v>
      </c>
      <c r="I42" s="223">
        <v>2.1683999999999997</v>
      </c>
      <c r="J42" s="223">
        <v>2.1683999999999997</v>
      </c>
      <c r="K42" s="103">
        <v>15</v>
      </c>
      <c r="L42" s="104">
        <v>11</v>
      </c>
      <c r="M42" s="92" t="s">
        <v>48</v>
      </c>
      <c r="N42" s="103" t="s">
        <v>4</v>
      </c>
      <c r="O42" s="103" t="s">
        <v>32</v>
      </c>
    </row>
    <row r="43" spans="1:15" s="20" customFormat="1">
      <c r="A43" s="7" t="s">
        <v>146</v>
      </c>
      <c r="B43" s="102">
        <v>7</v>
      </c>
      <c r="C43" s="103" t="s">
        <v>71</v>
      </c>
      <c r="D43" s="223">
        <v>0.75750000000000006</v>
      </c>
      <c r="E43" s="223">
        <v>0.77400000000000002</v>
      </c>
      <c r="F43" s="223">
        <v>0.77400000000000002</v>
      </c>
      <c r="G43" s="223">
        <v>0.77400000000000002</v>
      </c>
      <c r="H43" s="223">
        <v>0.77400000000000002</v>
      </c>
      <c r="I43" s="223">
        <v>0.77400000000000002</v>
      </c>
      <c r="J43" s="223">
        <v>0.77400000000000002</v>
      </c>
      <c r="K43" s="103">
        <v>75</v>
      </c>
      <c r="L43" s="104" t="s">
        <v>72</v>
      </c>
      <c r="M43" s="92" t="s">
        <v>73</v>
      </c>
      <c r="N43" s="103" t="s">
        <v>4</v>
      </c>
      <c r="O43" s="103" t="s">
        <v>32</v>
      </c>
    </row>
    <row r="44" spans="1:15" s="20" customFormat="1">
      <c r="A44" s="204" t="s">
        <v>146</v>
      </c>
      <c r="B44" s="162">
        <v>16</v>
      </c>
      <c r="C44" s="163" t="s">
        <v>74</v>
      </c>
      <c r="D44" s="156">
        <v>10.882700528853178</v>
      </c>
      <c r="E44" s="156">
        <v>10.924502299488676</v>
      </c>
      <c r="F44" s="156">
        <v>10.745459338170603</v>
      </c>
      <c r="G44" s="156">
        <v>10.431521825825824</v>
      </c>
      <c r="H44" s="156">
        <v>10.657068243681518</v>
      </c>
      <c r="I44" s="156">
        <v>10.592541357617076</v>
      </c>
      <c r="J44" s="156">
        <v>10.60658982095609</v>
      </c>
      <c r="K44" s="163">
        <v>75</v>
      </c>
      <c r="L44" s="164" t="s">
        <v>72</v>
      </c>
      <c r="M44" s="165" t="s">
        <v>94</v>
      </c>
      <c r="N44" s="163" t="s">
        <v>74</v>
      </c>
      <c r="O44" s="163" t="s">
        <v>32</v>
      </c>
    </row>
    <row r="45" spans="1:15" s="20" customFormat="1">
      <c r="A45" s="204" t="s">
        <v>146</v>
      </c>
      <c r="B45" s="162">
        <v>16</v>
      </c>
      <c r="C45" s="163" t="s">
        <v>74</v>
      </c>
      <c r="D45" s="156">
        <v>31.177736717311905</v>
      </c>
      <c r="E45" s="156">
        <v>31.297494179693203</v>
      </c>
      <c r="F45" s="156">
        <v>30.78455584290236</v>
      </c>
      <c r="G45" s="156">
        <v>29.88515949549549</v>
      </c>
      <c r="H45" s="156">
        <v>30.531325106208907</v>
      </c>
      <c r="I45" s="156">
        <v>30.346462694570246</v>
      </c>
      <c r="J45" s="156">
        <v>30.38670999257365</v>
      </c>
      <c r="K45" s="163">
        <v>75</v>
      </c>
      <c r="L45" s="164" t="s">
        <v>75</v>
      </c>
      <c r="M45" s="165" t="s">
        <v>94</v>
      </c>
      <c r="N45" s="163" t="s">
        <v>74</v>
      </c>
      <c r="O45" s="163" t="s">
        <v>32</v>
      </c>
    </row>
    <row r="46" spans="1:15" s="20" customFormat="1">
      <c r="A46" s="204" t="s">
        <v>146</v>
      </c>
      <c r="B46" s="162">
        <v>16</v>
      </c>
      <c r="C46" s="163" t="s">
        <v>74</v>
      </c>
      <c r="D46" s="156">
        <v>10.977429918188459</v>
      </c>
      <c r="E46" s="156">
        <v>11.019595555880205</v>
      </c>
      <c r="F46" s="156">
        <v>10.838994099926955</v>
      </c>
      <c r="G46" s="156">
        <v>10.522323891891892</v>
      </c>
      <c r="H46" s="156">
        <v>10.749833597662528</v>
      </c>
      <c r="I46" s="156">
        <v>10.684745031848065</v>
      </c>
      <c r="J46" s="156">
        <v>10.698915781227173</v>
      </c>
      <c r="K46" s="163">
        <v>75</v>
      </c>
      <c r="L46" s="164" t="s">
        <v>57</v>
      </c>
      <c r="M46" s="165" t="s">
        <v>94</v>
      </c>
      <c r="N46" s="163" t="s">
        <v>74</v>
      </c>
      <c r="O46" s="163" t="s">
        <v>32</v>
      </c>
    </row>
    <row r="47" spans="1:15" s="20" customFormat="1">
      <c r="A47" s="204" t="s">
        <v>146</v>
      </c>
      <c r="B47" s="162">
        <v>16</v>
      </c>
      <c r="C47" s="163" t="s">
        <v>74</v>
      </c>
      <c r="D47" s="156">
        <v>19.456592835646457</v>
      </c>
      <c r="E47" s="156">
        <v>19.531327964937912</v>
      </c>
      <c r="F47" s="156">
        <v>19.211226719000081</v>
      </c>
      <c r="G47" s="156">
        <v>18.649954786786786</v>
      </c>
      <c r="H47" s="156">
        <v>19.05319705244704</v>
      </c>
      <c r="I47" s="156">
        <v>18.937832915964613</v>
      </c>
      <c r="J47" s="156">
        <v>18.96294940524308</v>
      </c>
      <c r="K47" s="163">
        <v>75</v>
      </c>
      <c r="L47" s="164" t="s">
        <v>531</v>
      </c>
      <c r="M47" s="165" t="s">
        <v>94</v>
      </c>
      <c r="N47" s="163" t="s">
        <v>74</v>
      </c>
      <c r="O47" s="163" t="s">
        <v>32</v>
      </c>
    </row>
    <row r="48" spans="1:15" s="20" customFormat="1">
      <c r="A48" s="204" t="s">
        <v>146</v>
      </c>
      <c r="B48" s="162">
        <v>16</v>
      </c>
      <c r="C48" s="163" t="s">
        <v>701</v>
      </c>
      <c r="D48" s="156">
        <v>11.190443605299597</v>
      </c>
      <c r="E48" s="156">
        <v>11.441665185081828</v>
      </c>
      <c r="F48" s="156">
        <v>11.677185416127667</v>
      </c>
      <c r="G48" s="156">
        <v>11.677185416127667</v>
      </c>
      <c r="H48" s="156">
        <v>11.677185416127667</v>
      </c>
      <c r="I48" s="156">
        <v>11.677185416127667</v>
      </c>
      <c r="J48" s="156">
        <v>11.677185416127667</v>
      </c>
      <c r="K48" s="211">
        <v>89</v>
      </c>
      <c r="L48" s="164" t="s">
        <v>75</v>
      </c>
      <c r="M48" s="165" t="s">
        <v>94</v>
      </c>
      <c r="N48" s="163" t="s">
        <v>17</v>
      </c>
      <c r="O48" s="163" t="s">
        <v>32</v>
      </c>
    </row>
    <row r="49" spans="1:15" s="20" customFormat="1">
      <c r="A49" s="204" t="s">
        <v>146</v>
      </c>
      <c r="B49" s="162">
        <v>16</v>
      </c>
      <c r="C49" s="163" t="s">
        <v>597</v>
      </c>
      <c r="D49" s="156">
        <v>61.219558723182011</v>
      </c>
      <c r="E49" s="156">
        <v>50.561113757421253</v>
      </c>
      <c r="F49" s="156">
        <v>54.358069325379873</v>
      </c>
      <c r="G49" s="156">
        <v>54.358069325379873</v>
      </c>
      <c r="H49" s="156">
        <v>54.358069325379873</v>
      </c>
      <c r="I49" s="156">
        <v>54.358069325379873</v>
      </c>
      <c r="J49" s="156">
        <v>54.358069325379873</v>
      </c>
      <c r="K49" s="211">
        <v>89</v>
      </c>
      <c r="L49" s="164" t="s">
        <v>75</v>
      </c>
      <c r="M49" s="165" t="s">
        <v>94</v>
      </c>
      <c r="N49" s="163" t="s">
        <v>17</v>
      </c>
      <c r="O49" s="163" t="s">
        <v>32</v>
      </c>
    </row>
    <row r="50" spans="1:15" s="20" customFormat="1">
      <c r="A50" s="204" t="s">
        <v>146</v>
      </c>
      <c r="B50" s="162">
        <v>16</v>
      </c>
      <c r="C50" s="163" t="s">
        <v>598</v>
      </c>
      <c r="D50" s="156">
        <v>15.611758687716993</v>
      </c>
      <c r="E50" s="156">
        <v>17.626149369720824</v>
      </c>
      <c r="F50" s="156">
        <v>18.392744631556305</v>
      </c>
      <c r="G50" s="156">
        <v>18.392744631556305</v>
      </c>
      <c r="H50" s="156">
        <v>18.392744631556305</v>
      </c>
      <c r="I50" s="156">
        <v>18.392744631556305</v>
      </c>
      <c r="J50" s="156">
        <v>18.392744631556305</v>
      </c>
      <c r="K50" s="211">
        <v>89</v>
      </c>
      <c r="L50" s="164" t="s">
        <v>75</v>
      </c>
      <c r="M50" s="165" t="s">
        <v>94</v>
      </c>
      <c r="N50" s="163" t="s">
        <v>17</v>
      </c>
      <c r="O50" s="163" t="s">
        <v>32</v>
      </c>
    </row>
    <row r="51" spans="1:15" s="20" customFormat="1">
      <c r="A51" s="204" t="s">
        <v>146</v>
      </c>
      <c r="B51" s="162">
        <v>16</v>
      </c>
      <c r="C51" s="163" t="s">
        <v>599</v>
      </c>
      <c r="D51" s="156">
        <v>10.780361320655077</v>
      </c>
      <c r="E51" s="156">
        <v>14.596712672346884</v>
      </c>
      <c r="F51" s="156">
        <v>25.057505365778976</v>
      </c>
      <c r="G51" s="156">
        <v>25.057505365778976</v>
      </c>
      <c r="H51" s="156">
        <v>25.057505365778976</v>
      </c>
      <c r="I51" s="156">
        <v>25.057505365778976</v>
      </c>
      <c r="J51" s="156">
        <v>25.057505365778976</v>
      </c>
      <c r="K51" s="211">
        <v>89</v>
      </c>
      <c r="L51" s="164" t="s">
        <v>75</v>
      </c>
      <c r="M51" s="165" t="s">
        <v>94</v>
      </c>
      <c r="N51" s="163" t="s">
        <v>17</v>
      </c>
      <c r="O51" s="163" t="s">
        <v>32</v>
      </c>
    </row>
    <row r="52" spans="1:15" s="20" customFormat="1">
      <c r="A52" s="204" t="s">
        <v>146</v>
      </c>
      <c r="B52" s="162">
        <v>16</v>
      </c>
      <c r="C52" s="163" t="s">
        <v>600</v>
      </c>
      <c r="D52" s="156">
        <v>20.694377634561139</v>
      </c>
      <c r="E52" s="156">
        <v>21.320584366518315</v>
      </c>
      <c r="F52" s="156">
        <v>22.720775230304564</v>
      </c>
      <c r="G52" s="156">
        <v>22.720775230304564</v>
      </c>
      <c r="H52" s="156">
        <v>22.720775230304564</v>
      </c>
      <c r="I52" s="156">
        <v>22.720775230304564</v>
      </c>
      <c r="J52" s="156">
        <v>22.720775230304564</v>
      </c>
      <c r="K52" s="211">
        <v>89</v>
      </c>
      <c r="L52" s="164" t="s">
        <v>75</v>
      </c>
      <c r="M52" s="165" t="s">
        <v>94</v>
      </c>
      <c r="N52" s="163" t="s">
        <v>17</v>
      </c>
      <c r="O52" s="163" t="s">
        <v>32</v>
      </c>
    </row>
    <row r="53" spans="1:15" s="20" customFormat="1">
      <c r="A53" s="204" t="s">
        <v>146</v>
      </c>
      <c r="B53" s="162">
        <v>16</v>
      </c>
      <c r="C53" s="163" t="s">
        <v>601</v>
      </c>
      <c r="D53" s="156">
        <v>2.0735016419525913</v>
      </c>
      <c r="E53" s="156">
        <v>1.9395783733186824</v>
      </c>
      <c r="F53" s="156">
        <v>1.9515852870582742</v>
      </c>
      <c r="G53" s="156">
        <v>1.9515852870582742</v>
      </c>
      <c r="H53" s="156">
        <v>1.9515852870582742</v>
      </c>
      <c r="I53" s="156">
        <v>1.9515852870582742</v>
      </c>
      <c r="J53" s="156">
        <v>1.9515852870582742</v>
      </c>
      <c r="K53" s="211">
        <v>89</v>
      </c>
      <c r="L53" s="164" t="s">
        <v>72</v>
      </c>
      <c r="M53" s="165" t="s">
        <v>94</v>
      </c>
      <c r="N53" s="163" t="s">
        <v>17</v>
      </c>
      <c r="O53" s="163" t="s">
        <v>32</v>
      </c>
    </row>
    <row r="54" spans="1:15" s="20" customFormat="1">
      <c r="A54" s="204" t="s">
        <v>146</v>
      </c>
      <c r="B54" s="162">
        <v>16</v>
      </c>
      <c r="C54" s="163" t="s">
        <v>602</v>
      </c>
      <c r="D54" s="156">
        <v>147.59008061188263</v>
      </c>
      <c r="E54" s="156">
        <v>164.80984761674787</v>
      </c>
      <c r="F54" s="156">
        <v>156.93644696202156</v>
      </c>
      <c r="G54" s="156">
        <v>155.36293907191137</v>
      </c>
      <c r="H54" s="156">
        <v>155.31740202408866</v>
      </c>
      <c r="I54" s="156">
        <v>155.76059923210536</v>
      </c>
      <c r="J54" s="156">
        <v>155.60685533797144</v>
      </c>
      <c r="K54" s="211">
        <v>89</v>
      </c>
      <c r="L54" s="164" t="s">
        <v>75</v>
      </c>
      <c r="M54" s="165" t="s">
        <v>94</v>
      </c>
      <c r="N54" s="163" t="s">
        <v>17</v>
      </c>
      <c r="O54" s="163" t="s">
        <v>33</v>
      </c>
    </row>
    <row r="55" spans="1:15" s="20" customFormat="1">
      <c r="A55" s="204" t="s">
        <v>146</v>
      </c>
      <c r="B55" s="162">
        <v>16</v>
      </c>
      <c r="C55" s="163" t="s">
        <v>603</v>
      </c>
      <c r="D55" s="156">
        <v>62.730214834703077</v>
      </c>
      <c r="E55" s="156">
        <v>70.049132739892968</v>
      </c>
      <c r="F55" s="156">
        <v>66.70270110639126</v>
      </c>
      <c r="G55" s="156">
        <v>66.033913017235847</v>
      </c>
      <c r="H55" s="156">
        <v>66.014558404913586</v>
      </c>
      <c r="I55" s="156">
        <v>66.202930522861934</v>
      </c>
      <c r="J55" s="156">
        <v>66.137584752546189</v>
      </c>
      <c r="K55" s="211">
        <v>89</v>
      </c>
      <c r="L55" s="164" t="s">
        <v>87</v>
      </c>
      <c r="M55" s="165" t="s">
        <v>94</v>
      </c>
      <c r="N55" s="163" t="s">
        <v>17</v>
      </c>
      <c r="O55" s="163" t="s">
        <v>33</v>
      </c>
    </row>
    <row r="56" spans="1:15" s="20" customFormat="1">
      <c r="A56" s="204" t="s">
        <v>146</v>
      </c>
      <c r="B56" s="162">
        <v>16</v>
      </c>
      <c r="C56" s="163" t="s">
        <v>604</v>
      </c>
      <c r="D56" s="156">
        <v>30.377853161923209</v>
      </c>
      <c r="E56" s="156">
        <v>33.922126268812555</v>
      </c>
      <c r="F56" s="156">
        <v>32.301576920355807</v>
      </c>
      <c r="G56" s="156">
        <v>31.977708328125718</v>
      </c>
      <c r="H56" s="156">
        <v>31.968335626745993</v>
      </c>
      <c r="I56" s="156">
        <v>32.059557066907068</v>
      </c>
      <c r="J56" s="156">
        <v>32.027912599872565</v>
      </c>
      <c r="K56" s="211">
        <v>89</v>
      </c>
      <c r="L56" s="164" t="s">
        <v>57</v>
      </c>
      <c r="M56" s="165" t="s">
        <v>94</v>
      </c>
      <c r="N56" s="163" t="s">
        <v>17</v>
      </c>
      <c r="O56" s="163" t="s">
        <v>33</v>
      </c>
    </row>
    <row r="57" spans="1:15" s="20" customFormat="1">
      <c r="A57" s="204" t="s">
        <v>146</v>
      </c>
      <c r="B57" s="162">
        <v>16</v>
      </c>
      <c r="C57" s="163" t="s">
        <v>605</v>
      </c>
      <c r="D57" s="156">
        <v>36.024422829525264</v>
      </c>
      <c r="E57" s="156">
        <v>40.227497758662672</v>
      </c>
      <c r="F57" s="156">
        <v>38.305724201007436</v>
      </c>
      <c r="G57" s="156">
        <v>37.921655615070499</v>
      </c>
      <c r="H57" s="156">
        <v>37.910540736222465</v>
      </c>
      <c r="I57" s="156">
        <v>38.018718220456272</v>
      </c>
      <c r="J57" s="156">
        <v>37.981191748305996</v>
      </c>
      <c r="K57" s="211">
        <v>89</v>
      </c>
      <c r="L57" s="164" t="s">
        <v>72</v>
      </c>
      <c r="M57" s="165" t="s">
        <v>94</v>
      </c>
      <c r="N57" s="163" t="s">
        <v>17</v>
      </c>
      <c r="O57" s="163" t="s">
        <v>33</v>
      </c>
    </row>
    <row r="58" spans="1:15" s="20" customFormat="1">
      <c r="A58" s="204" t="s">
        <v>146</v>
      </c>
      <c r="B58" s="162">
        <v>16</v>
      </c>
      <c r="C58" s="163" t="s">
        <v>606</v>
      </c>
      <c r="D58" s="156">
        <v>25.621676221129611</v>
      </c>
      <c r="E58" s="156">
        <v>28.611032233219401</v>
      </c>
      <c r="F58" s="156">
        <v>27.244207840290752</v>
      </c>
      <c r="G58" s="156">
        <v>26.971046463017604</v>
      </c>
      <c r="H58" s="156">
        <v>26.963141219721159</v>
      </c>
      <c r="I58" s="156">
        <v>27.040080369824164</v>
      </c>
      <c r="J58" s="156">
        <v>27.013390389981723</v>
      </c>
      <c r="K58" s="211">
        <v>89</v>
      </c>
      <c r="L58" s="164" t="s">
        <v>531</v>
      </c>
      <c r="M58" s="165" t="s">
        <v>94</v>
      </c>
      <c r="N58" s="163" t="s">
        <v>17</v>
      </c>
      <c r="O58" s="163" t="s">
        <v>33</v>
      </c>
    </row>
    <row r="59" spans="1:15" s="20" customFormat="1">
      <c r="A59" s="204" t="s">
        <v>146</v>
      </c>
      <c r="B59" s="162">
        <v>17</v>
      </c>
      <c r="C59" s="163" t="s">
        <v>702</v>
      </c>
      <c r="D59" s="156">
        <v>66.252473118279568</v>
      </c>
      <c r="E59" s="156">
        <v>60.265150537634412</v>
      </c>
      <c r="F59" s="156">
        <v>59.79254838709678</v>
      </c>
      <c r="G59" s="156">
        <v>59.872784946236557</v>
      </c>
      <c r="H59" s="156">
        <v>58.726548387096777</v>
      </c>
      <c r="I59" s="156">
        <v>58.626913978494628</v>
      </c>
      <c r="J59" s="156">
        <v>58.582827956989249</v>
      </c>
      <c r="K59" s="211">
        <v>100</v>
      </c>
      <c r="L59" s="164" t="s">
        <v>75</v>
      </c>
      <c r="M59" s="165" t="s">
        <v>94</v>
      </c>
      <c r="N59" s="163" t="s">
        <v>17</v>
      </c>
      <c r="O59" s="163" t="s">
        <v>33</v>
      </c>
    </row>
    <row r="60" spans="1:15" s="20" customFormat="1">
      <c r="A60" s="204" t="s">
        <v>146</v>
      </c>
      <c r="B60" s="162">
        <v>18</v>
      </c>
      <c r="C60" s="163" t="s">
        <v>703</v>
      </c>
      <c r="D60" s="156">
        <v>12.604129032258065</v>
      </c>
      <c r="E60" s="156">
        <v>11.46507741935484</v>
      </c>
      <c r="F60" s="156">
        <v>11.375167741935485</v>
      </c>
      <c r="G60" s="156">
        <v>11.390432258064516</v>
      </c>
      <c r="H60" s="156">
        <v>11.172367741935485</v>
      </c>
      <c r="I60" s="156">
        <v>11.153412903225808</v>
      </c>
      <c r="J60" s="156">
        <v>11.145025806451615</v>
      </c>
      <c r="K60" s="211">
        <v>100</v>
      </c>
      <c r="L60" s="164" t="s">
        <v>87</v>
      </c>
      <c r="M60" s="165" t="s">
        <v>94</v>
      </c>
      <c r="N60" s="163" t="s">
        <v>17</v>
      </c>
      <c r="O60" s="163" t="s">
        <v>33</v>
      </c>
    </row>
    <row r="61" spans="1:15" s="20" customFormat="1">
      <c r="A61" s="204" t="s">
        <v>146</v>
      </c>
      <c r="B61" s="162">
        <v>19</v>
      </c>
      <c r="C61" s="163" t="s">
        <v>704</v>
      </c>
      <c r="D61" s="156">
        <v>11.634580645161291</v>
      </c>
      <c r="E61" s="156">
        <v>10.583148387096776</v>
      </c>
      <c r="F61" s="156">
        <v>10.500154838709678</v>
      </c>
      <c r="G61" s="156">
        <v>10.514245161290322</v>
      </c>
      <c r="H61" s="156">
        <v>10.312954838709679</v>
      </c>
      <c r="I61" s="156">
        <v>10.295458064516129</v>
      </c>
      <c r="J61" s="156">
        <v>10.28771612903226</v>
      </c>
      <c r="K61" s="211">
        <v>100</v>
      </c>
      <c r="L61" s="164" t="s">
        <v>57</v>
      </c>
      <c r="M61" s="165" t="s">
        <v>94</v>
      </c>
      <c r="N61" s="163" t="s">
        <v>17</v>
      </c>
      <c r="O61" s="163" t="s">
        <v>33</v>
      </c>
    </row>
    <row r="62" spans="1:15" s="20" customFormat="1">
      <c r="A62" s="204" t="s">
        <v>146</v>
      </c>
      <c r="B62" s="162">
        <v>20</v>
      </c>
      <c r="C62" s="163" t="s">
        <v>705</v>
      </c>
      <c r="D62" s="156">
        <v>45.891956989247312</v>
      </c>
      <c r="E62" s="156">
        <v>41.744640860215057</v>
      </c>
      <c r="F62" s="156">
        <v>41.417277419354839</v>
      </c>
      <c r="G62" s="156">
        <v>41.472855913978492</v>
      </c>
      <c r="H62" s="156">
        <v>40.678877419354841</v>
      </c>
      <c r="I62" s="156">
        <v>40.609862365591397</v>
      </c>
      <c r="J62" s="156">
        <v>40.579324731182794</v>
      </c>
      <c r="K62" s="211">
        <v>100</v>
      </c>
      <c r="L62" s="164" t="s">
        <v>72</v>
      </c>
      <c r="M62" s="165" t="s">
        <v>94</v>
      </c>
      <c r="N62" s="163" t="s">
        <v>17</v>
      </c>
      <c r="O62" s="163" t="s">
        <v>33</v>
      </c>
    </row>
    <row r="63" spans="1:15" s="20" customFormat="1">
      <c r="A63" s="204" t="s">
        <v>146</v>
      </c>
      <c r="B63" s="162">
        <v>21</v>
      </c>
      <c r="C63" s="163" t="s">
        <v>706</v>
      </c>
      <c r="D63" s="156">
        <v>13.896860215053763</v>
      </c>
      <c r="E63" s="156">
        <v>12.640982795698925</v>
      </c>
      <c r="F63" s="156">
        <v>12.541851612903226</v>
      </c>
      <c r="G63" s="156">
        <v>12.558681720430107</v>
      </c>
      <c r="H63" s="156">
        <v>12.318251612903225</v>
      </c>
      <c r="I63" s="156">
        <v>12.297352688172042</v>
      </c>
      <c r="J63" s="156">
        <v>12.288105376344086</v>
      </c>
      <c r="K63" s="211">
        <v>100</v>
      </c>
      <c r="L63" s="164" t="s">
        <v>531</v>
      </c>
      <c r="M63" s="165" t="s">
        <v>94</v>
      </c>
      <c r="N63" s="163" t="s">
        <v>17</v>
      </c>
      <c r="O63" s="163" t="s">
        <v>33</v>
      </c>
    </row>
    <row r="64" spans="1:15" s="20" customFormat="1">
      <c r="A64" s="7" t="s">
        <v>146</v>
      </c>
      <c r="B64" s="102">
        <v>16</v>
      </c>
      <c r="C64" s="103" t="s">
        <v>383</v>
      </c>
      <c r="D64" s="105">
        <v>5.1595000000000004</v>
      </c>
      <c r="E64" s="105">
        <v>5.0899000000000001</v>
      </c>
      <c r="F64" s="105">
        <v>5.0335000000000001</v>
      </c>
      <c r="G64" s="105">
        <v>5.0979999999999999</v>
      </c>
      <c r="H64" s="105">
        <v>5.0979999999999999</v>
      </c>
      <c r="I64" s="105">
        <v>5.0354000000000001</v>
      </c>
      <c r="J64" s="105">
        <v>5.0354000000000001</v>
      </c>
      <c r="K64" s="103">
        <v>10</v>
      </c>
      <c r="L64" s="104">
        <v>10</v>
      </c>
      <c r="M64" s="92" t="s">
        <v>55</v>
      </c>
      <c r="N64" s="103" t="s">
        <v>6</v>
      </c>
      <c r="O64" s="103" t="s">
        <v>32</v>
      </c>
    </row>
    <row r="65" spans="1:15" s="20" customFormat="1">
      <c r="A65" s="204" t="s">
        <v>146</v>
      </c>
      <c r="B65" s="162">
        <v>16</v>
      </c>
      <c r="C65" s="163" t="s">
        <v>607</v>
      </c>
      <c r="D65" s="212">
        <v>60.573758949880663</v>
      </c>
      <c r="E65" s="212">
        <v>61.916069212410498</v>
      </c>
      <c r="F65" s="212">
        <v>61.916069212410498</v>
      </c>
      <c r="G65" s="212">
        <v>61.916069212410498</v>
      </c>
      <c r="H65" s="212">
        <v>61.916069212410498</v>
      </c>
      <c r="I65" s="212">
        <v>61.916069212410498</v>
      </c>
      <c r="J65" s="212">
        <v>61.916069212410498</v>
      </c>
      <c r="K65" s="163">
        <v>100</v>
      </c>
      <c r="L65" s="164" t="s">
        <v>75</v>
      </c>
      <c r="M65" s="165" t="s">
        <v>94</v>
      </c>
      <c r="N65" s="163" t="s">
        <v>17</v>
      </c>
      <c r="O65" s="163" t="s">
        <v>33</v>
      </c>
    </row>
    <row r="66" spans="1:15" s="20" customFormat="1">
      <c r="A66" s="204" t="s">
        <v>146</v>
      </c>
      <c r="B66" s="162">
        <v>16</v>
      </c>
      <c r="C66" s="163" t="s">
        <v>608</v>
      </c>
      <c r="D66" s="212">
        <v>16.232183770883054</v>
      </c>
      <c r="E66" s="212">
        <v>16.591887828162292</v>
      </c>
      <c r="F66" s="212">
        <v>16.591887828162292</v>
      </c>
      <c r="G66" s="212">
        <v>16.591887828162292</v>
      </c>
      <c r="H66" s="212">
        <v>16.591887828162292</v>
      </c>
      <c r="I66" s="212">
        <v>16.591887828162292</v>
      </c>
      <c r="J66" s="212">
        <v>16.591887828162292</v>
      </c>
      <c r="K66" s="163">
        <v>100</v>
      </c>
      <c r="L66" s="164" t="s">
        <v>87</v>
      </c>
      <c r="M66" s="165" t="s">
        <v>94</v>
      </c>
      <c r="N66" s="163" t="s">
        <v>17</v>
      </c>
      <c r="O66" s="163" t="s">
        <v>33</v>
      </c>
    </row>
    <row r="67" spans="1:15" s="20" customFormat="1">
      <c r="A67" s="204" t="s">
        <v>146</v>
      </c>
      <c r="B67" s="162">
        <v>16</v>
      </c>
      <c r="C67" s="163" t="s">
        <v>609</v>
      </c>
      <c r="D67" s="212">
        <v>27.555121718377087</v>
      </c>
      <c r="E67" s="212">
        <v>28.165741288782815</v>
      </c>
      <c r="F67" s="212">
        <v>28.165741288782815</v>
      </c>
      <c r="G67" s="212">
        <v>28.165741288782815</v>
      </c>
      <c r="H67" s="212">
        <v>28.165741288782815</v>
      </c>
      <c r="I67" s="212">
        <v>28.165741288782815</v>
      </c>
      <c r="J67" s="212">
        <v>28.165741288782815</v>
      </c>
      <c r="K67" s="163">
        <v>100</v>
      </c>
      <c r="L67" s="164" t="s">
        <v>57</v>
      </c>
      <c r="M67" s="165" t="s">
        <v>94</v>
      </c>
      <c r="N67" s="163" t="s">
        <v>17</v>
      </c>
      <c r="O67" s="163" t="s">
        <v>33</v>
      </c>
    </row>
    <row r="68" spans="1:15" s="20" customFormat="1">
      <c r="A68" s="204" t="s">
        <v>146</v>
      </c>
      <c r="B68" s="162">
        <v>16</v>
      </c>
      <c r="C68" s="163" t="s">
        <v>610</v>
      </c>
      <c r="D68" s="212">
        <v>38.416017900414282</v>
      </c>
      <c r="E68" s="212">
        <v>39.267314170733627</v>
      </c>
      <c r="F68" s="212">
        <v>39.267314170733627</v>
      </c>
      <c r="G68" s="212">
        <v>39.267314170733627</v>
      </c>
      <c r="H68" s="212">
        <v>39.267314170733627</v>
      </c>
      <c r="I68" s="212">
        <v>39.267314170733627</v>
      </c>
      <c r="J68" s="212">
        <v>39.267314170733627</v>
      </c>
      <c r="K68" s="163">
        <v>100</v>
      </c>
      <c r="L68" s="164" t="s">
        <v>72</v>
      </c>
      <c r="M68" s="165" t="s">
        <v>94</v>
      </c>
      <c r="N68" s="163" t="s">
        <v>17</v>
      </c>
      <c r="O68" s="163" t="s">
        <v>33</v>
      </c>
    </row>
    <row r="69" spans="1:15" s="20" customFormat="1">
      <c r="A69" s="204" t="s">
        <v>146</v>
      </c>
      <c r="B69" s="162">
        <v>16</v>
      </c>
      <c r="C69" s="163" t="s">
        <v>611</v>
      </c>
      <c r="D69" s="212">
        <v>23.107917660444897</v>
      </c>
      <c r="E69" s="212">
        <v>23.619987499910771</v>
      </c>
      <c r="F69" s="212">
        <v>23.619987499910771</v>
      </c>
      <c r="G69" s="212">
        <v>23.619987499910771</v>
      </c>
      <c r="H69" s="212">
        <v>23.619987499910771</v>
      </c>
      <c r="I69" s="212">
        <v>23.619987499910771</v>
      </c>
      <c r="J69" s="212">
        <v>23.619987499910771</v>
      </c>
      <c r="K69" s="163">
        <v>100</v>
      </c>
      <c r="L69" s="164" t="s">
        <v>531</v>
      </c>
      <c r="M69" s="165" t="s">
        <v>94</v>
      </c>
      <c r="N69" s="163" t="s">
        <v>17</v>
      </c>
      <c r="O69" s="163" t="s">
        <v>33</v>
      </c>
    </row>
    <row r="70" spans="1:15" s="20" customFormat="1">
      <c r="A70" s="7" t="s">
        <v>146</v>
      </c>
      <c r="B70" s="102">
        <v>16</v>
      </c>
      <c r="C70" s="103" t="s">
        <v>215</v>
      </c>
      <c r="D70" s="224">
        <v>8</v>
      </c>
      <c r="E70" s="224">
        <v>8.1769999999999996</v>
      </c>
      <c r="F70" s="224">
        <v>8.1769999999999996</v>
      </c>
      <c r="G70" s="224">
        <v>8.1769999999999996</v>
      </c>
      <c r="H70" s="224">
        <v>8.1769999999999996</v>
      </c>
      <c r="I70" s="224">
        <v>8.1769999999999996</v>
      </c>
      <c r="J70" s="224">
        <v>8.1769999999999996</v>
      </c>
      <c r="K70" s="103">
        <v>100</v>
      </c>
      <c r="L70" s="104" t="s">
        <v>87</v>
      </c>
      <c r="M70" s="92" t="s">
        <v>88</v>
      </c>
      <c r="N70" s="103" t="s">
        <v>93</v>
      </c>
      <c r="O70" s="103" t="s">
        <v>33</v>
      </c>
    </row>
    <row r="71" spans="1:15" s="20" customFormat="1">
      <c r="A71" s="208" t="s">
        <v>146</v>
      </c>
      <c r="B71" s="225">
        <v>16</v>
      </c>
      <c r="C71" s="226" t="s">
        <v>216</v>
      </c>
      <c r="D71" s="229">
        <v>55.38</v>
      </c>
      <c r="E71" s="229">
        <v>56.607999999999997</v>
      </c>
      <c r="F71" s="229">
        <v>56.607999999999997</v>
      </c>
      <c r="G71" s="229">
        <v>56.607999999999997</v>
      </c>
      <c r="H71" s="229">
        <v>56.607999999999997</v>
      </c>
      <c r="I71" s="229">
        <v>56.607999999999997</v>
      </c>
      <c r="J71" s="229">
        <v>56.607999999999997</v>
      </c>
      <c r="K71" s="226">
        <v>100</v>
      </c>
      <c r="L71" s="275" t="s">
        <v>612</v>
      </c>
      <c r="M71" s="228" t="s">
        <v>94</v>
      </c>
      <c r="N71" s="226" t="s">
        <v>17</v>
      </c>
      <c r="O71" s="226" t="s">
        <v>33</v>
      </c>
    </row>
    <row r="72" spans="1:15" s="20" customFormat="1">
      <c r="A72" s="7" t="s">
        <v>146</v>
      </c>
      <c r="B72" s="102">
        <v>16</v>
      </c>
      <c r="C72" s="103" t="s">
        <v>217</v>
      </c>
      <c r="D72" s="224">
        <v>33.869</v>
      </c>
      <c r="E72" s="224">
        <v>33.392000000000003</v>
      </c>
      <c r="F72" s="224">
        <v>30.834</v>
      </c>
      <c r="G72" s="224">
        <v>21.375</v>
      </c>
      <c r="H72" s="224">
        <v>20.353999999999999</v>
      </c>
      <c r="I72" s="224">
        <v>18.922000000000001</v>
      </c>
      <c r="J72" s="224">
        <v>16.439</v>
      </c>
      <c r="K72" s="103">
        <v>100</v>
      </c>
      <c r="L72" s="104">
        <v>9</v>
      </c>
      <c r="M72" s="92" t="s">
        <v>92</v>
      </c>
      <c r="N72" s="103" t="s">
        <v>17</v>
      </c>
      <c r="O72" s="103" t="s">
        <v>33</v>
      </c>
    </row>
    <row r="73" spans="1:15" s="20" customFormat="1">
      <c r="A73" s="7" t="s">
        <v>146</v>
      </c>
      <c r="B73" s="102">
        <v>16</v>
      </c>
      <c r="C73" s="103" t="s">
        <v>327</v>
      </c>
      <c r="D73" s="105">
        <v>6.1587299999999994</v>
      </c>
      <c r="E73" s="105">
        <v>6.2901000000000007</v>
      </c>
      <c r="F73" s="105">
        <v>6.2901000000000007</v>
      </c>
      <c r="G73" s="105">
        <v>6.2901000000000007</v>
      </c>
      <c r="H73" s="105">
        <v>6.2901000000000007</v>
      </c>
      <c r="I73" s="105">
        <v>6.2901000000000007</v>
      </c>
      <c r="J73" s="105">
        <v>6.2901000000000007</v>
      </c>
      <c r="K73" s="103">
        <v>87</v>
      </c>
      <c r="L73" s="104" t="s">
        <v>75</v>
      </c>
      <c r="M73" s="92" t="s">
        <v>76</v>
      </c>
      <c r="N73" s="103" t="s">
        <v>77</v>
      </c>
      <c r="O73" s="103" t="s">
        <v>32</v>
      </c>
    </row>
    <row r="74" spans="1:15" s="20" customFormat="1">
      <c r="A74" s="7" t="s">
        <v>146</v>
      </c>
      <c r="B74" s="102">
        <v>16</v>
      </c>
      <c r="C74" s="103" t="s">
        <v>84</v>
      </c>
      <c r="D74" s="105">
        <v>11.17788</v>
      </c>
      <c r="E74" s="105">
        <v>10.699639999999999</v>
      </c>
      <c r="F74" s="105">
        <v>10.699639999999999</v>
      </c>
      <c r="G74" s="105">
        <v>10.699639999999999</v>
      </c>
      <c r="H74" s="105">
        <v>10.699639999999999</v>
      </c>
      <c r="I74" s="105">
        <v>10.699639999999999</v>
      </c>
      <c r="J74" s="105">
        <v>10.699639999999999</v>
      </c>
      <c r="K74" s="103">
        <v>98</v>
      </c>
      <c r="L74" s="104">
        <v>7</v>
      </c>
      <c r="M74" s="92" t="s">
        <v>85</v>
      </c>
      <c r="N74" s="103" t="s">
        <v>4</v>
      </c>
      <c r="O74" s="103" t="s">
        <v>32</v>
      </c>
    </row>
    <row r="75" spans="1:15" s="20" customFormat="1">
      <c r="A75" s="7" t="s">
        <v>146</v>
      </c>
      <c r="B75" s="102">
        <v>16</v>
      </c>
      <c r="C75" s="103" t="s">
        <v>86</v>
      </c>
      <c r="D75" s="105">
        <v>0.221</v>
      </c>
      <c r="E75" s="105">
        <v>0.23100000000000001</v>
      </c>
      <c r="F75" s="105">
        <v>0.23100000000000001</v>
      </c>
      <c r="G75" s="105">
        <v>0.23100000000000001</v>
      </c>
      <c r="H75" s="105">
        <v>0.23100000000000001</v>
      </c>
      <c r="I75" s="105">
        <v>0.23100000000000001</v>
      </c>
      <c r="J75" s="105">
        <v>0.23100000000000001</v>
      </c>
      <c r="K75" s="103">
        <v>100</v>
      </c>
      <c r="L75" s="104" t="s">
        <v>87</v>
      </c>
      <c r="M75" s="92" t="s">
        <v>88</v>
      </c>
      <c r="N75" s="103" t="s">
        <v>4</v>
      </c>
      <c r="O75" s="103" t="s">
        <v>32</v>
      </c>
    </row>
    <row r="76" spans="1:15" s="20" customFormat="1">
      <c r="A76" s="7" t="s">
        <v>146</v>
      </c>
      <c r="B76" s="102">
        <v>16</v>
      </c>
      <c r="C76" s="103" t="s">
        <v>329</v>
      </c>
      <c r="D76" s="105">
        <v>2.5</v>
      </c>
      <c r="E76" s="105">
        <v>2.5550000000000002</v>
      </c>
      <c r="F76" s="105">
        <v>2.5550000000000002</v>
      </c>
      <c r="G76" s="105">
        <v>2.5550000000000002</v>
      </c>
      <c r="H76" s="105">
        <v>2.5550000000000002</v>
      </c>
      <c r="I76" s="105">
        <v>2.5550000000000002</v>
      </c>
      <c r="J76" s="105">
        <v>2.5550000000000002</v>
      </c>
      <c r="K76" s="103">
        <v>100</v>
      </c>
      <c r="L76" s="104">
        <v>1</v>
      </c>
      <c r="M76" s="92" t="s">
        <v>95</v>
      </c>
      <c r="N76" s="103" t="s">
        <v>17</v>
      </c>
      <c r="O76" s="103" t="s">
        <v>33</v>
      </c>
    </row>
    <row r="77" spans="1:15" s="20" customFormat="1">
      <c r="A77" s="7" t="s">
        <v>146</v>
      </c>
      <c r="B77" s="102">
        <v>16</v>
      </c>
      <c r="C77" s="103" t="s">
        <v>89</v>
      </c>
      <c r="D77" s="105">
        <v>3.1469999999999998</v>
      </c>
      <c r="E77" s="105">
        <v>3.2170000000000001</v>
      </c>
      <c r="F77" s="105">
        <v>3.181</v>
      </c>
      <c r="G77" s="105">
        <v>1.534</v>
      </c>
      <c r="H77" s="105">
        <v>1.534</v>
      </c>
      <c r="I77" s="105">
        <v>1.534</v>
      </c>
      <c r="J77" s="105">
        <v>1.534</v>
      </c>
      <c r="K77" s="103">
        <v>100</v>
      </c>
      <c r="L77" s="104" t="s">
        <v>75</v>
      </c>
      <c r="M77" s="92" t="s">
        <v>76</v>
      </c>
      <c r="N77" s="103" t="s">
        <v>17</v>
      </c>
      <c r="O77" s="103" t="s">
        <v>33</v>
      </c>
    </row>
    <row r="78" spans="1:15" s="20" customFormat="1">
      <c r="A78" s="208" t="s">
        <v>146</v>
      </c>
      <c r="B78" s="225">
        <v>16</v>
      </c>
      <c r="C78" s="226" t="s">
        <v>96</v>
      </c>
      <c r="D78" s="227">
        <v>0.1885</v>
      </c>
      <c r="E78" s="227">
        <v>1.9095</v>
      </c>
      <c r="F78" s="227">
        <v>2.3929999999999998</v>
      </c>
      <c r="G78" s="227">
        <v>2.5145</v>
      </c>
      <c r="H78" s="227">
        <v>2.5145</v>
      </c>
      <c r="I78" s="227">
        <v>2.4860000000000002</v>
      </c>
      <c r="J78" s="227">
        <v>2.7509999999999999</v>
      </c>
      <c r="K78" s="226">
        <v>50</v>
      </c>
      <c r="L78" s="275" t="s">
        <v>612</v>
      </c>
      <c r="M78" s="228" t="s">
        <v>94</v>
      </c>
      <c r="N78" s="226" t="s">
        <v>33</v>
      </c>
      <c r="O78" s="226" t="s">
        <v>33</v>
      </c>
    </row>
    <row r="79" spans="1:15" s="20" customFormat="1">
      <c r="A79" s="7" t="s">
        <v>146</v>
      </c>
      <c r="B79" s="102">
        <v>16</v>
      </c>
      <c r="C79" s="103" t="s">
        <v>78</v>
      </c>
      <c r="D79" s="105">
        <v>1.228</v>
      </c>
      <c r="E79" s="105">
        <v>1.357</v>
      </c>
      <c r="F79" s="105">
        <v>1.264</v>
      </c>
      <c r="G79" s="105">
        <v>1.2649999999999999</v>
      </c>
      <c r="H79" s="105">
        <v>1.3420000000000001</v>
      </c>
      <c r="I79" s="105">
        <v>0.95899999999999996</v>
      </c>
      <c r="J79" s="105">
        <v>0.95899999999999996</v>
      </c>
      <c r="K79" s="103">
        <v>100</v>
      </c>
      <c r="L79" s="104" t="s">
        <v>75</v>
      </c>
      <c r="M79" s="92" t="s">
        <v>76</v>
      </c>
      <c r="N79" s="103" t="s">
        <v>7</v>
      </c>
      <c r="O79" s="103" t="s">
        <v>32</v>
      </c>
    </row>
    <row r="80" spans="1:15" s="20" customFormat="1">
      <c r="A80" s="7" t="s">
        <v>146</v>
      </c>
      <c r="B80" s="102">
        <v>16</v>
      </c>
      <c r="C80" s="103" t="s">
        <v>79</v>
      </c>
      <c r="D80" s="105">
        <v>5.2409999999999997</v>
      </c>
      <c r="E80" s="105">
        <v>5.3289999999999997</v>
      </c>
      <c r="F80" s="105">
        <v>5.3289999999999997</v>
      </c>
      <c r="G80" s="105">
        <v>5.3289999999999997</v>
      </c>
      <c r="H80" s="105">
        <v>5.3289999999999997</v>
      </c>
      <c r="I80" s="105">
        <v>5.3289999999999997</v>
      </c>
      <c r="J80" s="105">
        <v>5.3289999999999997</v>
      </c>
      <c r="K80" s="103">
        <v>100</v>
      </c>
      <c r="L80" s="104" t="s">
        <v>75</v>
      </c>
      <c r="M80" s="92" t="s">
        <v>76</v>
      </c>
      <c r="N80" s="103" t="s">
        <v>7</v>
      </c>
      <c r="O80" s="103" t="s">
        <v>32</v>
      </c>
    </row>
    <row r="81" spans="1:15" s="20" customFormat="1">
      <c r="A81" s="7" t="s">
        <v>146</v>
      </c>
      <c r="B81" s="102">
        <v>16</v>
      </c>
      <c r="C81" s="103" t="s">
        <v>80</v>
      </c>
      <c r="D81" s="105">
        <v>31.146000000000001</v>
      </c>
      <c r="E81" s="105">
        <v>33.387</v>
      </c>
      <c r="F81" s="105">
        <v>33.387</v>
      </c>
      <c r="G81" s="105">
        <v>33.387</v>
      </c>
      <c r="H81" s="105">
        <v>33.387</v>
      </c>
      <c r="I81" s="105">
        <v>33.387</v>
      </c>
      <c r="J81" s="105">
        <v>33.387</v>
      </c>
      <c r="K81" s="103">
        <v>100</v>
      </c>
      <c r="L81" s="104">
        <v>3</v>
      </c>
      <c r="M81" s="92" t="s">
        <v>81</v>
      </c>
      <c r="N81" s="103" t="s">
        <v>7</v>
      </c>
      <c r="O81" s="103" t="s">
        <v>33</v>
      </c>
    </row>
    <row r="82" spans="1:15" s="20" customFormat="1">
      <c r="A82" s="7" t="s">
        <v>146</v>
      </c>
      <c r="B82" s="102">
        <v>16</v>
      </c>
      <c r="C82" s="103" t="s">
        <v>82</v>
      </c>
      <c r="D82" s="105">
        <v>50.530999999999999</v>
      </c>
      <c r="E82" s="105">
        <v>51.636000000000003</v>
      </c>
      <c r="F82" s="105">
        <v>51.417000000000002</v>
      </c>
      <c r="G82" s="105">
        <v>47.116</v>
      </c>
      <c r="H82" s="105">
        <v>47.072000000000003</v>
      </c>
      <c r="I82" s="105">
        <v>47.072000000000003</v>
      </c>
      <c r="J82" s="105">
        <v>47.072000000000003</v>
      </c>
      <c r="K82" s="103">
        <v>100</v>
      </c>
      <c r="L82" s="104" t="s">
        <v>75</v>
      </c>
      <c r="M82" s="92" t="s">
        <v>76</v>
      </c>
      <c r="N82" s="103" t="s">
        <v>7</v>
      </c>
      <c r="O82" s="103" t="s">
        <v>32</v>
      </c>
    </row>
    <row r="83" spans="1:15" s="20" customFormat="1">
      <c r="A83" s="7" t="s">
        <v>146</v>
      </c>
      <c r="B83" s="102">
        <v>16</v>
      </c>
      <c r="C83" s="103" t="s">
        <v>83</v>
      </c>
      <c r="D83" s="105">
        <v>9.0809999999999995</v>
      </c>
      <c r="E83" s="105">
        <v>9.4420000000000002</v>
      </c>
      <c r="F83" s="105">
        <v>15.869</v>
      </c>
      <c r="G83" s="105">
        <v>9.6310000000000002</v>
      </c>
      <c r="H83" s="105">
        <v>9.6310000000000002</v>
      </c>
      <c r="I83" s="105">
        <v>10.096</v>
      </c>
      <c r="J83" s="105">
        <v>10.096</v>
      </c>
      <c r="K83" s="103">
        <v>100</v>
      </c>
      <c r="L83" s="104" t="s">
        <v>75</v>
      </c>
      <c r="M83" s="92" t="s">
        <v>76</v>
      </c>
      <c r="N83" s="103" t="s">
        <v>7</v>
      </c>
      <c r="O83" s="103" t="s">
        <v>32</v>
      </c>
    </row>
    <row r="84" spans="1:15" s="20" customFormat="1">
      <c r="A84" s="7" t="s">
        <v>146</v>
      </c>
      <c r="B84" s="102" t="s">
        <v>97</v>
      </c>
      <c r="C84" s="103" t="s">
        <v>218</v>
      </c>
      <c r="D84" s="105">
        <v>11.27115</v>
      </c>
      <c r="E84" s="105">
        <v>10.103670000000001</v>
      </c>
      <c r="F84" s="105">
        <v>9.7216200000000015</v>
      </c>
      <c r="G84" s="105">
        <v>9.7119</v>
      </c>
      <c r="H84" s="105">
        <v>9.7075800000000001</v>
      </c>
      <c r="I84" s="105">
        <v>10.313460000000001</v>
      </c>
      <c r="J84" s="105">
        <v>10.308870000000001</v>
      </c>
      <c r="K84" s="103">
        <v>27</v>
      </c>
      <c r="L84" s="104">
        <v>10</v>
      </c>
      <c r="M84" s="92" t="s">
        <v>55</v>
      </c>
      <c r="N84" s="103" t="s">
        <v>6</v>
      </c>
      <c r="O84" s="103" t="s">
        <v>32</v>
      </c>
    </row>
    <row r="85" spans="1:15" s="20" customFormat="1">
      <c r="A85" s="7" t="s">
        <v>146</v>
      </c>
      <c r="B85" s="102" t="s">
        <v>97</v>
      </c>
      <c r="C85" s="103" t="s">
        <v>98</v>
      </c>
      <c r="D85" s="105">
        <v>0.35705999999999999</v>
      </c>
      <c r="E85" s="105">
        <v>0.36443999999999999</v>
      </c>
      <c r="F85" s="105">
        <v>0.36443999999999999</v>
      </c>
      <c r="G85" s="105">
        <v>0.36443999999999999</v>
      </c>
      <c r="H85" s="105">
        <v>0.36443999999999999</v>
      </c>
      <c r="I85" s="105">
        <v>0.36443999999999999</v>
      </c>
      <c r="J85" s="157">
        <v>0.36443999999999999</v>
      </c>
      <c r="K85" s="103">
        <v>6</v>
      </c>
      <c r="L85" s="104">
        <v>10</v>
      </c>
      <c r="M85" s="92" t="s">
        <v>55</v>
      </c>
      <c r="N85" s="103" t="s">
        <v>6</v>
      </c>
      <c r="O85" s="103" t="s">
        <v>32</v>
      </c>
    </row>
    <row r="86" spans="1:15" s="20" customFormat="1">
      <c r="A86" s="7" t="s">
        <v>146</v>
      </c>
      <c r="B86" s="102" t="s">
        <v>97</v>
      </c>
      <c r="C86" s="103" t="s">
        <v>99</v>
      </c>
      <c r="D86" s="105">
        <v>1.3420000000000001</v>
      </c>
      <c r="E86" s="105">
        <v>1.6339999999999999</v>
      </c>
      <c r="F86" s="105">
        <v>2.0680000000000001</v>
      </c>
      <c r="G86" s="105">
        <v>1.94</v>
      </c>
      <c r="H86" s="105">
        <v>1.94</v>
      </c>
      <c r="I86" s="105">
        <v>1.94</v>
      </c>
      <c r="J86" s="157">
        <v>1.94</v>
      </c>
      <c r="K86" s="103">
        <v>100</v>
      </c>
      <c r="L86" s="104">
        <v>10</v>
      </c>
      <c r="M86" s="92" t="s">
        <v>55</v>
      </c>
      <c r="N86" s="103" t="s">
        <v>33</v>
      </c>
      <c r="O86" s="103" t="s">
        <v>33</v>
      </c>
    </row>
    <row r="87" spans="1:15" s="20" customFormat="1">
      <c r="A87" s="7" t="s">
        <v>146</v>
      </c>
      <c r="B87" s="102" t="s">
        <v>97</v>
      </c>
      <c r="C87" s="103" t="s">
        <v>100</v>
      </c>
      <c r="D87" s="105">
        <v>0.80500000000000005</v>
      </c>
      <c r="E87" s="105">
        <v>1.361</v>
      </c>
      <c r="F87" s="105">
        <v>1.361</v>
      </c>
      <c r="G87" s="105">
        <v>1.361</v>
      </c>
      <c r="H87" s="105">
        <v>1.361</v>
      </c>
      <c r="I87" s="105">
        <v>1.361</v>
      </c>
      <c r="J87" s="105">
        <v>1.361</v>
      </c>
      <c r="K87" s="103">
        <v>100</v>
      </c>
      <c r="L87" s="104">
        <v>10</v>
      </c>
      <c r="M87" s="92" t="s">
        <v>55</v>
      </c>
      <c r="N87" s="103" t="s">
        <v>4</v>
      </c>
      <c r="O87" s="103" t="s">
        <v>32</v>
      </c>
    </row>
    <row r="88" spans="1:15" s="20" customFormat="1">
      <c r="A88" s="7" t="s">
        <v>146</v>
      </c>
      <c r="B88" s="102" t="s">
        <v>663</v>
      </c>
      <c r="C88" s="103" t="s">
        <v>662</v>
      </c>
      <c r="D88" s="105">
        <v>7.2</v>
      </c>
      <c r="E88" s="105">
        <v>7.4</v>
      </c>
      <c r="F88" s="105">
        <v>8.1</v>
      </c>
      <c r="G88" s="105">
        <v>7</v>
      </c>
      <c r="H88" s="105">
        <v>6.9</v>
      </c>
      <c r="I88" s="105">
        <v>5.2</v>
      </c>
      <c r="J88" s="105">
        <v>4.9000000000000004</v>
      </c>
      <c r="K88" s="103" t="s">
        <v>663</v>
      </c>
      <c r="L88" s="104">
        <v>9</v>
      </c>
      <c r="M88" s="92" t="s">
        <v>92</v>
      </c>
      <c r="N88" s="103" t="s">
        <v>664</v>
      </c>
      <c r="O88" s="103" t="s">
        <v>33</v>
      </c>
    </row>
    <row r="89" spans="1:15" s="7" customFormat="1">
      <c r="A89" s="204" t="s">
        <v>147</v>
      </c>
      <c r="B89" s="165" t="s">
        <v>557</v>
      </c>
      <c r="C89" s="165" t="s">
        <v>725</v>
      </c>
      <c r="D89" s="165"/>
      <c r="E89" s="165"/>
      <c r="F89" s="165"/>
      <c r="G89" s="165"/>
      <c r="H89" s="165"/>
      <c r="I89" s="165"/>
      <c r="J89" s="165"/>
      <c r="K89" s="165">
        <v>100</v>
      </c>
      <c r="L89" s="165">
        <v>14</v>
      </c>
      <c r="M89" s="165" t="s">
        <v>46</v>
      </c>
      <c r="N89" s="165" t="s">
        <v>13</v>
      </c>
      <c r="O89" s="204" t="s">
        <v>32</v>
      </c>
    </row>
    <row r="90" spans="1:15" s="7" customFormat="1">
      <c r="A90" s="7" t="s">
        <v>147</v>
      </c>
      <c r="B90" s="92" t="s">
        <v>557</v>
      </c>
      <c r="C90" s="92" t="s">
        <v>558</v>
      </c>
      <c r="D90" s="92">
        <v>0.53400000000000003</v>
      </c>
      <c r="E90" s="92">
        <v>0.6</v>
      </c>
      <c r="F90" s="92">
        <v>0.6</v>
      </c>
      <c r="G90" s="92">
        <v>0.6</v>
      </c>
      <c r="H90" s="92">
        <v>0.6</v>
      </c>
      <c r="I90" s="92">
        <v>0.6</v>
      </c>
      <c r="J90" s="92">
        <v>0.6</v>
      </c>
      <c r="K90" s="92">
        <v>100</v>
      </c>
      <c r="L90" s="92">
        <v>14</v>
      </c>
      <c r="M90" s="92" t="s">
        <v>46</v>
      </c>
      <c r="N90" s="92" t="s">
        <v>622</v>
      </c>
      <c r="O90" s="7" t="s">
        <v>32</v>
      </c>
    </row>
    <row r="91" spans="1:15" s="7" customFormat="1">
      <c r="A91" s="7" t="s">
        <v>147</v>
      </c>
      <c r="B91" s="92" t="s">
        <v>557</v>
      </c>
      <c r="C91" s="92" t="s">
        <v>482</v>
      </c>
      <c r="D91" s="92">
        <v>1.9</v>
      </c>
      <c r="E91" s="92">
        <v>2</v>
      </c>
      <c r="F91" s="92">
        <v>2</v>
      </c>
      <c r="G91" s="92">
        <v>2</v>
      </c>
      <c r="H91" s="92">
        <v>2</v>
      </c>
      <c r="I91" s="92">
        <v>2</v>
      </c>
      <c r="J91" s="92">
        <v>2</v>
      </c>
      <c r="K91" s="92">
        <v>100</v>
      </c>
      <c r="L91" s="92">
        <v>14</v>
      </c>
      <c r="M91" s="92" t="s">
        <v>46</v>
      </c>
      <c r="N91" s="92" t="s">
        <v>622</v>
      </c>
      <c r="O91" s="7" t="s">
        <v>32</v>
      </c>
    </row>
    <row r="92" spans="1:15" s="7" customFormat="1">
      <c r="A92" s="7" t="s">
        <v>147</v>
      </c>
      <c r="B92" s="92" t="s">
        <v>45</v>
      </c>
      <c r="C92" s="92" t="s">
        <v>421</v>
      </c>
      <c r="D92" s="92">
        <v>31.812000000000001</v>
      </c>
      <c r="E92" s="92">
        <v>25.349</v>
      </c>
      <c r="F92" s="92">
        <v>24.128</v>
      </c>
      <c r="G92" s="92">
        <v>24.128</v>
      </c>
      <c r="H92" s="92">
        <v>24.128</v>
      </c>
      <c r="I92" s="92">
        <v>24.128</v>
      </c>
      <c r="J92" s="92">
        <v>24.128</v>
      </c>
      <c r="K92" s="92">
        <v>100</v>
      </c>
      <c r="L92" s="92">
        <v>14</v>
      </c>
      <c r="M92" s="92" t="s">
        <v>46</v>
      </c>
      <c r="N92" s="92" t="s">
        <v>328</v>
      </c>
      <c r="O92" s="7" t="s">
        <v>33</v>
      </c>
    </row>
    <row r="93" spans="1:15" s="7" customFormat="1">
      <c r="A93" s="7" t="s">
        <v>147</v>
      </c>
      <c r="B93" s="92" t="s">
        <v>45</v>
      </c>
      <c r="C93" s="92" t="s">
        <v>421</v>
      </c>
      <c r="D93" s="92">
        <v>0.37</v>
      </c>
      <c r="E93" s="92"/>
      <c r="F93" s="92"/>
      <c r="G93" s="92"/>
      <c r="H93" s="92"/>
      <c r="I93" s="92"/>
      <c r="J93" s="92"/>
      <c r="K93" s="92">
        <v>100</v>
      </c>
      <c r="L93" s="92">
        <v>14</v>
      </c>
      <c r="M93" s="92" t="s">
        <v>46</v>
      </c>
      <c r="N93" s="92" t="s">
        <v>56</v>
      </c>
      <c r="O93" s="7" t="s">
        <v>33</v>
      </c>
    </row>
    <row r="94" spans="1:15" s="7" customFormat="1">
      <c r="A94" s="7" t="s">
        <v>147</v>
      </c>
      <c r="B94" s="92" t="s">
        <v>45</v>
      </c>
      <c r="C94" s="92" t="s">
        <v>420</v>
      </c>
      <c r="D94" s="92">
        <v>9.8780000000000001</v>
      </c>
      <c r="E94" s="92">
        <v>6.1070000000000002</v>
      </c>
      <c r="F94" s="92">
        <v>5.1820000000000004</v>
      </c>
      <c r="G94" s="92">
        <v>5.0970000000000004</v>
      </c>
      <c r="H94" s="92">
        <v>5.1230000000000002</v>
      </c>
      <c r="I94" s="92">
        <v>5.22</v>
      </c>
      <c r="J94" s="92">
        <v>5.2220000000000004</v>
      </c>
      <c r="K94" s="92">
        <v>100</v>
      </c>
      <c r="L94" s="92">
        <v>14</v>
      </c>
      <c r="M94" s="92" t="s">
        <v>46</v>
      </c>
      <c r="N94" s="92" t="s">
        <v>8</v>
      </c>
      <c r="O94" s="7" t="s">
        <v>33</v>
      </c>
    </row>
    <row r="95" spans="1:15" s="68" customFormat="1" ht="14.4">
      <c r="A95" s="7" t="s">
        <v>396</v>
      </c>
      <c r="B95" s="92" t="s">
        <v>120</v>
      </c>
      <c r="C95" s="92" t="s">
        <v>113</v>
      </c>
      <c r="D95" s="95">
        <v>3.3000000000000002E-2</v>
      </c>
      <c r="E95" s="95">
        <v>0</v>
      </c>
      <c r="F95" s="95">
        <v>0</v>
      </c>
      <c r="G95" s="95">
        <v>0</v>
      </c>
      <c r="H95" s="95">
        <v>0</v>
      </c>
      <c r="I95" s="95">
        <v>0</v>
      </c>
      <c r="J95" s="95">
        <v>0</v>
      </c>
      <c r="K95" s="96">
        <v>4.7715787418937403E-3</v>
      </c>
      <c r="L95" s="92">
        <v>4</v>
      </c>
      <c r="M95" s="92" t="s">
        <v>277</v>
      </c>
      <c r="N95" s="92" t="s">
        <v>114</v>
      </c>
      <c r="O95" s="92" t="s">
        <v>32</v>
      </c>
    </row>
    <row r="96" spans="1:15" s="68" customFormat="1" ht="14.4">
      <c r="A96" s="7" t="s">
        <v>396</v>
      </c>
      <c r="B96" s="92" t="s">
        <v>120</v>
      </c>
      <c r="C96" s="92" t="s">
        <v>246</v>
      </c>
      <c r="D96" s="95">
        <v>0.09</v>
      </c>
      <c r="E96" s="95">
        <v>0.09</v>
      </c>
      <c r="F96" s="95">
        <v>0.09</v>
      </c>
      <c r="G96" s="95">
        <v>0.09</v>
      </c>
      <c r="H96" s="95">
        <v>0.09</v>
      </c>
      <c r="I96" s="95">
        <v>0.09</v>
      </c>
      <c r="J96" s="95">
        <v>0.09</v>
      </c>
      <c r="K96" s="96">
        <v>1.30133965688011E-2</v>
      </c>
      <c r="L96" s="92">
        <v>4</v>
      </c>
      <c r="M96" s="92" t="s">
        <v>277</v>
      </c>
      <c r="N96" s="92" t="s">
        <v>111</v>
      </c>
      <c r="O96" s="92" t="s">
        <v>32</v>
      </c>
    </row>
    <row r="97" spans="1:15" s="68" customFormat="1" ht="14.4">
      <c r="A97" s="7" t="s">
        <v>396</v>
      </c>
      <c r="B97" s="92" t="s">
        <v>120</v>
      </c>
      <c r="C97" s="92" t="s">
        <v>489</v>
      </c>
      <c r="D97" s="95">
        <v>0.45</v>
      </c>
      <c r="E97" s="95">
        <v>0.45</v>
      </c>
      <c r="F97" s="95">
        <v>0.45</v>
      </c>
      <c r="G97" s="95">
        <v>0.45</v>
      </c>
      <c r="H97" s="95">
        <v>0.45</v>
      </c>
      <c r="I97" s="95">
        <v>0.45</v>
      </c>
      <c r="J97" s="95">
        <v>0.45</v>
      </c>
      <c r="K97" s="96">
        <v>6.5066982844005528E-2</v>
      </c>
      <c r="L97" s="92">
        <v>4</v>
      </c>
      <c r="M97" s="92" t="s">
        <v>277</v>
      </c>
      <c r="N97" s="92" t="s">
        <v>119</v>
      </c>
      <c r="O97" s="92" t="s">
        <v>32</v>
      </c>
    </row>
    <row r="98" spans="1:15" s="68" customFormat="1" ht="14.4">
      <c r="A98" s="7" t="s">
        <v>396</v>
      </c>
      <c r="B98" s="92" t="s">
        <v>120</v>
      </c>
      <c r="C98" s="92" t="s">
        <v>425</v>
      </c>
      <c r="D98" s="95">
        <v>0.36299999999999999</v>
      </c>
      <c r="E98" s="95">
        <v>0.36299999999999999</v>
      </c>
      <c r="F98" s="95">
        <v>0.36299999999999999</v>
      </c>
      <c r="G98" s="95">
        <v>0.36299999999999999</v>
      </c>
      <c r="H98" s="159">
        <v>0.36299999999999999</v>
      </c>
      <c r="I98" s="159">
        <v>0.36299999999999999</v>
      </c>
      <c r="J98" s="159">
        <v>0.36299999999999999</v>
      </c>
      <c r="K98" s="96">
        <v>5.2487366160831113E-2</v>
      </c>
      <c r="L98" s="92">
        <v>4</v>
      </c>
      <c r="M98" s="92" t="s">
        <v>277</v>
      </c>
      <c r="N98" s="92" t="s">
        <v>104</v>
      </c>
      <c r="O98" s="92" t="s">
        <v>32</v>
      </c>
    </row>
    <row r="99" spans="1:15" s="68" customFormat="1" ht="14.4">
      <c r="A99" s="7" t="s">
        <v>396</v>
      </c>
      <c r="B99" s="92" t="s">
        <v>120</v>
      </c>
      <c r="C99" s="92" t="s">
        <v>103</v>
      </c>
      <c r="D99" s="95">
        <v>0.13</v>
      </c>
      <c r="E99" s="95">
        <v>0.06</v>
      </c>
      <c r="F99" s="95">
        <v>2.3E-2</v>
      </c>
      <c r="G99" s="95">
        <v>0</v>
      </c>
      <c r="H99" s="95">
        <v>0</v>
      </c>
      <c r="I99" s="95">
        <v>0</v>
      </c>
      <c r="J99" s="95">
        <v>0</v>
      </c>
      <c r="K99" s="96">
        <v>1.8797128377157149E-2</v>
      </c>
      <c r="L99" s="92">
        <v>4</v>
      </c>
      <c r="M99" s="92" t="s">
        <v>277</v>
      </c>
      <c r="N99" s="92" t="s">
        <v>103</v>
      </c>
      <c r="O99" s="92" t="s">
        <v>32</v>
      </c>
    </row>
    <row r="100" spans="1:15" s="68" customFormat="1" ht="14.4">
      <c r="A100" s="7" t="s">
        <v>396</v>
      </c>
      <c r="B100" s="92" t="s">
        <v>120</v>
      </c>
      <c r="C100" s="92" t="s">
        <v>101</v>
      </c>
      <c r="D100" s="95">
        <v>0.45</v>
      </c>
      <c r="E100" s="95">
        <v>0.45</v>
      </c>
      <c r="F100" s="95">
        <v>0.45</v>
      </c>
      <c r="G100" s="95">
        <v>0.45</v>
      </c>
      <c r="H100" s="95">
        <v>0.6</v>
      </c>
      <c r="I100" s="95">
        <v>0.2</v>
      </c>
      <c r="J100" s="95">
        <v>0.2</v>
      </c>
      <c r="K100" s="96">
        <v>6.5066982844005528E-2</v>
      </c>
      <c r="L100" s="92">
        <v>4</v>
      </c>
      <c r="M100" s="92" t="s">
        <v>277</v>
      </c>
      <c r="N100" s="92" t="s">
        <v>102</v>
      </c>
      <c r="O100" s="92" t="s">
        <v>32</v>
      </c>
    </row>
    <row r="101" spans="1:15" s="68" customFormat="1" ht="14.4">
      <c r="A101" s="7" t="s">
        <v>396</v>
      </c>
      <c r="B101" s="92" t="s">
        <v>120</v>
      </c>
      <c r="C101" s="92" t="s">
        <v>247</v>
      </c>
      <c r="D101" s="95">
        <v>0.7</v>
      </c>
      <c r="E101" s="95">
        <v>0.69</v>
      </c>
      <c r="F101" s="95">
        <v>0.67500000000000004</v>
      </c>
      <c r="G101" s="95">
        <v>0.7</v>
      </c>
      <c r="H101" s="95">
        <v>0</v>
      </c>
      <c r="I101" s="95">
        <v>0</v>
      </c>
      <c r="J101" s="95">
        <v>0</v>
      </c>
      <c r="K101" s="96">
        <v>0.10121530664623081</v>
      </c>
      <c r="L101" s="92">
        <v>4</v>
      </c>
      <c r="M101" s="92" t="s">
        <v>277</v>
      </c>
      <c r="N101" s="92" t="s">
        <v>117</v>
      </c>
      <c r="O101" s="92" t="s">
        <v>32</v>
      </c>
    </row>
    <row r="102" spans="1:15" s="68" customFormat="1" ht="14.4">
      <c r="A102" s="7" t="s">
        <v>396</v>
      </c>
      <c r="B102" s="92" t="s">
        <v>120</v>
      </c>
      <c r="C102" s="92" t="s">
        <v>248</v>
      </c>
      <c r="D102" s="95">
        <v>1.1639999999999999</v>
      </c>
      <c r="E102" s="95">
        <v>0.96399999999999997</v>
      </c>
      <c r="F102" s="95">
        <v>1.1659999999999999</v>
      </c>
      <c r="G102" s="95">
        <v>1.1659999999999999</v>
      </c>
      <c r="H102" s="95">
        <v>0</v>
      </c>
      <c r="I102" s="95">
        <v>0</v>
      </c>
      <c r="J102" s="95">
        <v>0</v>
      </c>
      <c r="K102" s="96">
        <v>0.16859578221357874</v>
      </c>
      <c r="L102" s="92">
        <v>4</v>
      </c>
      <c r="M102" s="92" t="s">
        <v>277</v>
      </c>
      <c r="N102" s="92" t="s">
        <v>271</v>
      </c>
      <c r="O102" s="92" t="s">
        <v>32</v>
      </c>
    </row>
    <row r="103" spans="1:15" s="68" customFormat="1" ht="14.4">
      <c r="A103" s="7" t="s">
        <v>396</v>
      </c>
      <c r="B103" s="92" t="s">
        <v>350</v>
      </c>
      <c r="C103" s="92" t="s">
        <v>351</v>
      </c>
      <c r="D103" s="95">
        <v>0.35</v>
      </c>
      <c r="E103" s="95">
        <v>0.35</v>
      </c>
      <c r="F103" s="95">
        <v>0.35</v>
      </c>
      <c r="G103" s="95">
        <v>0.35</v>
      </c>
      <c r="H103" s="95">
        <v>0</v>
      </c>
      <c r="I103" s="95">
        <v>0</v>
      </c>
      <c r="J103" s="95">
        <v>0</v>
      </c>
      <c r="K103" s="96">
        <v>0.13542218834517952</v>
      </c>
      <c r="L103" s="92">
        <v>4</v>
      </c>
      <c r="M103" s="92" t="s">
        <v>277</v>
      </c>
      <c r="N103" s="92" t="s">
        <v>271</v>
      </c>
      <c r="O103" s="92" t="s">
        <v>32</v>
      </c>
    </row>
    <row r="104" spans="1:15" s="68" customFormat="1" ht="14.4">
      <c r="A104" s="7" t="s">
        <v>396</v>
      </c>
      <c r="B104" s="92" t="s">
        <v>249</v>
      </c>
      <c r="C104" s="92" t="s">
        <v>105</v>
      </c>
      <c r="D104" s="95">
        <v>30.574999999999999</v>
      </c>
      <c r="E104" s="95">
        <v>31.266999999999999</v>
      </c>
      <c r="F104" s="95">
        <v>27.088000000000001</v>
      </c>
      <c r="G104" s="95">
        <v>27.585000000000001</v>
      </c>
      <c r="H104" s="95">
        <v>25.773</v>
      </c>
      <c r="I104" s="95">
        <v>25.776</v>
      </c>
      <c r="J104" s="95">
        <v>25.776</v>
      </c>
      <c r="K104" s="96">
        <v>30.2</v>
      </c>
      <c r="L104" s="92">
        <v>2</v>
      </c>
      <c r="M104" s="92" t="s">
        <v>106</v>
      </c>
      <c r="N104" s="92" t="s">
        <v>107</v>
      </c>
      <c r="O104" s="92" t="s">
        <v>32</v>
      </c>
    </row>
    <row r="105" spans="1:15" s="68" customFormat="1" ht="14.4">
      <c r="A105" s="7" t="s">
        <v>396</v>
      </c>
      <c r="B105" s="92" t="s">
        <v>694</v>
      </c>
      <c r="C105" s="92" t="s">
        <v>250</v>
      </c>
      <c r="D105" s="95">
        <v>5.008</v>
      </c>
      <c r="E105" s="95">
        <v>8.1050210000000007</v>
      </c>
      <c r="F105" s="95">
        <v>29.852</v>
      </c>
      <c r="G105" s="95">
        <v>28.635999999999999</v>
      </c>
      <c r="H105" s="95">
        <v>28.861000000000001</v>
      </c>
      <c r="I105" s="95">
        <v>28.949000000000002</v>
      </c>
      <c r="J105" s="95">
        <v>28.023</v>
      </c>
      <c r="K105" s="96">
        <v>70.900000000000006</v>
      </c>
      <c r="L105" s="92">
        <v>1</v>
      </c>
      <c r="M105" s="92" t="s">
        <v>95</v>
      </c>
      <c r="N105" s="92" t="s">
        <v>108</v>
      </c>
      <c r="O105" s="92" t="s">
        <v>32</v>
      </c>
    </row>
    <row r="106" spans="1:15" s="68" customFormat="1" ht="14.4">
      <c r="A106" s="7" t="s">
        <v>396</v>
      </c>
      <c r="B106" s="92" t="s">
        <v>426</v>
      </c>
      <c r="C106" s="92" t="s">
        <v>490</v>
      </c>
      <c r="D106" s="95">
        <v>6.1180000000000003</v>
      </c>
      <c r="E106" s="95">
        <v>6.7380000000000004</v>
      </c>
      <c r="F106" s="95">
        <v>2.488</v>
      </c>
      <c r="G106" s="95">
        <v>2.4260000000000002</v>
      </c>
      <c r="H106" s="95">
        <v>2.4009999999999998</v>
      </c>
      <c r="I106" s="95">
        <v>2.4009999999999998</v>
      </c>
      <c r="J106" s="95">
        <v>2.4009999999999998</v>
      </c>
      <c r="K106" s="96">
        <v>5.5</v>
      </c>
      <c r="L106" s="92">
        <v>2</v>
      </c>
      <c r="M106" s="92" t="s">
        <v>106</v>
      </c>
      <c r="N106" s="92" t="s">
        <v>107</v>
      </c>
      <c r="O106" s="92" t="s">
        <v>32</v>
      </c>
    </row>
    <row r="107" spans="1:15" s="68" customFormat="1" ht="14.4">
      <c r="A107" s="7" t="s">
        <v>396</v>
      </c>
      <c r="B107" s="92" t="s">
        <v>253</v>
      </c>
      <c r="C107" s="92" t="s">
        <v>252</v>
      </c>
      <c r="D107" s="95">
        <v>0.4</v>
      </c>
      <c r="E107" s="95">
        <v>0.4</v>
      </c>
      <c r="F107" s="95">
        <v>0.4</v>
      </c>
      <c r="G107" s="95">
        <v>0.4</v>
      </c>
      <c r="H107" s="95">
        <v>0.4</v>
      </c>
      <c r="I107" s="95">
        <v>0.4</v>
      </c>
      <c r="J107" s="95">
        <v>0.4</v>
      </c>
      <c r="K107" s="96">
        <v>0.9</v>
      </c>
      <c r="L107" s="92">
        <v>4</v>
      </c>
      <c r="M107" s="92" t="s">
        <v>277</v>
      </c>
      <c r="N107" s="92" t="s">
        <v>313</v>
      </c>
      <c r="O107" s="92" t="s">
        <v>32</v>
      </c>
    </row>
    <row r="108" spans="1:15" s="68" customFormat="1" ht="14.4">
      <c r="A108" s="7" t="s">
        <v>396</v>
      </c>
      <c r="B108" s="92" t="s">
        <v>254</v>
      </c>
      <c r="C108" s="92" t="s">
        <v>312</v>
      </c>
      <c r="D108" s="95">
        <v>0.77700000000000002</v>
      </c>
      <c r="E108" s="95">
        <v>1.7</v>
      </c>
      <c r="F108" s="95">
        <v>1.4590000000000001</v>
      </c>
      <c r="G108" s="95">
        <v>1.679</v>
      </c>
      <c r="H108" s="95">
        <v>1.6839999999999999</v>
      </c>
      <c r="I108" s="95">
        <v>1.6910000000000001</v>
      </c>
      <c r="J108" s="95">
        <v>1.6919999999999999</v>
      </c>
      <c r="K108" s="96">
        <v>3.2</v>
      </c>
      <c r="L108" s="92">
        <v>4</v>
      </c>
      <c r="M108" s="92" t="s">
        <v>277</v>
      </c>
      <c r="N108" s="92" t="s">
        <v>112</v>
      </c>
      <c r="O108" s="92" t="s">
        <v>32</v>
      </c>
    </row>
    <row r="109" spans="1:15" s="68" customFormat="1" ht="14.4">
      <c r="A109" s="7" t="s">
        <v>396</v>
      </c>
      <c r="B109" s="92" t="s">
        <v>255</v>
      </c>
      <c r="C109" s="92" t="s">
        <v>115</v>
      </c>
      <c r="D109" s="95">
        <v>4.0339999999999998</v>
      </c>
      <c r="E109" s="95">
        <v>4.1769999999999996</v>
      </c>
      <c r="F109" s="95">
        <v>4.1310000000000002</v>
      </c>
      <c r="G109" s="95">
        <v>4.1310000000000002</v>
      </c>
      <c r="H109" s="95">
        <v>4.1310000000000002</v>
      </c>
      <c r="I109" s="95">
        <v>4.1319999999999997</v>
      </c>
      <c r="J109" s="95">
        <v>4.3650000000000002</v>
      </c>
      <c r="K109" s="96">
        <v>25.178915925073124</v>
      </c>
      <c r="L109" s="92">
        <v>4</v>
      </c>
      <c r="M109" s="92" t="s">
        <v>277</v>
      </c>
      <c r="N109" s="92" t="s">
        <v>116</v>
      </c>
      <c r="O109" s="92" t="s">
        <v>32</v>
      </c>
    </row>
    <row r="110" spans="1:15" s="68" customFormat="1" ht="14.4">
      <c r="A110" s="7" t="s">
        <v>396</v>
      </c>
      <c r="B110" s="92" t="s">
        <v>256</v>
      </c>
      <c r="C110" s="92" t="s">
        <v>118</v>
      </c>
      <c r="D110" s="95">
        <v>0.35199999999999998</v>
      </c>
      <c r="E110" s="95">
        <v>0.45700000000000002</v>
      </c>
      <c r="F110" s="95">
        <v>0.46100000000000002</v>
      </c>
      <c r="G110" s="95">
        <v>0.46300000000000002</v>
      </c>
      <c r="H110" s="95">
        <v>0.46300000000000002</v>
      </c>
      <c r="I110" s="95">
        <v>0.46300000000000002</v>
      </c>
      <c r="J110" s="95">
        <v>0.46300000000000002</v>
      </c>
      <c r="K110" s="96">
        <v>1.6</v>
      </c>
      <c r="L110" s="92">
        <v>2</v>
      </c>
      <c r="M110" s="92" t="s">
        <v>106</v>
      </c>
      <c r="N110" s="92" t="s">
        <v>24</v>
      </c>
      <c r="O110" s="92" t="s">
        <v>32</v>
      </c>
    </row>
    <row r="111" spans="1:15" s="68" customFormat="1" ht="14.4">
      <c r="A111" s="7" t="s">
        <v>396</v>
      </c>
      <c r="B111" s="92" t="s">
        <v>251</v>
      </c>
      <c r="C111" s="92" t="s">
        <v>688</v>
      </c>
      <c r="D111" s="95">
        <v>1</v>
      </c>
      <c r="E111" s="95">
        <v>0.26200000000000001</v>
      </c>
      <c r="F111" s="95">
        <v>0.39500000000000002</v>
      </c>
      <c r="G111" s="95">
        <v>0.39500000000000002</v>
      </c>
      <c r="H111" s="95">
        <v>0.377</v>
      </c>
      <c r="I111" s="95">
        <v>0.377</v>
      </c>
      <c r="J111" s="95">
        <v>0.377</v>
      </c>
      <c r="K111" s="96">
        <v>0.9</v>
      </c>
      <c r="L111" s="92">
        <v>4</v>
      </c>
      <c r="M111" s="92" t="s">
        <v>277</v>
      </c>
      <c r="N111" s="92" t="s">
        <v>17</v>
      </c>
      <c r="O111" s="92" t="s">
        <v>32</v>
      </c>
    </row>
    <row r="112" spans="1:15" s="68" customFormat="1" ht="14.4">
      <c r="A112" s="7" t="s">
        <v>396</v>
      </c>
      <c r="B112" s="116" t="s">
        <v>310</v>
      </c>
      <c r="C112" s="92" t="s">
        <v>311</v>
      </c>
      <c r="D112" s="95">
        <v>0.6</v>
      </c>
      <c r="E112" s="95">
        <v>0.6</v>
      </c>
      <c r="F112" s="95">
        <v>0.6</v>
      </c>
      <c r="G112" s="95">
        <v>0.6</v>
      </c>
      <c r="H112" s="95">
        <v>0.6</v>
      </c>
      <c r="I112" s="95">
        <v>0.6</v>
      </c>
      <c r="J112" s="95">
        <v>0.6</v>
      </c>
      <c r="K112" s="96">
        <v>1.3</v>
      </c>
      <c r="L112" s="92">
        <v>2</v>
      </c>
      <c r="M112" s="92" t="s">
        <v>106</v>
      </c>
      <c r="N112" s="92" t="s">
        <v>23</v>
      </c>
      <c r="O112" s="92" t="s">
        <v>32</v>
      </c>
    </row>
    <row r="113" spans="1:15" s="68" customFormat="1" ht="14.4">
      <c r="A113" s="7" t="s">
        <v>396</v>
      </c>
      <c r="B113" s="92" t="s">
        <v>427</v>
      </c>
      <c r="C113" s="92" t="s">
        <v>109</v>
      </c>
      <c r="D113" s="95">
        <v>3.6999999999999998E-2</v>
      </c>
      <c r="E113" s="95">
        <v>3.9E-2</v>
      </c>
      <c r="F113" s="95">
        <v>0.04</v>
      </c>
      <c r="G113" s="95">
        <v>0.04</v>
      </c>
      <c r="H113" s="95">
        <v>0.04</v>
      </c>
      <c r="I113" s="95">
        <v>0.04</v>
      </c>
      <c r="J113" s="95">
        <v>0.04</v>
      </c>
      <c r="K113" s="96">
        <v>0.14031978139655107</v>
      </c>
      <c r="L113" s="92">
        <v>4</v>
      </c>
      <c r="M113" s="92" t="s">
        <v>277</v>
      </c>
      <c r="N113" s="92" t="s">
        <v>110</v>
      </c>
      <c r="O113" s="92" t="s">
        <v>32</v>
      </c>
    </row>
    <row r="114" spans="1:15" s="68" customFormat="1" ht="14.4">
      <c r="A114" s="7" t="s">
        <v>396</v>
      </c>
      <c r="B114" s="107" t="s">
        <v>254</v>
      </c>
      <c r="C114" s="92" t="s">
        <v>307</v>
      </c>
      <c r="D114" s="95">
        <v>0.1</v>
      </c>
      <c r="E114" s="95">
        <v>0.1</v>
      </c>
      <c r="F114" s="95">
        <v>0.1</v>
      </c>
      <c r="G114" s="95">
        <v>0.1</v>
      </c>
      <c r="H114" s="95">
        <v>0.1</v>
      </c>
      <c r="I114" s="95">
        <v>0.1</v>
      </c>
      <c r="J114" s="95">
        <v>0</v>
      </c>
      <c r="K114" s="96">
        <v>0.17560804284836246</v>
      </c>
      <c r="L114" s="92">
        <v>4</v>
      </c>
      <c r="M114" s="92" t="s">
        <v>277</v>
      </c>
      <c r="N114" s="92" t="s">
        <v>313</v>
      </c>
      <c r="O114" s="92" t="s">
        <v>32</v>
      </c>
    </row>
    <row r="115" spans="1:15" s="68" customFormat="1" ht="14.4">
      <c r="A115" s="7" t="s">
        <v>396</v>
      </c>
      <c r="B115" s="116" t="s">
        <v>309</v>
      </c>
      <c r="C115" s="92" t="s">
        <v>308</v>
      </c>
      <c r="D115" s="95">
        <v>0</v>
      </c>
      <c r="E115" s="95">
        <v>0</v>
      </c>
      <c r="F115" s="95">
        <v>0</v>
      </c>
      <c r="G115" s="95">
        <v>0</v>
      </c>
      <c r="H115" s="95">
        <v>0</v>
      </c>
      <c r="I115" s="95">
        <v>0</v>
      </c>
      <c r="J115" s="95">
        <v>0</v>
      </c>
      <c r="K115" s="96">
        <v>0</v>
      </c>
      <c r="L115" s="92">
        <v>4</v>
      </c>
      <c r="M115" s="92" t="s">
        <v>277</v>
      </c>
      <c r="N115" s="92" t="s">
        <v>56</v>
      </c>
      <c r="O115" s="92" t="s">
        <v>32</v>
      </c>
    </row>
    <row r="116" spans="1:15" s="68" customFormat="1" ht="14.4">
      <c r="A116" s="7" t="s">
        <v>396</v>
      </c>
      <c r="B116" s="92" t="s">
        <v>120</v>
      </c>
      <c r="C116" s="92" t="s">
        <v>121</v>
      </c>
      <c r="D116" s="95">
        <v>0.22500000000000001</v>
      </c>
      <c r="E116" s="95">
        <v>0</v>
      </c>
      <c r="F116" s="95">
        <v>0</v>
      </c>
      <c r="G116" s="95">
        <v>0</v>
      </c>
      <c r="H116" s="95">
        <v>0</v>
      </c>
      <c r="I116" s="95">
        <v>0</v>
      </c>
      <c r="J116" s="95">
        <v>0</v>
      </c>
      <c r="K116" s="96">
        <v>3.2533491422002764E-2</v>
      </c>
      <c r="L116" s="92">
        <v>4</v>
      </c>
      <c r="M116" s="92" t="s">
        <v>277</v>
      </c>
      <c r="N116" s="92" t="s">
        <v>4</v>
      </c>
      <c r="O116" s="92" t="s">
        <v>33</v>
      </c>
    </row>
    <row r="117" spans="1:15" s="68" customFormat="1" ht="14.4">
      <c r="A117" s="7" t="s">
        <v>396</v>
      </c>
      <c r="B117" s="92" t="s">
        <v>120</v>
      </c>
      <c r="C117" s="92" t="s">
        <v>257</v>
      </c>
      <c r="D117" s="95">
        <v>0</v>
      </c>
      <c r="E117" s="95">
        <v>1.3</v>
      </c>
      <c r="F117" s="95">
        <v>1.5</v>
      </c>
      <c r="G117" s="95">
        <v>1.5</v>
      </c>
      <c r="H117" s="95">
        <v>1.5</v>
      </c>
      <c r="I117" s="95">
        <v>1.5</v>
      </c>
      <c r="J117" s="95">
        <v>1.5</v>
      </c>
      <c r="K117" s="96">
        <v>0.2</v>
      </c>
      <c r="L117" s="92">
        <v>4</v>
      </c>
      <c r="M117" s="92" t="s">
        <v>277</v>
      </c>
      <c r="N117" s="92" t="s">
        <v>114</v>
      </c>
      <c r="O117" s="92" t="s">
        <v>33</v>
      </c>
    </row>
    <row r="118" spans="1:15" s="68" customFormat="1" ht="14.4">
      <c r="A118" s="7" t="s">
        <v>396</v>
      </c>
      <c r="B118" s="92" t="s">
        <v>689</v>
      </c>
      <c r="C118" s="92" t="s">
        <v>690</v>
      </c>
      <c r="D118" s="95">
        <v>7.9180000000000001</v>
      </c>
      <c r="E118" s="95">
        <v>16.353000000000002</v>
      </c>
      <c r="F118" s="95">
        <v>15.63</v>
      </c>
      <c r="G118" s="95">
        <v>12.268000000000001</v>
      </c>
      <c r="H118" s="95">
        <v>12.189</v>
      </c>
      <c r="I118" s="95">
        <v>11.855</v>
      </c>
      <c r="J118" s="95">
        <v>9.84</v>
      </c>
      <c r="K118" s="96">
        <v>2.4</v>
      </c>
      <c r="L118" s="92">
        <v>4</v>
      </c>
      <c r="M118" s="92" t="s">
        <v>277</v>
      </c>
      <c r="N118" s="92" t="s">
        <v>691</v>
      </c>
      <c r="O118" s="92" t="s">
        <v>33</v>
      </c>
    </row>
    <row r="119" spans="1:15" s="68" customFormat="1" ht="14.4">
      <c r="A119" s="7" t="s">
        <v>396</v>
      </c>
      <c r="B119" s="92" t="s">
        <v>494</v>
      </c>
      <c r="C119" s="92" t="s">
        <v>493</v>
      </c>
      <c r="D119" s="95">
        <v>2.3010000000000002</v>
      </c>
      <c r="E119" s="95">
        <v>3.3780000000000001</v>
      </c>
      <c r="F119" s="95">
        <v>3.1890000000000001</v>
      </c>
      <c r="G119" s="95">
        <v>1.137</v>
      </c>
      <c r="H119" s="95">
        <v>1.133</v>
      </c>
      <c r="I119" s="95">
        <v>1.133</v>
      </c>
      <c r="J119" s="95">
        <v>1.133</v>
      </c>
      <c r="K119" s="96">
        <v>2.4</v>
      </c>
      <c r="L119" s="92">
        <v>4</v>
      </c>
      <c r="M119" s="92" t="s">
        <v>277</v>
      </c>
      <c r="N119" s="92" t="s">
        <v>495</v>
      </c>
      <c r="O119" s="92" t="s">
        <v>33</v>
      </c>
    </row>
    <row r="120" spans="1:15" s="68" customFormat="1" ht="14.4">
      <c r="A120" s="7" t="s">
        <v>396</v>
      </c>
      <c r="B120" s="92" t="s">
        <v>496</v>
      </c>
      <c r="C120" s="92" t="s">
        <v>492</v>
      </c>
      <c r="D120" s="95">
        <v>1.288</v>
      </c>
      <c r="E120" s="95">
        <v>3.5419999999999998</v>
      </c>
      <c r="F120" s="95">
        <v>2.0310000000000001</v>
      </c>
      <c r="G120" s="95">
        <v>2.39</v>
      </c>
      <c r="H120" s="95">
        <v>2.1139999999999999</v>
      </c>
      <c r="I120" s="95">
        <v>1.9370000000000001</v>
      </c>
      <c r="J120" s="95">
        <v>1.651</v>
      </c>
      <c r="K120" s="96">
        <v>19</v>
      </c>
      <c r="L120" s="92">
        <v>4</v>
      </c>
      <c r="M120" s="92" t="s">
        <v>277</v>
      </c>
      <c r="N120" s="92" t="s">
        <v>33</v>
      </c>
      <c r="O120" s="92" t="s">
        <v>33</v>
      </c>
    </row>
    <row r="121" spans="1:15" s="7" customFormat="1">
      <c r="A121" s="7" t="s">
        <v>396</v>
      </c>
      <c r="B121" s="7" t="s">
        <v>497</v>
      </c>
      <c r="C121" s="7" t="s">
        <v>491</v>
      </c>
      <c r="D121" s="58">
        <v>0.53800000000000003</v>
      </c>
      <c r="E121" s="7">
        <v>1.776</v>
      </c>
      <c r="F121" s="7">
        <v>1.774</v>
      </c>
      <c r="G121" s="58">
        <v>1.9570000000000001</v>
      </c>
      <c r="H121" s="58">
        <v>1.82</v>
      </c>
      <c r="I121" s="58">
        <v>1.3819999999999999</v>
      </c>
      <c r="J121" s="7">
        <v>0.83599999999999997</v>
      </c>
      <c r="K121" s="96">
        <v>38</v>
      </c>
      <c r="L121" s="7">
        <v>4</v>
      </c>
      <c r="M121" s="92" t="s">
        <v>277</v>
      </c>
      <c r="N121" s="92" t="s">
        <v>33</v>
      </c>
      <c r="O121" s="92" t="s">
        <v>33</v>
      </c>
    </row>
    <row r="122" spans="1:15" s="7" customFormat="1">
      <c r="A122" s="7" t="s">
        <v>396</v>
      </c>
      <c r="B122" s="7" t="s">
        <v>314</v>
      </c>
      <c r="C122" s="7" t="s">
        <v>428</v>
      </c>
      <c r="D122" s="58">
        <v>3.0979999999999999</v>
      </c>
      <c r="E122" s="7">
        <v>7.8410000000000002</v>
      </c>
      <c r="F122" s="7">
        <v>3.5979999999999999</v>
      </c>
      <c r="G122" s="7">
        <v>2.7029999999999998</v>
      </c>
      <c r="H122" s="58">
        <v>4.8079999999999998</v>
      </c>
      <c r="I122" s="58">
        <v>4.2190000000000003</v>
      </c>
      <c r="J122" s="58">
        <v>0</v>
      </c>
      <c r="K122" s="96">
        <v>3.5</v>
      </c>
      <c r="L122" s="7">
        <v>4</v>
      </c>
      <c r="M122" s="92" t="s">
        <v>277</v>
      </c>
      <c r="N122" s="92" t="s">
        <v>495</v>
      </c>
      <c r="O122" s="92" t="s">
        <v>33</v>
      </c>
    </row>
    <row r="123" spans="1:15" s="7" customFormat="1">
      <c r="A123" s="7" t="s">
        <v>397</v>
      </c>
      <c r="B123" s="93" t="s">
        <v>304</v>
      </c>
      <c r="C123" s="7" t="s">
        <v>627</v>
      </c>
      <c r="D123" s="58">
        <v>1.681</v>
      </c>
      <c r="E123" s="58">
        <v>1.9259999999999999</v>
      </c>
      <c r="F123" s="58">
        <v>2.1219999999999999</v>
      </c>
      <c r="G123" s="58">
        <v>2.0539999999999998</v>
      </c>
      <c r="H123" s="58">
        <v>2.0979999999999999</v>
      </c>
      <c r="I123" s="58">
        <v>1.5349999999999999</v>
      </c>
      <c r="J123" s="58">
        <v>1.5349999999999999</v>
      </c>
      <c r="K123" s="10">
        <v>100</v>
      </c>
      <c r="L123" s="10">
        <v>6</v>
      </c>
      <c r="M123" s="10" t="s">
        <v>153</v>
      </c>
      <c r="N123" s="10" t="s">
        <v>2</v>
      </c>
      <c r="O123" s="10" t="s">
        <v>33</v>
      </c>
    </row>
    <row r="124" spans="1:15" s="7" customFormat="1" ht="15" customHeight="1">
      <c r="A124" s="7" t="s">
        <v>397</v>
      </c>
      <c r="B124" s="93" t="s">
        <v>304</v>
      </c>
      <c r="C124" s="7" t="s">
        <v>628</v>
      </c>
      <c r="D124" s="58">
        <v>1.5056</v>
      </c>
      <c r="E124" s="58">
        <v>1.1552</v>
      </c>
      <c r="F124" s="58">
        <v>0.88160000000000005</v>
      </c>
      <c r="G124" s="58">
        <v>0.85260000000000014</v>
      </c>
      <c r="H124" s="58">
        <v>0.90680000000000005</v>
      </c>
      <c r="I124" s="58">
        <v>0.88880000000000003</v>
      </c>
      <c r="J124" s="58">
        <v>0.90100000000000013</v>
      </c>
      <c r="K124" s="10">
        <v>20</v>
      </c>
      <c r="L124" s="10">
        <v>4</v>
      </c>
      <c r="M124" s="92" t="s">
        <v>277</v>
      </c>
      <c r="N124" s="10" t="s">
        <v>3</v>
      </c>
      <c r="O124" s="10" t="s">
        <v>32</v>
      </c>
    </row>
    <row r="125" spans="1:15" s="7" customFormat="1" ht="15" customHeight="1">
      <c r="A125" s="7" t="s">
        <v>397</v>
      </c>
      <c r="B125" s="93" t="s">
        <v>304</v>
      </c>
      <c r="C125" s="7" t="s">
        <v>438</v>
      </c>
      <c r="D125" s="58">
        <v>1.3176499999999998</v>
      </c>
      <c r="E125" s="58">
        <v>3.7344499999999998</v>
      </c>
      <c r="F125" s="58">
        <v>5.4539499999999999</v>
      </c>
      <c r="G125" s="58">
        <v>7.4489499999999991</v>
      </c>
      <c r="H125" s="58">
        <v>7.4726999999999988</v>
      </c>
      <c r="I125" s="58">
        <v>7.8051999999999992</v>
      </c>
      <c r="J125" s="58">
        <v>7.9144499999999987</v>
      </c>
      <c r="K125" s="221">
        <v>95</v>
      </c>
      <c r="L125" s="10">
        <v>14</v>
      </c>
      <c r="M125" s="92" t="s">
        <v>46</v>
      </c>
      <c r="N125" s="10" t="s">
        <v>629</v>
      </c>
      <c r="O125" s="10" t="s">
        <v>33</v>
      </c>
    </row>
    <row r="126" spans="1:15" s="7" customFormat="1">
      <c r="A126" s="7" t="s">
        <v>397</v>
      </c>
      <c r="B126" s="93" t="s">
        <v>305</v>
      </c>
      <c r="C126" s="7" t="s">
        <v>630</v>
      </c>
      <c r="D126" s="58">
        <v>2.6764999999999999</v>
      </c>
      <c r="E126" s="58">
        <v>4.0365000000000002</v>
      </c>
      <c r="F126" s="58">
        <v>2.7865000000000002</v>
      </c>
      <c r="G126" s="58">
        <v>2.7865000000000002</v>
      </c>
      <c r="H126" s="58">
        <v>2.7865000000000002</v>
      </c>
      <c r="I126" s="58">
        <v>2.7865000000000002</v>
      </c>
      <c r="J126" s="58">
        <v>2.7865000000000002</v>
      </c>
      <c r="K126" s="10">
        <v>25</v>
      </c>
      <c r="L126" s="10">
        <v>6</v>
      </c>
      <c r="M126" s="10" t="s">
        <v>153</v>
      </c>
      <c r="N126" s="10" t="s">
        <v>4</v>
      </c>
      <c r="O126" s="10" t="s">
        <v>32</v>
      </c>
    </row>
    <row r="127" spans="1:15" s="7" customFormat="1">
      <c r="A127" s="7" t="s">
        <v>397</v>
      </c>
      <c r="B127" s="93" t="s">
        <v>305</v>
      </c>
      <c r="C127" s="7" t="s">
        <v>5</v>
      </c>
      <c r="D127" s="58">
        <v>5.3649050000000003</v>
      </c>
      <c r="E127" s="58">
        <v>5.5674500000000009</v>
      </c>
      <c r="F127" s="58">
        <v>5.5496350000000003</v>
      </c>
      <c r="G127" s="58">
        <v>5.5430200000000003</v>
      </c>
      <c r="H127" s="58">
        <v>5.5592600000000001</v>
      </c>
      <c r="I127" s="58">
        <v>5.5441750000000001</v>
      </c>
      <c r="J127" s="58">
        <v>5.5441750000000001</v>
      </c>
      <c r="K127" s="10">
        <v>3.5</v>
      </c>
      <c r="L127" s="10">
        <v>11</v>
      </c>
      <c r="M127" s="92" t="s">
        <v>48</v>
      </c>
      <c r="N127" s="10" t="s">
        <v>6</v>
      </c>
      <c r="O127" s="10" t="s">
        <v>32</v>
      </c>
    </row>
    <row r="128" spans="1:15" s="7" customFormat="1">
      <c r="A128" s="7" t="s">
        <v>397</v>
      </c>
      <c r="B128" s="93" t="s">
        <v>574</v>
      </c>
      <c r="C128" s="7" t="s">
        <v>568</v>
      </c>
      <c r="D128" s="58">
        <v>1.8888</v>
      </c>
      <c r="E128" s="58">
        <v>2.0726999999999998</v>
      </c>
      <c r="F128" s="58">
        <v>2.2134</v>
      </c>
      <c r="G128" s="58">
        <v>2.4443999999999999</v>
      </c>
      <c r="H128" s="58">
        <v>2.4443999999999999</v>
      </c>
      <c r="I128" s="58">
        <v>2.4594</v>
      </c>
      <c r="J128" s="58">
        <v>2.4594</v>
      </c>
      <c r="K128" s="10">
        <v>30</v>
      </c>
      <c r="L128" s="10">
        <v>4</v>
      </c>
      <c r="M128" s="92" t="s">
        <v>277</v>
      </c>
      <c r="N128" s="10" t="s">
        <v>19</v>
      </c>
      <c r="O128" s="10" t="s">
        <v>33</v>
      </c>
    </row>
    <row r="129" spans="1:15" s="7" customFormat="1">
      <c r="A129" s="7" t="s">
        <v>397</v>
      </c>
      <c r="B129" s="7" t="s">
        <v>631</v>
      </c>
      <c r="C129" s="7" t="s">
        <v>632</v>
      </c>
      <c r="D129" s="83">
        <v>0</v>
      </c>
      <c r="E129" s="83">
        <v>0</v>
      </c>
      <c r="F129" s="83">
        <v>0</v>
      </c>
      <c r="G129" s="83">
        <v>0</v>
      </c>
      <c r="H129" s="83">
        <v>0</v>
      </c>
      <c r="I129" s="83">
        <v>0</v>
      </c>
      <c r="J129" s="83">
        <v>0</v>
      </c>
      <c r="K129" s="7">
        <v>100</v>
      </c>
      <c r="L129" s="7">
        <v>3</v>
      </c>
      <c r="N129" s="7" t="s">
        <v>634</v>
      </c>
      <c r="O129" s="10" t="s">
        <v>33</v>
      </c>
    </row>
    <row r="130" spans="1:15" s="7" customFormat="1">
      <c r="A130" s="7" t="s">
        <v>397</v>
      </c>
      <c r="B130" s="7" t="s">
        <v>29</v>
      </c>
      <c r="C130" s="7" t="s">
        <v>224</v>
      </c>
      <c r="D130" s="83">
        <v>14.820300000000001</v>
      </c>
      <c r="E130" s="83">
        <v>16.999200000000002</v>
      </c>
      <c r="F130" s="83">
        <v>23.3172</v>
      </c>
      <c r="G130" s="83">
        <v>27.355499999999999</v>
      </c>
      <c r="H130" s="83">
        <v>37.009800000000006</v>
      </c>
      <c r="I130" s="83">
        <v>37.009800000000006</v>
      </c>
      <c r="J130" s="83">
        <v>37.009800000000006</v>
      </c>
      <c r="K130" s="7">
        <v>90</v>
      </c>
      <c r="L130" s="7">
        <v>6</v>
      </c>
      <c r="M130" s="10" t="s">
        <v>153</v>
      </c>
      <c r="N130" s="7" t="s">
        <v>11</v>
      </c>
      <c r="O130" s="10" t="s">
        <v>33</v>
      </c>
    </row>
    <row r="131" spans="1:15" s="7" customFormat="1" ht="13.5" customHeight="1">
      <c r="A131" s="7" t="s">
        <v>397</v>
      </c>
      <c r="B131" s="7" t="s">
        <v>10</v>
      </c>
      <c r="C131" s="7" t="s">
        <v>352</v>
      </c>
      <c r="D131" s="83">
        <v>16.960999999999999</v>
      </c>
      <c r="E131" s="83">
        <v>18.734000000000002</v>
      </c>
      <c r="F131" s="83">
        <v>19.582999999999998</v>
      </c>
      <c r="G131" s="83">
        <v>19.048999999999999</v>
      </c>
      <c r="H131" s="83">
        <v>18.649000000000001</v>
      </c>
      <c r="I131" s="83">
        <v>18.382000000000001</v>
      </c>
      <c r="J131" s="83">
        <v>18.132000000000001</v>
      </c>
      <c r="K131" s="7">
        <v>100</v>
      </c>
      <c r="L131" s="7">
        <v>6</v>
      </c>
      <c r="M131" s="10" t="s">
        <v>153</v>
      </c>
      <c r="N131" s="7" t="s">
        <v>11</v>
      </c>
      <c r="O131" s="10" t="s">
        <v>33</v>
      </c>
    </row>
    <row r="132" spans="1:15" s="7" customFormat="1">
      <c r="A132" s="7" t="s">
        <v>397</v>
      </c>
      <c r="B132" s="7" t="s">
        <v>12</v>
      </c>
      <c r="C132" s="7" t="s">
        <v>439</v>
      </c>
      <c r="D132" s="83">
        <v>0.25</v>
      </c>
      <c r="E132" s="83">
        <v>0.26200000000000001</v>
      </c>
      <c r="F132" s="83">
        <v>0.26200000000000001</v>
      </c>
      <c r="G132" s="83">
        <v>0.26200000000000001</v>
      </c>
      <c r="H132" s="83">
        <v>0.26200000000000001</v>
      </c>
      <c r="I132" s="83">
        <v>0.26200000000000001</v>
      </c>
      <c r="J132" s="83">
        <v>0.26200000000000001</v>
      </c>
      <c r="K132" s="7">
        <v>100</v>
      </c>
      <c r="L132" s="7">
        <v>4</v>
      </c>
      <c r="M132" s="92" t="s">
        <v>277</v>
      </c>
      <c r="N132" s="7" t="s">
        <v>4</v>
      </c>
      <c r="O132" s="10" t="s">
        <v>32</v>
      </c>
    </row>
    <row r="133" spans="1:15" s="7" customFormat="1">
      <c r="A133" s="7" t="s">
        <v>397</v>
      </c>
      <c r="B133" s="7" t="s">
        <v>12</v>
      </c>
      <c r="C133" s="7" t="s">
        <v>440</v>
      </c>
      <c r="D133" s="83">
        <v>0</v>
      </c>
      <c r="E133" s="83">
        <v>0</v>
      </c>
      <c r="F133" s="83">
        <v>0</v>
      </c>
      <c r="G133" s="83">
        <v>0</v>
      </c>
      <c r="H133" s="83">
        <v>0</v>
      </c>
      <c r="I133" s="83">
        <v>0</v>
      </c>
      <c r="J133" s="83">
        <v>0</v>
      </c>
      <c r="K133" s="7">
        <v>100</v>
      </c>
      <c r="L133" s="7">
        <v>6</v>
      </c>
      <c r="M133" s="10" t="s">
        <v>153</v>
      </c>
      <c r="N133" s="7" t="s">
        <v>19</v>
      </c>
      <c r="O133" s="10" t="s">
        <v>33</v>
      </c>
    </row>
    <row r="134" spans="1:15" s="7" customFormat="1">
      <c r="A134" s="7" t="s">
        <v>397</v>
      </c>
      <c r="B134" s="7" t="s">
        <v>12</v>
      </c>
      <c r="C134" s="7" t="s">
        <v>441</v>
      </c>
      <c r="D134" s="83">
        <v>0.16300000000000001</v>
      </c>
      <c r="E134" s="83">
        <v>0.16300000000000001</v>
      </c>
      <c r="F134" s="83">
        <v>0.16300000000000001</v>
      </c>
      <c r="G134" s="83">
        <v>0.16300000000000001</v>
      </c>
      <c r="H134" s="83">
        <v>0.16300000000000001</v>
      </c>
      <c r="I134" s="83">
        <v>0.16300000000000001</v>
      </c>
      <c r="J134" s="83">
        <v>0.16300000000000001</v>
      </c>
      <c r="K134" s="7">
        <v>100</v>
      </c>
      <c r="L134" s="7">
        <v>11</v>
      </c>
      <c r="M134" s="92" t="s">
        <v>48</v>
      </c>
      <c r="N134" s="7" t="s">
        <v>4</v>
      </c>
      <c r="O134" s="10" t="s">
        <v>32</v>
      </c>
    </row>
    <row r="135" spans="1:15" s="7" customFormat="1">
      <c r="A135" s="204" t="s">
        <v>397</v>
      </c>
      <c r="B135" s="204" t="s">
        <v>12</v>
      </c>
      <c r="C135" s="204" t="s">
        <v>726</v>
      </c>
      <c r="D135" s="209">
        <v>29.935345188126739</v>
      </c>
      <c r="E135" s="209">
        <v>29.003645082793135</v>
      </c>
      <c r="F135" s="209">
        <v>26.642019715268479</v>
      </c>
      <c r="G135" s="209">
        <v>26.476102477517436</v>
      </c>
      <c r="H135" s="209">
        <v>26.483894091535895</v>
      </c>
      <c r="I135" s="209">
        <v>26.598222444104398</v>
      </c>
      <c r="J135" s="209">
        <v>26.547463499121886</v>
      </c>
      <c r="K135" s="204">
        <v>100</v>
      </c>
      <c r="L135" s="204">
        <v>1</v>
      </c>
      <c r="M135" s="210"/>
      <c r="N135" s="204" t="s">
        <v>13</v>
      </c>
      <c r="O135" s="204" t="s">
        <v>32</v>
      </c>
    </row>
    <row r="136" spans="1:15" s="7" customFormat="1">
      <c r="A136" s="204" t="s">
        <v>397</v>
      </c>
      <c r="B136" s="204" t="s">
        <v>12</v>
      </c>
      <c r="C136" s="204" t="s">
        <v>727</v>
      </c>
      <c r="D136" s="209">
        <v>6.304855049096731</v>
      </c>
      <c r="E136" s="209">
        <v>6.1086243366582975</v>
      </c>
      <c r="F136" s="209">
        <v>5.6112288488515141</v>
      </c>
      <c r="G136" s="209">
        <v>5.5762840661007953</v>
      </c>
      <c r="H136" s="209">
        <v>5.5779251026973729</v>
      </c>
      <c r="I136" s="209">
        <v>5.6020044539263791</v>
      </c>
      <c r="J136" s="209">
        <v>5.5913138208787689</v>
      </c>
      <c r="K136" s="204">
        <v>100</v>
      </c>
      <c r="L136" s="204">
        <v>2</v>
      </c>
      <c r="M136" s="210"/>
      <c r="N136" s="204" t="s">
        <v>13</v>
      </c>
      <c r="O136" s="204" t="s">
        <v>32</v>
      </c>
    </row>
    <row r="137" spans="1:15" s="7" customFormat="1">
      <c r="A137" s="204" t="s">
        <v>397</v>
      </c>
      <c r="B137" s="204" t="s">
        <v>12</v>
      </c>
      <c r="C137" s="204" t="s">
        <v>728</v>
      </c>
      <c r="D137" s="209">
        <v>6.5349322693101719</v>
      </c>
      <c r="E137" s="209">
        <v>6.331540691715162</v>
      </c>
      <c r="F137" s="209">
        <v>5.8159942122852346</v>
      </c>
      <c r="G137" s="209">
        <v>5.7797742220295634</v>
      </c>
      <c r="H137" s="209">
        <v>5.7814751434506881</v>
      </c>
      <c r="I137" s="209">
        <v>5.8064332000824619</v>
      </c>
      <c r="J137" s="209">
        <v>5.795352443691054</v>
      </c>
      <c r="K137" s="204">
        <v>100</v>
      </c>
      <c r="L137" s="204">
        <v>3</v>
      </c>
      <c r="M137" s="210"/>
      <c r="N137" s="204" t="s">
        <v>13</v>
      </c>
      <c r="O137" s="204" t="s">
        <v>32</v>
      </c>
    </row>
    <row r="138" spans="1:15" s="7" customFormat="1">
      <c r="A138" s="204" t="s">
        <v>397</v>
      </c>
      <c r="B138" s="204" t="s">
        <v>12</v>
      </c>
      <c r="C138" s="204" t="s">
        <v>729</v>
      </c>
      <c r="D138" s="209">
        <v>25.644708515328208</v>
      </c>
      <c r="E138" s="209">
        <v>24.846549099599887</v>
      </c>
      <c r="F138" s="209">
        <v>22.8234157837163</v>
      </c>
      <c r="G138" s="209">
        <v>22.681279483865595</v>
      </c>
      <c r="H138" s="209">
        <v>22.687954324897547</v>
      </c>
      <c r="I138" s="209">
        <v>22.785895980763929</v>
      </c>
      <c r="J138" s="209">
        <v>22.742412321549658</v>
      </c>
      <c r="K138" s="204">
        <v>100</v>
      </c>
      <c r="L138" s="204">
        <v>4</v>
      </c>
      <c r="M138" s="210"/>
      <c r="N138" s="204" t="s">
        <v>13</v>
      </c>
      <c r="O138" s="204" t="s">
        <v>32</v>
      </c>
    </row>
    <row r="139" spans="1:15" s="7" customFormat="1">
      <c r="A139" s="204" t="s">
        <v>397</v>
      </c>
      <c r="B139" s="204" t="s">
        <v>12</v>
      </c>
      <c r="C139" s="204" t="s">
        <v>730</v>
      </c>
      <c r="D139" s="209">
        <v>40.679422712291057</v>
      </c>
      <c r="E139" s="209">
        <v>39.413326658019251</v>
      </c>
      <c r="F139" s="209">
        <v>36.204091688124556</v>
      </c>
      <c r="G139" s="209">
        <v>35.978625189999541</v>
      </c>
      <c r="H139" s="209">
        <v>35.98921328772402</v>
      </c>
      <c r="I139" s="209">
        <v>36.144575163556958</v>
      </c>
      <c r="J139" s="209">
        <v>36.07559835482477</v>
      </c>
      <c r="K139" s="204">
        <v>100</v>
      </c>
      <c r="L139" s="204">
        <v>5</v>
      </c>
      <c r="M139" s="210"/>
      <c r="N139" s="204" t="s">
        <v>13</v>
      </c>
      <c r="O139" s="204" t="s">
        <v>32</v>
      </c>
    </row>
    <row r="140" spans="1:15" s="7" customFormat="1">
      <c r="A140" s="204" t="s">
        <v>397</v>
      </c>
      <c r="B140" s="204" t="s">
        <v>12</v>
      </c>
      <c r="C140" s="204" t="s">
        <v>731</v>
      </c>
      <c r="D140" s="209">
        <v>46.797825473339913</v>
      </c>
      <c r="E140" s="209">
        <v>45.341301800441421</v>
      </c>
      <c r="F140" s="209">
        <v>41.649380725595549</v>
      </c>
      <c r="G140" s="209">
        <v>41.39000286018274</v>
      </c>
      <c r="H140" s="209">
        <v>41.402183464438345</v>
      </c>
      <c r="I140" s="209">
        <v>41.580912597392434</v>
      </c>
      <c r="J140" s="209">
        <v>41.501561307685421</v>
      </c>
      <c r="K140" s="204">
        <v>100</v>
      </c>
      <c r="L140" s="204">
        <v>6</v>
      </c>
      <c r="M140" s="210"/>
      <c r="N140" s="204" t="s">
        <v>13</v>
      </c>
      <c r="O140" s="204" t="s">
        <v>32</v>
      </c>
    </row>
    <row r="141" spans="1:15" s="7" customFormat="1">
      <c r="A141" s="204" t="s">
        <v>397</v>
      </c>
      <c r="B141" s="204" t="s">
        <v>12</v>
      </c>
      <c r="C141" s="204" t="s">
        <v>732</v>
      </c>
      <c r="D141" s="209">
        <v>28.889598833289831</v>
      </c>
      <c r="E141" s="209">
        <v>27.990446272767578</v>
      </c>
      <c r="F141" s="209">
        <v>25.711320742945105</v>
      </c>
      <c r="G141" s="209">
        <v>25.551199574873309</v>
      </c>
      <c r="H141" s="209">
        <v>25.558719000550298</v>
      </c>
      <c r="I141" s="209">
        <v>25.669053463714764</v>
      </c>
      <c r="J141" s="209">
        <v>25.620067706292218</v>
      </c>
      <c r="K141" s="204">
        <v>100</v>
      </c>
      <c r="L141" s="204">
        <v>7</v>
      </c>
      <c r="M141" s="210"/>
      <c r="N141" s="204" t="s">
        <v>13</v>
      </c>
      <c r="O141" s="204" t="s">
        <v>32</v>
      </c>
    </row>
    <row r="142" spans="1:15" s="7" customFormat="1">
      <c r="A142" s="208" t="s">
        <v>397</v>
      </c>
      <c r="B142" s="208" t="s">
        <v>12</v>
      </c>
      <c r="C142" s="208" t="s">
        <v>733</v>
      </c>
      <c r="D142" s="234">
        <v>25.873524039352301</v>
      </c>
      <c r="E142" s="234">
        <v>25.068243027180191</v>
      </c>
      <c r="F142" s="234">
        <v>23.027058255981064</v>
      </c>
      <c r="G142" s="234">
        <v>22.883653741601279</v>
      </c>
      <c r="H142" s="234">
        <v>22.890388139061709</v>
      </c>
      <c r="I142" s="234">
        <v>22.989203681691027</v>
      </c>
      <c r="J142" s="234">
        <v>22.945332038489195</v>
      </c>
      <c r="K142" s="208">
        <v>100</v>
      </c>
      <c r="L142" s="208" t="s">
        <v>612</v>
      </c>
      <c r="M142" s="261"/>
      <c r="N142" s="208" t="s">
        <v>13</v>
      </c>
      <c r="O142" s="208" t="s">
        <v>32</v>
      </c>
    </row>
    <row r="143" spans="1:15" s="7" customFormat="1">
      <c r="A143" s="204" t="s">
        <v>397</v>
      </c>
      <c r="B143" s="204" t="s">
        <v>12</v>
      </c>
      <c r="C143" s="204" t="s">
        <v>734</v>
      </c>
      <c r="D143" s="209">
        <v>71.337787919865136</v>
      </c>
      <c r="E143" s="209">
        <v>69.117488668211038</v>
      </c>
      <c r="F143" s="209">
        <v>63.489588653833756</v>
      </c>
      <c r="G143" s="209">
        <v>63.094197565321167</v>
      </c>
      <c r="H143" s="209">
        <v>63.112765465738185</v>
      </c>
      <c r="I143" s="209">
        <v>63.385217034861704</v>
      </c>
      <c r="J143" s="209">
        <v>63.264255314546055</v>
      </c>
      <c r="K143" s="204">
        <v>100</v>
      </c>
      <c r="L143" s="204">
        <v>14</v>
      </c>
      <c r="M143" s="210"/>
      <c r="N143" s="204" t="s">
        <v>13</v>
      </c>
      <c r="O143" s="204" t="s">
        <v>32</v>
      </c>
    </row>
    <row r="144" spans="1:15" s="7" customFormat="1">
      <c r="A144" s="7" t="s">
        <v>397</v>
      </c>
      <c r="B144" s="7" t="s">
        <v>14</v>
      </c>
      <c r="C144" s="7" t="s">
        <v>39</v>
      </c>
      <c r="D144" s="83">
        <v>36.289000000000001</v>
      </c>
      <c r="E144" s="83">
        <v>42.904000000000003</v>
      </c>
      <c r="F144" s="83">
        <v>52.765999999999998</v>
      </c>
      <c r="G144" s="83">
        <v>43.332000000000001</v>
      </c>
      <c r="H144" s="83">
        <v>39.378999999999998</v>
      </c>
      <c r="I144" s="83">
        <v>39.856999999999999</v>
      </c>
      <c r="J144" s="83">
        <v>39.856999999999999</v>
      </c>
      <c r="K144" s="7">
        <v>100</v>
      </c>
      <c r="L144" s="7">
        <v>6</v>
      </c>
      <c r="M144" s="10" t="s">
        <v>153</v>
      </c>
      <c r="N144" s="7" t="s">
        <v>11</v>
      </c>
      <c r="O144" s="10" t="s">
        <v>33</v>
      </c>
    </row>
    <row r="145" spans="1:15" s="7" customFormat="1">
      <c r="A145" s="204" t="s">
        <v>397</v>
      </c>
      <c r="B145" s="204" t="s">
        <v>14</v>
      </c>
      <c r="C145" s="204" t="s">
        <v>525</v>
      </c>
      <c r="D145" s="209">
        <v>11.248500927599409</v>
      </c>
      <c r="E145" s="209">
        <v>16.03771145523708</v>
      </c>
      <c r="F145" s="209">
        <v>18.433103793735157</v>
      </c>
      <c r="G145" s="209">
        <v>19.298515552813704</v>
      </c>
      <c r="H145" s="209">
        <v>18.062900903429565</v>
      </c>
      <c r="I145" s="209">
        <v>16.857472882919765</v>
      </c>
      <c r="J145" s="209">
        <v>16.857472882919765</v>
      </c>
      <c r="K145" s="204">
        <v>100</v>
      </c>
      <c r="L145" s="238">
        <v>1</v>
      </c>
      <c r="M145" s="204" t="s">
        <v>95</v>
      </c>
      <c r="N145" s="204" t="s">
        <v>11</v>
      </c>
      <c r="O145" s="210" t="s">
        <v>33</v>
      </c>
    </row>
    <row r="146" spans="1:15" s="7" customFormat="1">
      <c r="A146" s="204" t="s">
        <v>397</v>
      </c>
      <c r="B146" s="204" t="s">
        <v>14</v>
      </c>
      <c r="C146" s="204" t="s">
        <v>526</v>
      </c>
      <c r="D146" s="209">
        <v>1.5632855027655042</v>
      </c>
      <c r="E146" s="209">
        <v>2.2288767167181098</v>
      </c>
      <c r="F146" s="209">
        <v>2.5617817091532902</v>
      </c>
      <c r="G146" s="209">
        <v>2.6820542384083517</v>
      </c>
      <c r="H146" s="209">
        <v>2.5103319368483747</v>
      </c>
      <c r="I146" s="209">
        <v>2.3428048893582831</v>
      </c>
      <c r="J146" s="209">
        <v>2.3428048893582831</v>
      </c>
      <c r="K146" s="204">
        <v>100</v>
      </c>
      <c r="L146" s="238">
        <v>4</v>
      </c>
      <c r="M146" s="204" t="s">
        <v>278</v>
      </c>
      <c r="N146" s="204" t="s">
        <v>11</v>
      </c>
      <c r="O146" s="210" t="s">
        <v>33</v>
      </c>
    </row>
    <row r="147" spans="1:15" s="7" customFormat="1">
      <c r="A147" s="204" t="s">
        <v>397</v>
      </c>
      <c r="B147" s="204" t="s">
        <v>14</v>
      </c>
      <c r="C147" s="204" t="s">
        <v>527</v>
      </c>
      <c r="D147" s="209">
        <v>14.412785039449002</v>
      </c>
      <c r="E147" s="209">
        <v>20.549234890659442</v>
      </c>
      <c r="F147" s="209">
        <v>23.618468300704933</v>
      </c>
      <c r="G147" s="209">
        <v>24.727326604090653</v>
      </c>
      <c r="H147" s="209">
        <v>23.144124678092467</v>
      </c>
      <c r="I147" s="209">
        <v>21.599601096509403</v>
      </c>
      <c r="J147" s="209">
        <v>21.599601096509403</v>
      </c>
      <c r="K147" s="204">
        <v>100</v>
      </c>
      <c r="L147" s="238">
        <v>5</v>
      </c>
      <c r="M147" s="204" t="s">
        <v>152</v>
      </c>
      <c r="N147" s="204" t="s">
        <v>11</v>
      </c>
      <c r="O147" s="210" t="s">
        <v>33</v>
      </c>
    </row>
    <row r="148" spans="1:15" s="7" customFormat="1">
      <c r="A148" s="204" t="s">
        <v>397</v>
      </c>
      <c r="B148" s="204" t="s">
        <v>14</v>
      </c>
      <c r="C148" s="204" t="s">
        <v>528</v>
      </c>
      <c r="D148" s="209">
        <v>46.295813880303456</v>
      </c>
      <c r="E148" s="209">
        <v>66.006920333349896</v>
      </c>
      <c r="F148" s="209">
        <v>75.86571294822312</v>
      </c>
      <c r="G148" s="209">
        <v>79.427515715187653</v>
      </c>
      <c r="H148" s="209">
        <v>74.342057110182864</v>
      </c>
      <c r="I148" s="209">
        <v>69.380838576013801</v>
      </c>
      <c r="J148" s="209">
        <v>69.380838576013801</v>
      </c>
      <c r="K148" s="204">
        <v>100</v>
      </c>
      <c r="L148" s="238">
        <v>6</v>
      </c>
      <c r="M148" s="204" t="s">
        <v>153</v>
      </c>
      <c r="N148" s="204" t="s">
        <v>11</v>
      </c>
      <c r="O148" s="210" t="s">
        <v>33</v>
      </c>
    </row>
    <row r="149" spans="1:15" s="7" customFormat="1">
      <c r="A149" s="204" t="s">
        <v>397</v>
      </c>
      <c r="B149" s="204" t="s">
        <v>14</v>
      </c>
      <c r="C149" s="204" t="s">
        <v>529</v>
      </c>
      <c r="D149" s="209">
        <v>30.474004723389086</v>
      </c>
      <c r="E149" s="209">
        <v>43.448749107544302</v>
      </c>
      <c r="F149" s="209">
        <v>49.938253611975981</v>
      </c>
      <c r="G149" s="209">
        <v>52.282793760355069</v>
      </c>
      <c r="H149" s="209">
        <v>48.935314224728003</v>
      </c>
      <c r="I149" s="209">
        <v>45.669615139386799</v>
      </c>
      <c r="J149" s="209">
        <v>45.669615139386799</v>
      </c>
      <c r="K149" s="204">
        <v>100</v>
      </c>
      <c r="L149" s="238">
        <v>7</v>
      </c>
      <c r="M149" s="204" t="s">
        <v>85</v>
      </c>
      <c r="N149" s="204" t="s">
        <v>11</v>
      </c>
      <c r="O149" s="210" t="s">
        <v>33</v>
      </c>
    </row>
    <row r="150" spans="1:15" s="7" customFormat="1">
      <c r="A150" s="204" t="s">
        <v>397</v>
      </c>
      <c r="B150" s="204" t="s">
        <v>14</v>
      </c>
      <c r="C150" s="204" t="s">
        <v>530</v>
      </c>
      <c r="D150" s="209">
        <v>17.483610112247689</v>
      </c>
      <c r="E150" s="209">
        <v>24.927507761332812</v>
      </c>
      <c r="F150" s="209">
        <v>28.650679940605894</v>
      </c>
      <c r="G150" s="209">
        <v>29.99579444783409</v>
      </c>
      <c r="H150" s="209">
        <v>28.075271445003672</v>
      </c>
      <c r="I150" s="209">
        <v>26.201667694190846</v>
      </c>
      <c r="J150" s="209">
        <v>26.201667694190846</v>
      </c>
      <c r="K150" s="204">
        <v>100</v>
      </c>
      <c r="L150" s="238">
        <v>8</v>
      </c>
      <c r="M150" s="204" t="s">
        <v>188</v>
      </c>
      <c r="N150" s="204" t="s">
        <v>11</v>
      </c>
      <c r="O150" s="210" t="s">
        <v>33</v>
      </c>
    </row>
    <row r="151" spans="1:15" s="7" customFormat="1">
      <c r="A151" s="7" t="s">
        <v>397</v>
      </c>
      <c r="B151" s="7" t="s">
        <v>15</v>
      </c>
      <c r="C151" s="7" t="s">
        <v>40</v>
      </c>
      <c r="D151" s="83">
        <v>7.2430000000000003</v>
      </c>
      <c r="E151" s="83">
        <v>14.318</v>
      </c>
      <c r="F151" s="83">
        <v>8.2810000000000006</v>
      </c>
      <c r="G151" s="83">
        <v>7.2809999999999997</v>
      </c>
      <c r="H151" s="83">
        <v>7.2809999999999997</v>
      </c>
      <c r="I151" s="83">
        <v>6.7809999999999997</v>
      </c>
      <c r="J151" s="83">
        <v>6.7809999999999997</v>
      </c>
      <c r="K151" s="7">
        <v>100</v>
      </c>
      <c r="L151" s="7">
        <v>4</v>
      </c>
      <c r="M151" s="92" t="s">
        <v>277</v>
      </c>
      <c r="N151" s="7" t="s">
        <v>4</v>
      </c>
      <c r="O151" s="7" t="s">
        <v>32</v>
      </c>
    </row>
    <row r="152" spans="1:15" s="7" customFormat="1">
      <c r="A152" s="7" t="s">
        <v>397</v>
      </c>
      <c r="B152" s="7" t="s">
        <v>15</v>
      </c>
      <c r="C152" s="7" t="s">
        <v>41</v>
      </c>
      <c r="D152" s="83">
        <v>20.065000000000001</v>
      </c>
      <c r="E152" s="83">
        <v>20.643999999999998</v>
      </c>
      <c r="F152" s="83">
        <v>20.643999999999998</v>
      </c>
      <c r="G152" s="83">
        <v>20.193000000000001</v>
      </c>
      <c r="H152" s="83">
        <v>20.193000000000001</v>
      </c>
      <c r="I152" s="83">
        <v>20.193000000000001</v>
      </c>
      <c r="J152" s="83">
        <v>20.193000000000001</v>
      </c>
      <c r="K152" s="7">
        <v>100</v>
      </c>
      <c r="L152" s="7">
        <v>4</v>
      </c>
      <c r="M152" s="92" t="s">
        <v>277</v>
      </c>
      <c r="N152" s="7" t="s">
        <v>4</v>
      </c>
      <c r="O152" s="7" t="s">
        <v>32</v>
      </c>
    </row>
    <row r="153" spans="1:15" s="7" customFormat="1">
      <c r="A153" s="7" t="s">
        <v>397</v>
      </c>
      <c r="B153" s="7" t="s">
        <v>15</v>
      </c>
      <c r="C153" s="7" t="s">
        <v>42</v>
      </c>
      <c r="D153" s="83">
        <v>35.79</v>
      </c>
      <c r="E153" s="83">
        <v>26.954999999999998</v>
      </c>
      <c r="F153" s="83">
        <v>26.954999999999998</v>
      </c>
      <c r="G153" s="83">
        <v>26.954999999999998</v>
      </c>
      <c r="H153" s="83">
        <v>26.445</v>
      </c>
      <c r="I153" s="83">
        <v>26.445</v>
      </c>
      <c r="J153" s="83">
        <v>26.445</v>
      </c>
      <c r="K153" s="7">
        <v>100</v>
      </c>
      <c r="L153" s="7">
        <v>3</v>
      </c>
      <c r="M153" s="7" t="s">
        <v>81</v>
      </c>
      <c r="N153" s="7" t="s">
        <v>4</v>
      </c>
      <c r="O153" s="10" t="s">
        <v>32</v>
      </c>
    </row>
    <row r="154" spans="1:15" s="7" customFormat="1">
      <c r="A154" s="7" t="s">
        <v>397</v>
      </c>
      <c r="C154" s="7" t="s">
        <v>503</v>
      </c>
      <c r="D154" s="83">
        <v>0</v>
      </c>
      <c r="E154" s="83">
        <v>8.0500000000000007</v>
      </c>
      <c r="F154" s="83">
        <v>10</v>
      </c>
      <c r="G154" s="83">
        <v>8.3000000000000007</v>
      </c>
      <c r="H154" s="83">
        <v>10</v>
      </c>
      <c r="I154" s="83">
        <v>10</v>
      </c>
      <c r="J154" s="83">
        <v>10</v>
      </c>
      <c r="K154" s="7">
        <v>100</v>
      </c>
      <c r="L154" s="7">
        <v>6</v>
      </c>
      <c r="N154" s="7" t="s">
        <v>11</v>
      </c>
      <c r="O154" s="10" t="s">
        <v>33</v>
      </c>
    </row>
    <row r="155" spans="1:15" s="7" customFormat="1">
      <c r="A155" s="7" t="s">
        <v>397</v>
      </c>
      <c r="B155" s="7" t="s">
        <v>16</v>
      </c>
      <c r="C155" s="7" t="s">
        <v>635</v>
      </c>
      <c r="D155" s="83">
        <v>28.536000000000001</v>
      </c>
      <c r="E155" s="83">
        <v>26.004999999999999</v>
      </c>
      <c r="F155" s="83">
        <v>25.465</v>
      </c>
      <c r="G155" s="83">
        <v>25.48</v>
      </c>
      <c r="H155" s="83">
        <v>25.48</v>
      </c>
      <c r="I155" s="83">
        <v>25.48</v>
      </c>
      <c r="J155" s="83">
        <v>25.48</v>
      </c>
      <c r="K155" s="7">
        <v>100</v>
      </c>
      <c r="L155" s="7">
        <v>6</v>
      </c>
      <c r="M155" s="10" t="s">
        <v>153</v>
      </c>
      <c r="N155" s="7" t="s">
        <v>17</v>
      </c>
      <c r="O155" s="10" t="s">
        <v>32</v>
      </c>
    </row>
    <row r="156" spans="1:15" s="7" customFormat="1">
      <c r="A156" s="208" t="s">
        <v>397</v>
      </c>
      <c r="B156" s="208" t="s">
        <v>16</v>
      </c>
      <c r="C156" s="208" t="s">
        <v>524</v>
      </c>
      <c r="D156" s="234">
        <v>0</v>
      </c>
      <c r="E156" s="234">
        <v>5.7869999999999999</v>
      </c>
      <c r="F156" s="234">
        <v>4.3339999999999996</v>
      </c>
      <c r="G156" s="234">
        <v>4.3170000000000002</v>
      </c>
      <c r="H156" s="234">
        <v>5.0789999999999997</v>
      </c>
      <c r="I156" s="234">
        <v>5.1760000000000002</v>
      </c>
      <c r="J156" s="234">
        <v>8.0549999999999997</v>
      </c>
      <c r="K156" s="208">
        <v>100</v>
      </c>
      <c r="L156" s="208" t="s">
        <v>612</v>
      </c>
      <c r="M156" s="228" t="s">
        <v>277</v>
      </c>
      <c r="N156" s="208" t="s">
        <v>18</v>
      </c>
      <c r="O156" s="208" t="s">
        <v>32</v>
      </c>
    </row>
    <row r="157" spans="1:15" s="7" customFormat="1">
      <c r="A157" s="7" t="s">
        <v>397</v>
      </c>
      <c r="B157" s="7" t="s">
        <v>16</v>
      </c>
      <c r="C157" s="7" t="s">
        <v>636</v>
      </c>
      <c r="D157" s="83">
        <v>0</v>
      </c>
      <c r="E157" s="83">
        <v>1.71</v>
      </c>
      <c r="F157" s="83">
        <v>1.71</v>
      </c>
      <c r="G157" s="83">
        <v>0.38</v>
      </c>
      <c r="H157" s="83">
        <v>0</v>
      </c>
      <c r="I157" s="83">
        <v>0</v>
      </c>
      <c r="J157" s="83">
        <v>0</v>
      </c>
      <c r="K157" s="7">
        <v>100</v>
      </c>
      <c r="L157" s="7">
        <v>6</v>
      </c>
      <c r="M157" s="10" t="s">
        <v>153</v>
      </c>
      <c r="N157" s="7" t="s">
        <v>4</v>
      </c>
      <c r="O157" s="7" t="s">
        <v>33</v>
      </c>
    </row>
    <row r="158" spans="1:15" s="7" customFormat="1">
      <c r="A158" s="7" t="s">
        <v>397</v>
      </c>
      <c r="B158" s="7" t="s">
        <v>16</v>
      </c>
      <c r="C158" s="7" t="s">
        <v>637</v>
      </c>
      <c r="D158" s="83">
        <v>3.6579999999999999</v>
      </c>
      <c r="E158" s="83">
        <v>3.6579999999999999</v>
      </c>
      <c r="F158" s="83">
        <v>0.40699999999999997</v>
      </c>
      <c r="G158" s="83">
        <v>0</v>
      </c>
      <c r="H158" s="83">
        <v>0</v>
      </c>
      <c r="I158" s="83">
        <v>0</v>
      </c>
      <c r="J158" s="83">
        <v>0</v>
      </c>
      <c r="K158" s="7">
        <v>100</v>
      </c>
      <c r="L158" s="7">
        <v>6</v>
      </c>
      <c r="M158" s="10" t="s">
        <v>153</v>
      </c>
      <c r="N158" s="7" t="s">
        <v>4</v>
      </c>
      <c r="O158" s="10" t="s">
        <v>33</v>
      </c>
    </row>
    <row r="159" spans="1:15" s="7" customFormat="1">
      <c r="A159" s="7" t="s">
        <v>397</v>
      </c>
      <c r="B159" s="7" t="s">
        <v>16</v>
      </c>
      <c r="C159" s="7" t="s">
        <v>353</v>
      </c>
      <c r="D159" s="83">
        <v>0</v>
      </c>
      <c r="E159" s="83">
        <v>0</v>
      </c>
      <c r="F159" s="83">
        <v>0</v>
      </c>
      <c r="G159" s="83">
        <v>0</v>
      </c>
      <c r="H159" s="83">
        <v>0</v>
      </c>
      <c r="I159" s="83">
        <v>0</v>
      </c>
      <c r="J159" s="83">
        <v>0</v>
      </c>
      <c r="K159" s="7">
        <v>100</v>
      </c>
      <c r="L159" s="7">
        <v>6</v>
      </c>
      <c r="M159" s="10" t="s">
        <v>153</v>
      </c>
      <c r="N159" s="7" t="s">
        <v>356</v>
      </c>
      <c r="O159" s="10" t="s">
        <v>33</v>
      </c>
    </row>
    <row r="160" spans="1:15" s="7" customFormat="1">
      <c r="A160" s="7" t="s">
        <v>397</v>
      </c>
      <c r="B160" s="7" t="s">
        <v>16</v>
      </c>
      <c r="C160" s="7" t="s">
        <v>354</v>
      </c>
      <c r="D160" s="83">
        <v>0.106</v>
      </c>
      <c r="E160" s="83">
        <v>0</v>
      </c>
      <c r="F160" s="83">
        <v>0</v>
      </c>
      <c r="G160" s="83">
        <v>0</v>
      </c>
      <c r="H160" s="83">
        <v>0</v>
      </c>
      <c r="I160" s="83">
        <v>0</v>
      </c>
      <c r="J160" s="83">
        <v>0</v>
      </c>
      <c r="K160" s="7">
        <v>100</v>
      </c>
      <c r="L160" s="7">
        <v>6</v>
      </c>
      <c r="M160" s="10" t="s">
        <v>153</v>
      </c>
      <c r="N160" s="7" t="s">
        <v>356</v>
      </c>
      <c r="O160" s="10" t="s">
        <v>33</v>
      </c>
    </row>
    <row r="161" spans="1:15" s="7" customFormat="1">
      <c r="A161" s="7" t="s">
        <v>397</v>
      </c>
      <c r="B161" s="7" t="s">
        <v>16</v>
      </c>
      <c r="C161" s="7" t="s">
        <v>355</v>
      </c>
      <c r="D161" s="83">
        <v>0</v>
      </c>
      <c r="E161" s="83">
        <v>0</v>
      </c>
      <c r="F161" s="83">
        <v>0</v>
      </c>
      <c r="G161" s="83">
        <v>0.01</v>
      </c>
      <c r="H161" s="83">
        <v>0.01</v>
      </c>
      <c r="I161" s="83">
        <v>0.01</v>
      </c>
      <c r="J161" s="83">
        <v>0.01</v>
      </c>
      <c r="K161" s="7">
        <v>100</v>
      </c>
      <c r="L161" s="7">
        <v>6</v>
      </c>
      <c r="M161" s="10" t="s">
        <v>153</v>
      </c>
      <c r="N161" s="7" t="s">
        <v>504</v>
      </c>
      <c r="O161" s="10" t="s">
        <v>33</v>
      </c>
    </row>
    <row r="162" spans="1:15" s="7" customFormat="1">
      <c r="A162" s="7" t="s">
        <v>397</v>
      </c>
      <c r="B162" s="7" t="s">
        <v>16</v>
      </c>
      <c r="C162" s="7" t="s">
        <v>259</v>
      </c>
      <c r="D162" s="83">
        <v>0.79</v>
      </c>
      <c r="E162" s="83">
        <v>1.044</v>
      </c>
      <c r="F162" s="83">
        <v>0.32600000000000001</v>
      </c>
      <c r="G162" s="83">
        <v>0.495</v>
      </c>
      <c r="H162" s="83">
        <v>0.495</v>
      </c>
      <c r="I162" s="83">
        <v>0.495</v>
      </c>
      <c r="J162" s="83">
        <v>0.495</v>
      </c>
      <c r="K162" s="7">
        <v>100</v>
      </c>
      <c r="L162" s="61">
        <v>6</v>
      </c>
      <c r="M162" s="92"/>
      <c r="N162" s="7" t="s">
        <v>17</v>
      </c>
      <c r="O162" s="10" t="s">
        <v>33</v>
      </c>
    </row>
    <row r="163" spans="1:15" s="7" customFormat="1">
      <c r="A163" s="7" t="s">
        <v>397</v>
      </c>
      <c r="B163" s="7" t="s">
        <v>16</v>
      </c>
      <c r="C163" s="7" t="s">
        <v>575</v>
      </c>
      <c r="D163" s="83">
        <v>0</v>
      </c>
      <c r="E163" s="83">
        <v>0.95550000000000002</v>
      </c>
      <c r="F163" s="83">
        <v>1.1910000000000001</v>
      </c>
      <c r="G163" s="83">
        <v>1.266</v>
      </c>
      <c r="H163" s="83">
        <v>0</v>
      </c>
      <c r="I163" s="83">
        <v>0</v>
      </c>
      <c r="J163" s="83">
        <v>0</v>
      </c>
      <c r="K163" s="7">
        <v>75</v>
      </c>
      <c r="L163" s="61">
        <v>4</v>
      </c>
      <c r="M163" s="92"/>
      <c r="N163" s="7" t="s">
        <v>8</v>
      </c>
      <c r="O163" s="10" t="s">
        <v>33</v>
      </c>
    </row>
    <row r="164" spans="1:15" s="7" customFormat="1">
      <c r="A164" s="7" t="s">
        <v>397</v>
      </c>
      <c r="B164" s="7" t="s">
        <v>357</v>
      </c>
      <c r="C164" s="7" t="s">
        <v>638</v>
      </c>
      <c r="D164" s="83">
        <v>99.159000000000006</v>
      </c>
      <c r="E164" s="83">
        <v>73.748999999999995</v>
      </c>
      <c r="F164" s="83">
        <v>72.725999999999999</v>
      </c>
      <c r="G164" s="83">
        <v>72.528999999999996</v>
      </c>
      <c r="H164" s="83">
        <v>73.426000000000002</v>
      </c>
      <c r="I164" s="83">
        <v>73.426000000000002</v>
      </c>
      <c r="J164" s="83">
        <v>73.426000000000002</v>
      </c>
      <c r="K164" s="7">
        <v>100</v>
      </c>
      <c r="L164" s="7">
        <v>3</v>
      </c>
      <c r="M164" s="7" t="s">
        <v>81</v>
      </c>
      <c r="N164" s="7" t="s">
        <v>7</v>
      </c>
      <c r="O164" s="10" t="s">
        <v>33</v>
      </c>
    </row>
    <row r="165" spans="1:15" s="7" customFormat="1">
      <c r="A165" s="7" t="s">
        <v>397</v>
      </c>
      <c r="B165" s="7" t="s">
        <v>284</v>
      </c>
      <c r="C165" s="7" t="s">
        <v>639</v>
      </c>
      <c r="D165" s="83">
        <v>3.5009999999999999</v>
      </c>
      <c r="E165" s="83">
        <v>3.524</v>
      </c>
      <c r="F165" s="83">
        <v>3.552</v>
      </c>
      <c r="G165" s="83">
        <v>3.552</v>
      </c>
      <c r="H165" s="83">
        <v>3.552</v>
      </c>
      <c r="I165" s="83">
        <v>3.552</v>
      </c>
      <c r="J165" s="83">
        <v>3.552</v>
      </c>
      <c r="K165" s="7">
        <v>100</v>
      </c>
      <c r="L165" s="7">
        <v>6</v>
      </c>
      <c r="M165" s="10" t="s">
        <v>153</v>
      </c>
      <c r="N165" s="7" t="s">
        <v>283</v>
      </c>
      <c r="O165" s="10" t="s">
        <v>33</v>
      </c>
    </row>
    <row r="166" spans="1:15" s="7" customFormat="1">
      <c r="A166" s="7" t="s">
        <v>397</v>
      </c>
      <c r="B166" s="7" t="s">
        <v>284</v>
      </c>
      <c r="C166" s="7" t="s">
        <v>285</v>
      </c>
      <c r="D166" s="83">
        <v>2.706</v>
      </c>
      <c r="E166" s="83">
        <v>2.992</v>
      </c>
      <c r="F166" s="83">
        <v>3.4</v>
      </c>
      <c r="G166" s="83">
        <v>1.345</v>
      </c>
      <c r="H166" s="83">
        <v>0.15</v>
      </c>
      <c r="I166" s="83">
        <v>0</v>
      </c>
      <c r="J166" s="83">
        <v>0</v>
      </c>
      <c r="K166" s="7">
        <v>100</v>
      </c>
      <c r="L166" s="7">
        <v>6</v>
      </c>
      <c r="M166" s="92"/>
      <c r="N166" s="7" t="s">
        <v>8</v>
      </c>
      <c r="O166" s="10" t="s">
        <v>33</v>
      </c>
    </row>
    <row r="167" spans="1:15" s="7" customFormat="1">
      <c r="A167" s="7" t="s">
        <v>397</v>
      </c>
      <c r="B167" s="7" t="s">
        <v>442</v>
      </c>
      <c r="C167" s="7" t="s">
        <v>443</v>
      </c>
      <c r="D167" s="83">
        <v>0</v>
      </c>
      <c r="E167" s="83">
        <v>0</v>
      </c>
      <c r="F167" s="83">
        <v>0</v>
      </c>
      <c r="G167" s="83">
        <v>0</v>
      </c>
      <c r="H167" s="83">
        <v>0</v>
      </c>
      <c r="I167" s="83">
        <v>0</v>
      </c>
      <c r="J167" s="83">
        <v>0</v>
      </c>
      <c r="K167" s="7">
        <v>95</v>
      </c>
      <c r="L167" s="7">
        <v>6</v>
      </c>
      <c r="M167" s="92"/>
      <c r="N167" s="7" t="s">
        <v>445</v>
      </c>
      <c r="O167" s="10" t="s">
        <v>33</v>
      </c>
    </row>
    <row r="168" spans="1:15" s="7" customFormat="1">
      <c r="A168" s="7" t="s">
        <v>397</v>
      </c>
      <c r="B168" s="94" t="s">
        <v>221</v>
      </c>
      <c r="C168" s="109" t="s">
        <v>222</v>
      </c>
      <c r="D168" s="110">
        <v>4.0073999999999996</v>
      </c>
      <c r="E168" s="110">
        <v>7.6688999999999998</v>
      </c>
      <c r="F168" s="110">
        <v>11.500500000000001</v>
      </c>
      <c r="G168" s="110">
        <v>7.9430999999999994</v>
      </c>
      <c r="H168" s="110">
        <v>9.5930999999999997</v>
      </c>
      <c r="I168" s="110">
        <v>9.6231000000000009</v>
      </c>
      <c r="J168" s="110">
        <v>7.2230999999999996</v>
      </c>
      <c r="K168" s="111">
        <v>30</v>
      </c>
      <c r="L168" s="11">
        <v>5</v>
      </c>
      <c r="N168" s="94" t="s">
        <v>8</v>
      </c>
      <c r="O168" s="7" t="s">
        <v>33</v>
      </c>
    </row>
    <row r="169" spans="1:15" s="7" customFormat="1">
      <c r="A169" s="7" t="s">
        <v>397</v>
      </c>
      <c r="B169" s="94">
        <v>20</v>
      </c>
      <c r="C169" s="10" t="s">
        <v>641</v>
      </c>
      <c r="D169" s="110">
        <v>0</v>
      </c>
      <c r="E169" s="110">
        <f>7.322/3</f>
        <v>2.4406666666666665</v>
      </c>
      <c r="F169" s="110">
        <f>9.45/3</f>
        <v>3.15</v>
      </c>
      <c r="G169" s="110">
        <f>9.45/3</f>
        <v>3.15</v>
      </c>
      <c r="H169" s="110">
        <f>9.45/3</f>
        <v>3.15</v>
      </c>
      <c r="I169" s="110">
        <f>9.45/3</f>
        <v>3.15</v>
      </c>
      <c r="J169" s="110">
        <v>0</v>
      </c>
      <c r="K169" s="111">
        <v>70</v>
      </c>
      <c r="L169" s="11">
        <v>2</v>
      </c>
      <c r="M169" s="10"/>
      <c r="N169" s="94" t="s">
        <v>8</v>
      </c>
      <c r="O169" s="7" t="s">
        <v>33</v>
      </c>
    </row>
    <row r="170" spans="1:15" s="7" customFormat="1">
      <c r="A170" s="7" t="s">
        <v>397</v>
      </c>
      <c r="B170" s="94">
        <v>20</v>
      </c>
      <c r="C170" s="10" t="s">
        <v>641</v>
      </c>
      <c r="D170" s="110">
        <v>0</v>
      </c>
      <c r="E170" s="110">
        <f t="shared" ref="E170:E171" si="18">7.322/3</f>
        <v>2.4406666666666665</v>
      </c>
      <c r="F170" s="110">
        <f t="shared" ref="F170:I171" si="19">9.45/3</f>
        <v>3.15</v>
      </c>
      <c r="G170" s="110">
        <f t="shared" si="19"/>
        <v>3.15</v>
      </c>
      <c r="H170" s="110">
        <f t="shared" si="19"/>
        <v>3.15</v>
      </c>
      <c r="I170" s="110">
        <f t="shared" si="19"/>
        <v>3.15</v>
      </c>
      <c r="J170" s="110">
        <v>0</v>
      </c>
      <c r="K170" s="111">
        <v>70</v>
      </c>
      <c r="L170" s="11">
        <v>5</v>
      </c>
      <c r="M170" s="10"/>
      <c r="N170" s="94" t="s">
        <v>8</v>
      </c>
      <c r="O170" s="7" t="s">
        <v>33</v>
      </c>
    </row>
    <row r="171" spans="1:15" s="7" customFormat="1">
      <c r="A171" s="7" t="s">
        <v>397</v>
      </c>
      <c r="B171" s="94">
        <v>20</v>
      </c>
      <c r="C171" s="10" t="s">
        <v>641</v>
      </c>
      <c r="D171" s="110">
        <v>0</v>
      </c>
      <c r="E171" s="110">
        <f t="shared" si="18"/>
        <v>2.4406666666666665</v>
      </c>
      <c r="F171" s="110">
        <f t="shared" si="19"/>
        <v>3.15</v>
      </c>
      <c r="G171" s="110">
        <f t="shared" si="19"/>
        <v>3.15</v>
      </c>
      <c r="H171" s="110">
        <f t="shared" si="19"/>
        <v>3.15</v>
      </c>
      <c r="I171" s="110">
        <f t="shared" si="19"/>
        <v>3.15</v>
      </c>
      <c r="J171" s="110">
        <v>0</v>
      </c>
      <c r="K171" s="111">
        <v>70</v>
      </c>
      <c r="L171" s="11">
        <v>6</v>
      </c>
      <c r="M171" s="10"/>
      <c r="N171" s="94" t="s">
        <v>8</v>
      </c>
      <c r="O171" s="7" t="s">
        <v>33</v>
      </c>
    </row>
    <row r="172" spans="1:15" s="7" customFormat="1">
      <c r="A172" s="7" t="s">
        <v>397</v>
      </c>
      <c r="B172" s="94" t="s">
        <v>505</v>
      </c>
      <c r="C172" s="10" t="s">
        <v>506</v>
      </c>
      <c r="D172" s="110">
        <f>0.1026/2</f>
        <v>5.1299999999999998E-2</v>
      </c>
      <c r="E172" s="110">
        <f>1.664/2</f>
        <v>0.83199999999999996</v>
      </c>
      <c r="F172" s="110">
        <f>1.0708/2</f>
        <v>0.53539999999999999</v>
      </c>
      <c r="G172" s="110">
        <f>1.3424/2</f>
        <v>0.67120000000000002</v>
      </c>
      <c r="H172" s="110">
        <f>1.5142/2</f>
        <v>0.7571</v>
      </c>
      <c r="I172" s="110">
        <f>2/2</f>
        <v>1</v>
      </c>
      <c r="J172" s="110">
        <f>2.1/2</f>
        <v>1.05</v>
      </c>
      <c r="K172" s="111">
        <v>20</v>
      </c>
      <c r="L172" s="11">
        <v>2</v>
      </c>
      <c r="M172" s="10"/>
      <c r="N172" s="94" t="s">
        <v>8</v>
      </c>
      <c r="O172" s="7" t="s">
        <v>33</v>
      </c>
    </row>
    <row r="173" spans="1:15" s="7" customFormat="1">
      <c r="A173" s="7" t="s">
        <v>397</v>
      </c>
      <c r="B173" s="94" t="s">
        <v>505</v>
      </c>
      <c r="C173" s="10" t="s">
        <v>506</v>
      </c>
      <c r="D173" s="110">
        <f>0.1026/2</f>
        <v>5.1299999999999998E-2</v>
      </c>
      <c r="E173" s="110">
        <f>1.664/2</f>
        <v>0.83199999999999996</v>
      </c>
      <c r="F173" s="110">
        <f>1.0708/2</f>
        <v>0.53539999999999999</v>
      </c>
      <c r="G173" s="110">
        <f>1.3424/2</f>
        <v>0.67120000000000002</v>
      </c>
      <c r="H173" s="110">
        <f>1.5142/2</f>
        <v>0.7571</v>
      </c>
      <c r="I173" s="110">
        <f>2/2</f>
        <v>1</v>
      </c>
      <c r="J173" s="110">
        <f>2.1/2</f>
        <v>1.05</v>
      </c>
      <c r="K173" s="111">
        <v>20</v>
      </c>
      <c r="L173" s="11">
        <v>6</v>
      </c>
      <c r="M173" s="10"/>
      <c r="N173" s="94" t="s">
        <v>8</v>
      </c>
      <c r="O173" s="7" t="s">
        <v>33</v>
      </c>
    </row>
    <row r="174" spans="1:15" s="7" customFormat="1">
      <c r="A174" s="7" t="s">
        <v>397</v>
      </c>
      <c r="B174" s="94" t="s">
        <v>505</v>
      </c>
      <c r="C174" s="10" t="s">
        <v>507</v>
      </c>
      <c r="D174" s="110">
        <f>0.0178/2</f>
        <v>8.8999999999999999E-3</v>
      </c>
      <c r="E174" s="110">
        <f>0.0024/2</f>
        <v>1.1999999999999999E-3</v>
      </c>
      <c r="F174" s="110">
        <f>2.1164/2</f>
        <v>1.0582</v>
      </c>
      <c r="G174" s="110">
        <f>4.9264/2</f>
        <v>2.4632000000000001</v>
      </c>
      <c r="H174" s="110">
        <f>7.6116/2</f>
        <v>3.8058000000000001</v>
      </c>
      <c r="I174" s="110">
        <f>9.545/2</f>
        <v>4.7725</v>
      </c>
      <c r="J174" s="110">
        <f>10.64/2</f>
        <v>5.32</v>
      </c>
      <c r="K174" s="111">
        <v>20</v>
      </c>
      <c r="L174" s="11">
        <v>2</v>
      </c>
      <c r="M174" s="10"/>
      <c r="N174" s="94" t="s">
        <v>8</v>
      </c>
      <c r="O174" s="7" t="s">
        <v>33</v>
      </c>
    </row>
    <row r="175" spans="1:15" s="7" customFormat="1">
      <c r="A175" s="7" t="s">
        <v>397</v>
      </c>
      <c r="B175" s="94" t="s">
        <v>505</v>
      </c>
      <c r="C175" s="10" t="s">
        <v>507</v>
      </c>
      <c r="D175" s="110">
        <f>0.0178/2</f>
        <v>8.8999999999999999E-3</v>
      </c>
      <c r="E175" s="110">
        <f>0.0024/2</f>
        <v>1.1999999999999999E-3</v>
      </c>
      <c r="F175" s="110">
        <f>2.1164/2</f>
        <v>1.0582</v>
      </c>
      <c r="G175" s="110">
        <f>4.9264/2</f>
        <v>2.4632000000000001</v>
      </c>
      <c r="H175" s="110">
        <f>7.6116/2</f>
        <v>3.8058000000000001</v>
      </c>
      <c r="I175" s="110">
        <f>9.545/2</f>
        <v>4.7725</v>
      </c>
      <c r="J175" s="110">
        <f>10.64/2</f>
        <v>5.32</v>
      </c>
      <c r="K175" s="111">
        <v>20</v>
      </c>
      <c r="L175" s="11">
        <v>6</v>
      </c>
      <c r="M175" s="10"/>
      <c r="N175" s="94" t="s">
        <v>8</v>
      </c>
      <c r="O175" s="7" t="s">
        <v>33</v>
      </c>
    </row>
    <row r="176" spans="1:15" s="7" customFormat="1">
      <c r="A176" s="7" t="s">
        <v>397</v>
      </c>
      <c r="B176" s="94">
        <v>22</v>
      </c>
      <c r="C176" s="10" t="s">
        <v>645</v>
      </c>
      <c r="D176" s="110">
        <v>0</v>
      </c>
      <c r="E176" s="110">
        <f>10/3</f>
        <v>3.3333333333333335</v>
      </c>
      <c r="F176" s="110">
        <f>37.5/3</f>
        <v>12.5</v>
      </c>
      <c r="G176" s="110">
        <f>37.5/3</f>
        <v>12.5</v>
      </c>
      <c r="H176" s="110">
        <f>37.5/3</f>
        <v>12.5</v>
      </c>
      <c r="I176" s="110">
        <f>12.5/3</f>
        <v>4.166666666666667</v>
      </c>
      <c r="J176" s="110">
        <f>15/3</f>
        <v>5</v>
      </c>
      <c r="K176" s="111">
        <v>100</v>
      </c>
      <c r="L176" s="11">
        <v>4</v>
      </c>
      <c r="M176" s="10"/>
      <c r="N176" s="94" t="s">
        <v>647</v>
      </c>
      <c r="O176" s="7" t="s">
        <v>33</v>
      </c>
    </row>
    <row r="177" spans="1:15" s="7" customFormat="1">
      <c r="A177" s="7" t="s">
        <v>397</v>
      </c>
      <c r="B177" s="94">
        <v>22</v>
      </c>
      <c r="C177" s="10" t="s">
        <v>645</v>
      </c>
      <c r="D177" s="110">
        <v>0</v>
      </c>
      <c r="E177" s="110">
        <f t="shared" ref="E177:E178" si="20">10/3</f>
        <v>3.3333333333333335</v>
      </c>
      <c r="F177" s="110">
        <f t="shared" ref="F177:H178" si="21">37.5/3</f>
        <v>12.5</v>
      </c>
      <c r="G177" s="110">
        <f t="shared" si="21"/>
        <v>12.5</v>
      </c>
      <c r="H177" s="110">
        <f t="shared" si="21"/>
        <v>12.5</v>
      </c>
      <c r="I177" s="110">
        <f t="shared" ref="I177:I178" si="22">12.5/3</f>
        <v>4.166666666666667</v>
      </c>
      <c r="J177" s="110">
        <f t="shared" ref="J177:J178" si="23">15/3</f>
        <v>5</v>
      </c>
      <c r="K177" s="111">
        <v>100</v>
      </c>
      <c r="L177" s="11">
        <v>5</v>
      </c>
      <c r="M177" s="10"/>
      <c r="N177" s="94" t="s">
        <v>647</v>
      </c>
      <c r="O177" s="7" t="s">
        <v>33</v>
      </c>
    </row>
    <row r="178" spans="1:15" s="7" customFormat="1">
      <c r="A178" s="7" t="s">
        <v>397</v>
      </c>
      <c r="B178" s="94">
        <v>22</v>
      </c>
      <c r="C178" s="10" t="s">
        <v>645</v>
      </c>
      <c r="D178" s="110">
        <v>0</v>
      </c>
      <c r="E178" s="110">
        <f t="shared" si="20"/>
        <v>3.3333333333333335</v>
      </c>
      <c r="F178" s="110">
        <f t="shared" si="21"/>
        <v>12.5</v>
      </c>
      <c r="G178" s="110">
        <f t="shared" si="21"/>
        <v>12.5</v>
      </c>
      <c r="H178" s="110">
        <f t="shared" si="21"/>
        <v>12.5</v>
      </c>
      <c r="I178" s="110">
        <f t="shared" si="22"/>
        <v>4.166666666666667</v>
      </c>
      <c r="J178" s="110">
        <f t="shared" si="23"/>
        <v>5</v>
      </c>
      <c r="K178" s="111">
        <v>100</v>
      </c>
      <c r="L178" s="11">
        <v>6</v>
      </c>
      <c r="M178" s="10"/>
      <c r="N178" s="94" t="s">
        <v>647</v>
      </c>
      <c r="O178" s="7" t="s">
        <v>33</v>
      </c>
    </row>
    <row r="179" spans="1:15" s="7" customFormat="1">
      <c r="A179" s="7" t="s">
        <v>397</v>
      </c>
      <c r="B179" s="94">
        <v>17</v>
      </c>
      <c r="C179" s="10" t="s">
        <v>576</v>
      </c>
      <c r="D179" s="110">
        <v>0</v>
      </c>
      <c r="E179" s="110">
        <v>0</v>
      </c>
      <c r="F179" s="110">
        <v>4.5</v>
      </c>
      <c r="G179" s="110">
        <v>9</v>
      </c>
      <c r="H179" s="110">
        <v>4.5</v>
      </c>
      <c r="I179" s="110">
        <v>0</v>
      </c>
      <c r="J179" s="110">
        <v>0</v>
      </c>
      <c r="K179" s="111">
        <v>90</v>
      </c>
      <c r="L179" s="11">
        <v>14</v>
      </c>
      <c r="M179" s="10"/>
      <c r="N179" s="94" t="s">
        <v>577</v>
      </c>
      <c r="O179" s="7" t="s">
        <v>33</v>
      </c>
    </row>
    <row r="180" spans="1:15" s="7" customFormat="1">
      <c r="A180" s="204" t="s">
        <v>397</v>
      </c>
      <c r="B180" s="279">
        <v>24</v>
      </c>
      <c r="C180" s="210" t="s">
        <v>671</v>
      </c>
      <c r="D180" s="280">
        <v>0</v>
      </c>
      <c r="E180" s="280">
        <f>3.96/2</f>
        <v>1.98</v>
      </c>
      <c r="F180" s="280">
        <f>7.92/2</f>
        <v>3.96</v>
      </c>
      <c r="G180" s="280">
        <f>11.88/2</f>
        <v>5.94</v>
      </c>
      <c r="H180" s="280">
        <f>11.88/2</f>
        <v>5.94</v>
      </c>
      <c r="I180" s="280">
        <f>3.96/2</f>
        <v>1.98</v>
      </c>
      <c r="J180" s="280">
        <v>0</v>
      </c>
      <c r="K180" s="281">
        <v>90</v>
      </c>
      <c r="L180" s="278">
        <v>9</v>
      </c>
      <c r="M180" s="210"/>
      <c r="N180" s="279" t="s">
        <v>647</v>
      </c>
      <c r="O180" s="204" t="s">
        <v>33</v>
      </c>
    </row>
    <row r="181" spans="1:15" s="7" customFormat="1">
      <c r="A181" s="204" t="s">
        <v>397</v>
      </c>
      <c r="B181" s="279">
        <v>24</v>
      </c>
      <c r="C181" s="210" t="s">
        <v>671</v>
      </c>
      <c r="D181" s="280">
        <v>0</v>
      </c>
      <c r="E181" s="280">
        <f>3.96/2</f>
        <v>1.98</v>
      </c>
      <c r="F181" s="280">
        <f>7.92/2</f>
        <v>3.96</v>
      </c>
      <c r="G181" s="280">
        <f>11.88/2</f>
        <v>5.94</v>
      </c>
      <c r="H181" s="280">
        <f>11.88/2</f>
        <v>5.94</v>
      </c>
      <c r="I181" s="280">
        <f>3.96/2</f>
        <v>1.98</v>
      </c>
      <c r="J181" s="280">
        <v>0</v>
      </c>
      <c r="K181" s="281">
        <v>90</v>
      </c>
      <c r="L181" s="278" t="s">
        <v>72</v>
      </c>
      <c r="M181" s="210"/>
      <c r="N181" s="279" t="s">
        <v>647</v>
      </c>
      <c r="O181" s="204" t="s">
        <v>33</v>
      </c>
    </row>
    <row r="182" spans="1:15" s="7" customFormat="1">
      <c r="A182" s="204" t="s">
        <v>397</v>
      </c>
      <c r="B182" s="279">
        <v>25</v>
      </c>
      <c r="C182" s="210" t="s">
        <v>673</v>
      </c>
      <c r="D182" s="280">
        <v>0</v>
      </c>
      <c r="E182" s="280">
        <f>0.4/3</f>
        <v>0.13333333333333333</v>
      </c>
      <c r="F182" s="280">
        <f>10.765/3</f>
        <v>3.5883333333333334</v>
      </c>
      <c r="G182" s="280">
        <f>16.67/3</f>
        <v>5.5566666666666675</v>
      </c>
      <c r="H182" s="280">
        <f>5.295/3</f>
        <v>1.7649999999999999</v>
      </c>
      <c r="I182" s="280">
        <f>3.37/3</f>
        <v>1.1233333333333333</v>
      </c>
      <c r="J182" s="280">
        <v>0</v>
      </c>
      <c r="K182" s="281">
        <v>50</v>
      </c>
      <c r="L182" s="278">
        <v>5</v>
      </c>
      <c r="M182" s="210"/>
      <c r="N182" s="279" t="s">
        <v>647</v>
      </c>
      <c r="O182" s="204" t="s">
        <v>33</v>
      </c>
    </row>
    <row r="183" spans="1:15" s="7" customFormat="1">
      <c r="A183" s="204" t="s">
        <v>397</v>
      </c>
      <c r="B183" s="279">
        <v>25</v>
      </c>
      <c r="C183" s="210" t="s">
        <v>673</v>
      </c>
      <c r="D183" s="280">
        <v>0</v>
      </c>
      <c r="E183" s="280">
        <f t="shared" ref="E183:E184" si="24">0.4/3</f>
        <v>0.13333333333333333</v>
      </c>
      <c r="F183" s="280">
        <f t="shared" ref="F183:F184" si="25">10.765/3</f>
        <v>3.5883333333333334</v>
      </c>
      <c r="G183" s="280">
        <f t="shared" ref="G183:G184" si="26">16.67/3</f>
        <v>5.5566666666666675</v>
      </c>
      <c r="H183" s="280">
        <f t="shared" ref="H183:H184" si="27">5.295/3</f>
        <v>1.7649999999999999</v>
      </c>
      <c r="I183" s="280">
        <f t="shared" ref="I183:I184" si="28">3.37/3</f>
        <v>1.1233333333333333</v>
      </c>
      <c r="J183" s="280">
        <v>0</v>
      </c>
      <c r="K183" s="281">
        <v>50</v>
      </c>
      <c r="L183" s="278">
        <v>6</v>
      </c>
      <c r="M183" s="210"/>
      <c r="N183" s="279" t="s">
        <v>647</v>
      </c>
      <c r="O183" s="204" t="s">
        <v>33</v>
      </c>
    </row>
    <row r="184" spans="1:15" s="7" customFormat="1">
      <c r="A184" s="204" t="s">
        <v>397</v>
      </c>
      <c r="B184" s="279">
        <v>25</v>
      </c>
      <c r="C184" s="210" t="s">
        <v>673</v>
      </c>
      <c r="D184" s="280">
        <v>0</v>
      </c>
      <c r="E184" s="280">
        <f t="shared" si="24"/>
        <v>0.13333333333333333</v>
      </c>
      <c r="F184" s="280">
        <f t="shared" si="25"/>
        <v>3.5883333333333334</v>
      </c>
      <c r="G184" s="280">
        <f t="shared" si="26"/>
        <v>5.5566666666666675</v>
      </c>
      <c r="H184" s="280">
        <f t="shared" si="27"/>
        <v>1.7649999999999999</v>
      </c>
      <c r="I184" s="280">
        <f t="shared" si="28"/>
        <v>1.1233333333333333</v>
      </c>
      <c r="J184" s="280">
        <v>0</v>
      </c>
      <c r="K184" s="281">
        <v>50</v>
      </c>
      <c r="L184" s="278" t="s">
        <v>87</v>
      </c>
      <c r="M184" s="210"/>
      <c r="N184" s="279" t="s">
        <v>647</v>
      </c>
      <c r="O184" s="204" t="s">
        <v>33</v>
      </c>
    </row>
    <row r="185" spans="1:15" s="7" customFormat="1">
      <c r="A185" s="204" t="s">
        <v>397</v>
      </c>
      <c r="B185" s="279">
        <v>26</v>
      </c>
      <c r="C185" s="210" t="s">
        <v>674</v>
      </c>
      <c r="D185" s="280">
        <v>0</v>
      </c>
      <c r="E185" s="280">
        <v>0</v>
      </c>
      <c r="F185" s="280">
        <v>0</v>
      </c>
      <c r="G185" s="280">
        <v>0</v>
      </c>
      <c r="H185" s="280">
        <v>0</v>
      </c>
      <c r="I185" s="280">
        <v>0</v>
      </c>
      <c r="J185" s="280">
        <v>0</v>
      </c>
      <c r="K185" s="281">
        <v>0</v>
      </c>
      <c r="L185" s="278">
        <v>7</v>
      </c>
      <c r="M185" s="210"/>
      <c r="N185" s="279" t="s">
        <v>647</v>
      </c>
      <c r="O185" s="204" t="s">
        <v>33</v>
      </c>
    </row>
    <row r="186" spans="1:15" s="7" customFormat="1">
      <c r="A186" s="204" t="s">
        <v>397</v>
      </c>
      <c r="B186" s="279">
        <v>26</v>
      </c>
      <c r="C186" s="210" t="s">
        <v>674</v>
      </c>
      <c r="D186" s="280">
        <v>0</v>
      </c>
      <c r="E186" s="280">
        <v>0</v>
      </c>
      <c r="F186" s="280">
        <v>0</v>
      </c>
      <c r="G186" s="280">
        <v>0</v>
      </c>
      <c r="H186" s="280">
        <v>0</v>
      </c>
      <c r="I186" s="280">
        <v>0</v>
      </c>
      <c r="J186" s="280">
        <v>0</v>
      </c>
      <c r="K186" s="281">
        <v>0</v>
      </c>
      <c r="L186" s="278" t="s">
        <v>57</v>
      </c>
      <c r="M186" s="210"/>
      <c r="N186" s="279" t="s">
        <v>647</v>
      </c>
      <c r="O186" s="204" t="s">
        <v>33</v>
      </c>
    </row>
    <row r="187" spans="1:15" s="7" customFormat="1">
      <c r="A187" s="204" t="s">
        <v>397</v>
      </c>
      <c r="B187" s="279">
        <v>27</v>
      </c>
      <c r="C187" s="210" t="s">
        <v>675</v>
      </c>
      <c r="D187" s="280">
        <v>0</v>
      </c>
      <c r="E187" s="280">
        <f>5.1/2</f>
        <v>2.5499999999999998</v>
      </c>
      <c r="F187" s="280">
        <f>6.4/2</f>
        <v>3.2</v>
      </c>
      <c r="G187" s="280">
        <v>0</v>
      </c>
      <c r="H187" s="280">
        <v>0</v>
      </c>
      <c r="I187" s="280">
        <v>0</v>
      </c>
      <c r="J187" s="280">
        <v>0</v>
      </c>
      <c r="K187" s="281">
        <v>50</v>
      </c>
      <c r="L187" s="278">
        <v>7</v>
      </c>
      <c r="M187" s="210"/>
      <c r="N187" s="279" t="s">
        <v>680</v>
      </c>
      <c r="O187" s="204" t="s">
        <v>33</v>
      </c>
    </row>
    <row r="188" spans="1:15" s="7" customFormat="1">
      <c r="A188" s="204" t="s">
        <v>397</v>
      </c>
      <c r="B188" s="279">
        <v>27</v>
      </c>
      <c r="C188" s="210" t="s">
        <v>675</v>
      </c>
      <c r="D188" s="280">
        <v>0</v>
      </c>
      <c r="E188" s="280">
        <f>5.1/2</f>
        <v>2.5499999999999998</v>
      </c>
      <c r="F188" s="280">
        <f>6.4/2</f>
        <v>3.2</v>
      </c>
      <c r="G188" s="280">
        <v>0</v>
      </c>
      <c r="H188" s="280">
        <v>0</v>
      </c>
      <c r="I188" s="280">
        <v>0</v>
      </c>
      <c r="J188" s="280">
        <v>0</v>
      </c>
      <c r="K188" s="281">
        <v>50</v>
      </c>
      <c r="L188" s="278" t="s">
        <v>57</v>
      </c>
      <c r="M188" s="210"/>
      <c r="N188" s="279" t="s">
        <v>680</v>
      </c>
      <c r="O188" s="204" t="s">
        <v>33</v>
      </c>
    </row>
    <row r="189" spans="1:15" s="7" customFormat="1">
      <c r="A189" s="204" t="s">
        <v>397</v>
      </c>
      <c r="B189" s="279">
        <v>28</v>
      </c>
      <c r="C189" s="210" t="s">
        <v>676</v>
      </c>
      <c r="D189" s="280">
        <v>0</v>
      </c>
      <c r="E189" s="280">
        <f>7.1/2</f>
        <v>3.55</v>
      </c>
      <c r="F189" s="280">
        <f>16.55/2</f>
        <v>8.2750000000000004</v>
      </c>
      <c r="G189" s="280">
        <f>1.55/2</f>
        <v>0.77500000000000002</v>
      </c>
      <c r="H189" s="280">
        <f>1.8/2</f>
        <v>0.9</v>
      </c>
      <c r="I189" s="280">
        <v>0</v>
      </c>
      <c r="J189" s="280">
        <v>0</v>
      </c>
      <c r="K189" s="281">
        <v>50</v>
      </c>
      <c r="L189" s="278">
        <v>4</v>
      </c>
      <c r="M189" s="210"/>
      <c r="N189" s="279" t="s">
        <v>647</v>
      </c>
      <c r="O189" s="204" t="s">
        <v>33</v>
      </c>
    </row>
    <row r="190" spans="1:15" s="7" customFormat="1">
      <c r="A190" s="204" t="s">
        <v>397</v>
      </c>
      <c r="B190" s="279">
        <v>28</v>
      </c>
      <c r="C190" s="210" t="s">
        <v>676</v>
      </c>
      <c r="D190" s="280">
        <v>0</v>
      </c>
      <c r="E190" s="280">
        <f>7.1/2</f>
        <v>3.55</v>
      </c>
      <c r="F190" s="280">
        <f>16.55/2</f>
        <v>8.2750000000000004</v>
      </c>
      <c r="G190" s="280">
        <f>1.55/2</f>
        <v>0.77500000000000002</v>
      </c>
      <c r="H190" s="280">
        <f>1.8/2</f>
        <v>0.9</v>
      </c>
      <c r="I190" s="280">
        <v>0</v>
      </c>
      <c r="J190" s="280">
        <v>0</v>
      </c>
      <c r="K190" s="281">
        <v>50</v>
      </c>
      <c r="L190" s="278" t="s">
        <v>87</v>
      </c>
      <c r="M190" s="210"/>
      <c r="N190" s="279" t="s">
        <v>647</v>
      </c>
      <c r="O190" s="204" t="s">
        <v>33</v>
      </c>
    </row>
    <row r="191" spans="1:15" s="7" customFormat="1">
      <c r="A191" s="7" t="s">
        <v>397</v>
      </c>
      <c r="B191" s="94"/>
      <c r="C191" s="10" t="s">
        <v>648</v>
      </c>
      <c r="D191" s="110">
        <v>0</v>
      </c>
      <c r="E191" s="110">
        <v>2.444</v>
      </c>
      <c r="F191" s="110">
        <v>4.444</v>
      </c>
      <c r="G191" s="110">
        <v>2.222</v>
      </c>
      <c r="H191" s="110">
        <v>0.89</v>
      </c>
      <c r="I191" s="110">
        <v>0</v>
      </c>
      <c r="J191" s="110">
        <v>0</v>
      </c>
      <c r="K191" s="111">
        <v>100</v>
      </c>
      <c r="L191" s="11">
        <v>6</v>
      </c>
      <c r="M191" s="10"/>
      <c r="N191" s="94" t="s">
        <v>647</v>
      </c>
      <c r="O191" s="7" t="s">
        <v>33</v>
      </c>
    </row>
    <row r="192" spans="1:15" s="7" customFormat="1">
      <c r="A192" s="7" t="s">
        <v>397</v>
      </c>
      <c r="B192" s="94">
        <v>11</v>
      </c>
      <c r="C192" s="10" t="s">
        <v>570</v>
      </c>
      <c r="D192" s="110">
        <v>0</v>
      </c>
      <c r="E192" s="110">
        <v>0</v>
      </c>
      <c r="F192" s="110">
        <v>4</v>
      </c>
      <c r="G192" s="110">
        <v>4</v>
      </c>
      <c r="H192" s="110">
        <v>4</v>
      </c>
      <c r="I192" s="110">
        <v>1</v>
      </c>
      <c r="J192" s="110">
        <v>1</v>
      </c>
      <c r="K192" s="111">
        <v>25</v>
      </c>
      <c r="L192" s="11">
        <v>6</v>
      </c>
      <c r="M192" s="10"/>
      <c r="N192" s="94" t="s">
        <v>8</v>
      </c>
      <c r="O192" s="7" t="s">
        <v>33</v>
      </c>
    </row>
    <row r="193" spans="1:15" s="7" customFormat="1">
      <c r="A193" s="7" t="s">
        <v>397</v>
      </c>
      <c r="B193" s="7" t="s">
        <v>29</v>
      </c>
      <c r="C193" s="7" t="s">
        <v>649</v>
      </c>
      <c r="D193" s="83">
        <v>50.838000000000001</v>
      </c>
      <c r="E193" s="83">
        <v>44.761000000000003</v>
      </c>
      <c r="F193" s="83">
        <v>56.999000000000002</v>
      </c>
      <c r="G193" s="83">
        <v>56.933</v>
      </c>
      <c r="H193" s="83">
        <v>58.689</v>
      </c>
      <c r="I193" s="83">
        <v>57.689</v>
      </c>
      <c r="J193" s="83">
        <v>57.689</v>
      </c>
      <c r="K193" s="7">
        <v>100</v>
      </c>
      <c r="L193" s="7">
        <v>6</v>
      </c>
      <c r="M193" s="10" t="s">
        <v>153</v>
      </c>
      <c r="N193" s="7" t="s">
        <v>8</v>
      </c>
      <c r="O193" s="10" t="s">
        <v>33</v>
      </c>
    </row>
    <row r="194" spans="1:15" s="7" customFormat="1">
      <c r="A194" s="7" t="s">
        <v>397</v>
      </c>
      <c r="B194" s="7" t="s">
        <v>30</v>
      </c>
      <c r="C194" s="7" t="s">
        <v>223</v>
      </c>
      <c r="D194" s="83">
        <v>18.841199999999997</v>
      </c>
      <c r="E194" s="83">
        <v>26.643399999999996</v>
      </c>
      <c r="F194" s="83">
        <v>37.491299999999995</v>
      </c>
      <c r="G194" s="83">
        <v>42.879899999999992</v>
      </c>
      <c r="H194" s="83">
        <v>42.877099999999999</v>
      </c>
      <c r="I194" s="83">
        <v>39.260199999999998</v>
      </c>
      <c r="J194" s="83">
        <v>39.260199999999998</v>
      </c>
      <c r="K194" s="7">
        <v>70</v>
      </c>
      <c r="L194" s="7">
        <v>6</v>
      </c>
      <c r="M194" s="10" t="s">
        <v>153</v>
      </c>
      <c r="N194" s="7" t="s">
        <v>8</v>
      </c>
      <c r="O194" s="10" t="s">
        <v>33</v>
      </c>
    </row>
    <row r="195" spans="1:15" s="7" customFormat="1">
      <c r="A195" s="7" t="s">
        <v>397</v>
      </c>
      <c r="B195" s="7" t="s">
        <v>9</v>
      </c>
      <c r="C195" s="109" t="s">
        <v>225</v>
      </c>
      <c r="D195" s="83">
        <v>8.25</v>
      </c>
      <c r="E195" s="83">
        <v>26.384</v>
      </c>
      <c r="F195" s="83">
        <v>13.646000000000001</v>
      </c>
      <c r="G195" s="83">
        <v>5.633</v>
      </c>
      <c r="H195" s="83">
        <v>6.5505000000000004</v>
      </c>
      <c r="I195" s="83">
        <v>7.9</v>
      </c>
      <c r="J195" s="83">
        <v>5.4</v>
      </c>
      <c r="K195" s="7">
        <v>50</v>
      </c>
      <c r="L195" s="7">
        <v>6</v>
      </c>
      <c r="M195" s="10" t="s">
        <v>153</v>
      </c>
      <c r="N195" s="7" t="s">
        <v>8</v>
      </c>
      <c r="O195" s="10" t="s">
        <v>33</v>
      </c>
    </row>
    <row r="196" spans="1:15" s="7" customFormat="1" ht="27.6">
      <c r="A196" s="208" t="s">
        <v>397</v>
      </c>
      <c r="B196" s="230">
        <v>19</v>
      </c>
      <c r="C196" s="231" t="s">
        <v>446</v>
      </c>
      <c r="D196" s="232">
        <v>0.497</v>
      </c>
      <c r="E196" s="232">
        <v>16.978999999999999</v>
      </c>
      <c r="F196" s="232">
        <v>2.5</v>
      </c>
      <c r="G196" s="232">
        <v>0</v>
      </c>
      <c r="H196" s="232">
        <v>0</v>
      </c>
      <c r="I196" s="232">
        <v>2.5</v>
      </c>
      <c r="J196" s="232">
        <v>2.5</v>
      </c>
      <c r="K196" s="233">
        <v>100</v>
      </c>
      <c r="L196" s="276" t="s">
        <v>612</v>
      </c>
      <c r="M196" s="208"/>
      <c r="N196" s="230" t="s">
        <v>291</v>
      </c>
      <c r="O196" s="208" t="s">
        <v>260</v>
      </c>
    </row>
    <row r="197" spans="1:15" s="7" customFormat="1">
      <c r="A197" s="7" t="s">
        <v>397</v>
      </c>
      <c r="B197" s="94">
        <v>19</v>
      </c>
      <c r="C197" s="109" t="s">
        <v>650</v>
      </c>
      <c r="D197" s="110">
        <v>1.11504</v>
      </c>
      <c r="E197" s="110">
        <v>2.35392</v>
      </c>
      <c r="F197" s="110">
        <v>1.1668799999999999</v>
      </c>
      <c r="G197" s="110">
        <v>0.56159999999999999</v>
      </c>
      <c r="H197" s="110">
        <v>0.3024</v>
      </c>
      <c r="I197" s="110">
        <v>0.17279999999999998</v>
      </c>
      <c r="J197" s="110">
        <v>0</v>
      </c>
      <c r="K197" s="111">
        <v>48</v>
      </c>
      <c r="L197" s="11" t="s">
        <v>57</v>
      </c>
      <c r="N197" s="94" t="s">
        <v>580</v>
      </c>
      <c r="O197" s="7" t="s">
        <v>33</v>
      </c>
    </row>
    <row r="198" spans="1:15" s="7" customFormat="1">
      <c r="A198" s="7" t="s">
        <v>397</v>
      </c>
      <c r="B198" s="94"/>
      <c r="C198" s="109" t="s">
        <v>572</v>
      </c>
      <c r="D198" s="110">
        <v>0</v>
      </c>
      <c r="E198" s="110">
        <v>0.75</v>
      </c>
      <c r="F198" s="110">
        <v>2.25</v>
      </c>
      <c r="G198" s="110">
        <v>3.5</v>
      </c>
      <c r="H198" s="110">
        <v>4</v>
      </c>
      <c r="I198" s="110">
        <v>0.75</v>
      </c>
      <c r="J198" s="110">
        <v>0.75</v>
      </c>
      <c r="K198" s="111">
        <v>50</v>
      </c>
      <c r="L198" s="11">
        <v>7</v>
      </c>
      <c r="N198" s="94" t="s">
        <v>581</v>
      </c>
      <c r="O198" s="7" t="s">
        <v>33</v>
      </c>
    </row>
    <row r="199" spans="1:15" s="7" customFormat="1">
      <c r="A199" s="7" t="s">
        <v>397</v>
      </c>
      <c r="B199" s="7" t="s">
        <v>292</v>
      </c>
      <c r="C199" s="7" t="s">
        <v>358</v>
      </c>
      <c r="D199" s="83">
        <v>3.8105000000000002</v>
      </c>
      <c r="E199" s="83">
        <v>5.7060000000000004</v>
      </c>
      <c r="F199" s="83">
        <v>7.532</v>
      </c>
      <c r="G199" s="83">
        <v>7.5235000000000003</v>
      </c>
      <c r="H199" s="83">
        <v>8.5734999999999992</v>
      </c>
      <c r="I199" s="83">
        <v>4.5735000000000001</v>
      </c>
      <c r="J199" s="83">
        <v>4.5735000000000001</v>
      </c>
      <c r="K199" s="7">
        <v>50</v>
      </c>
      <c r="L199" s="61">
        <v>6</v>
      </c>
      <c r="M199" s="10" t="s">
        <v>153</v>
      </c>
      <c r="N199" s="7" t="s">
        <v>8</v>
      </c>
      <c r="O199" s="10" t="s">
        <v>33</v>
      </c>
    </row>
    <row r="200" spans="1:15" s="7" customFormat="1">
      <c r="A200" s="7" t="s">
        <v>397</v>
      </c>
      <c r="B200" s="7" t="s">
        <v>292</v>
      </c>
      <c r="C200" s="7" t="s">
        <v>359</v>
      </c>
      <c r="D200" s="83">
        <v>2.5179999999999998</v>
      </c>
      <c r="E200" s="83">
        <v>2.9904999999999999</v>
      </c>
      <c r="F200" s="83">
        <v>2.7250000000000001</v>
      </c>
      <c r="G200" s="83">
        <v>2.7250000000000001</v>
      </c>
      <c r="H200" s="83">
        <v>2.7250000000000001</v>
      </c>
      <c r="I200" s="83">
        <v>2.7250000000000001</v>
      </c>
      <c r="J200" s="83">
        <v>2.7250000000000001</v>
      </c>
      <c r="K200" s="7">
        <v>50</v>
      </c>
      <c r="L200" s="61">
        <v>6</v>
      </c>
      <c r="M200" s="10" t="s">
        <v>153</v>
      </c>
      <c r="N200" s="7" t="s">
        <v>8</v>
      </c>
      <c r="O200" s="10" t="s">
        <v>33</v>
      </c>
    </row>
    <row r="201" spans="1:15" s="7" customFormat="1">
      <c r="A201" s="7" t="s">
        <v>397</v>
      </c>
      <c r="B201" s="7" t="s">
        <v>292</v>
      </c>
      <c r="C201" s="7" t="s">
        <v>361</v>
      </c>
      <c r="D201" s="83">
        <v>0.39800000000000002</v>
      </c>
      <c r="E201" s="83">
        <v>0.40749999999999997</v>
      </c>
      <c r="F201" s="83">
        <v>0</v>
      </c>
      <c r="G201" s="83">
        <v>0</v>
      </c>
      <c r="H201" s="83">
        <v>0</v>
      </c>
      <c r="I201" s="83">
        <v>0</v>
      </c>
      <c r="J201" s="83">
        <v>0</v>
      </c>
      <c r="K201" s="7">
        <v>50</v>
      </c>
      <c r="L201" s="61">
        <v>6</v>
      </c>
      <c r="M201" s="10" t="s">
        <v>153</v>
      </c>
      <c r="N201" s="7" t="s">
        <v>8</v>
      </c>
      <c r="O201" s="10" t="s">
        <v>33</v>
      </c>
    </row>
    <row r="202" spans="1:15" s="7" customFormat="1">
      <c r="A202" s="7" t="s">
        <v>397</v>
      </c>
      <c r="C202" s="7" t="s">
        <v>651</v>
      </c>
      <c r="D202" s="83">
        <v>0.505</v>
      </c>
      <c r="E202" s="83">
        <v>1.0169999999999999</v>
      </c>
      <c r="F202" s="83">
        <v>0.499</v>
      </c>
      <c r="G202" s="83">
        <v>0.158</v>
      </c>
      <c r="H202" s="83">
        <v>0</v>
      </c>
      <c r="I202" s="83">
        <v>0</v>
      </c>
      <c r="J202" s="83">
        <v>0</v>
      </c>
      <c r="K202" s="7">
        <v>100</v>
      </c>
      <c r="L202" s="61">
        <v>6</v>
      </c>
      <c r="M202" s="10" t="s">
        <v>153</v>
      </c>
      <c r="N202" s="7" t="s">
        <v>8</v>
      </c>
      <c r="O202" s="10" t="s">
        <v>33</v>
      </c>
    </row>
    <row r="203" spans="1:15" s="7" customFormat="1">
      <c r="A203" s="7" t="s">
        <v>397</v>
      </c>
      <c r="B203" s="7" t="s">
        <v>652</v>
      </c>
      <c r="C203" s="7" t="s">
        <v>653</v>
      </c>
      <c r="D203" s="83">
        <v>0</v>
      </c>
      <c r="E203" s="83">
        <f>0.8/4</f>
        <v>0.2</v>
      </c>
      <c r="F203" s="83">
        <f>1.2/4</f>
        <v>0.3</v>
      </c>
      <c r="G203" s="83">
        <f>1.4/4</f>
        <v>0.35</v>
      </c>
      <c r="H203" s="83">
        <f>1.2/4</f>
        <v>0.3</v>
      </c>
      <c r="I203" s="83">
        <f>0.4/4</f>
        <v>0.1</v>
      </c>
      <c r="J203" s="83">
        <v>0</v>
      </c>
      <c r="K203" s="7">
        <v>20</v>
      </c>
      <c r="L203" s="61">
        <v>4</v>
      </c>
      <c r="M203" s="10"/>
      <c r="N203" s="7" t="s">
        <v>8</v>
      </c>
      <c r="O203" s="10" t="s">
        <v>33</v>
      </c>
    </row>
    <row r="204" spans="1:15" s="7" customFormat="1">
      <c r="A204" s="7" t="s">
        <v>397</v>
      </c>
      <c r="B204" s="7" t="s">
        <v>652</v>
      </c>
      <c r="C204" s="7" t="s">
        <v>653</v>
      </c>
      <c r="D204" s="83">
        <v>0</v>
      </c>
      <c r="E204" s="83">
        <f t="shared" ref="E204:E206" si="29">0.8/4</f>
        <v>0.2</v>
      </c>
      <c r="F204" s="83">
        <f t="shared" ref="F204:F206" si="30">1.2/4</f>
        <v>0.3</v>
      </c>
      <c r="G204" s="83">
        <f t="shared" ref="G204:G206" si="31">1.4/4</f>
        <v>0.35</v>
      </c>
      <c r="H204" s="83">
        <f t="shared" ref="H204:H206" si="32">1.2/4</f>
        <v>0.3</v>
      </c>
      <c r="I204" s="83">
        <f t="shared" ref="I204:I206" si="33">0.4/4</f>
        <v>0.1</v>
      </c>
      <c r="J204" s="83">
        <v>0</v>
      </c>
      <c r="K204" s="7">
        <v>20</v>
      </c>
      <c r="L204" s="61">
        <v>5</v>
      </c>
      <c r="M204" s="10"/>
      <c r="N204" s="7" t="s">
        <v>8</v>
      </c>
      <c r="O204" s="10" t="s">
        <v>33</v>
      </c>
    </row>
    <row r="205" spans="1:15" s="7" customFormat="1">
      <c r="A205" s="7" t="s">
        <v>397</v>
      </c>
      <c r="B205" s="7" t="s">
        <v>652</v>
      </c>
      <c r="C205" s="7" t="s">
        <v>653</v>
      </c>
      <c r="D205" s="83">
        <v>0</v>
      </c>
      <c r="E205" s="83">
        <f t="shared" si="29"/>
        <v>0.2</v>
      </c>
      <c r="F205" s="83">
        <f t="shared" si="30"/>
        <v>0.3</v>
      </c>
      <c r="G205" s="83">
        <f t="shared" si="31"/>
        <v>0.35</v>
      </c>
      <c r="H205" s="83">
        <f t="shared" si="32"/>
        <v>0.3</v>
      </c>
      <c r="I205" s="83">
        <f t="shared" si="33"/>
        <v>0.1</v>
      </c>
      <c r="J205" s="83">
        <v>0</v>
      </c>
      <c r="K205" s="7">
        <v>20</v>
      </c>
      <c r="L205" s="61">
        <v>6</v>
      </c>
      <c r="M205" s="10"/>
      <c r="N205" s="7" t="s">
        <v>8</v>
      </c>
      <c r="O205" s="10" t="s">
        <v>33</v>
      </c>
    </row>
    <row r="206" spans="1:15" s="7" customFormat="1">
      <c r="A206" s="7" t="s">
        <v>397</v>
      </c>
      <c r="B206" s="7" t="s">
        <v>652</v>
      </c>
      <c r="C206" s="7" t="s">
        <v>653</v>
      </c>
      <c r="D206" s="83">
        <v>0</v>
      </c>
      <c r="E206" s="83">
        <f t="shared" si="29"/>
        <v>0.2</v>
      </c>
      <c r="F206" s="83">
        <f t="shared" si="30"/>
        <v>0.3</v>
      </c>
      <c r="G206" s="83">
        <f t="shared" si="31"/>
        <v>0.35</v>
      </c>
      <c r="H206" s="83">
        <f t="shared" si="32"/>
        <v>0.3</v>
      </c>
      <c r="I206" s="83">
        <f t="shared" si="33"/>
        <v>0.1</v>
      </c>
      <c r="J206" s="83">
        <v>0</v>
      </c>
      <c r="K206" s="7">
        <v>20</v>
      </c>
      <c r="L206" s="61">
        <v>7</v>
      </c>
      <c r="M206" s="10"/>
      <c r="N206" s="7" t="s">
        <v>8</v>
      </c>
      <c r="O206" s="10" t="s">
        <v>33</v>
      </c>
    </row>
    <row r="207" spans="1:15" s="7" customFormat="1">
      <c r="A207" s="7" t="s">
        <v>397</v>
      </c>
      <c r="B207" s="7" t="s">
        <v>654</v>
      </c>
      <c r="C207" s="7" t="s">
        <v>656</v>
      </c>
      <c r="D207" s="83">
        <v>0</v>
      </c>
      <c r="E207" s="83">
        <v>3</v>
      </c>
      <c r="F207" s="83">
        <v>7.5</v>
      </c>
      <c r="G207" s="83">
        <v>7.5</v>
      </c>
      <c r="H207" s="83">
        <v>7.5</v>
      </c>
      <c r="I207" s="83">
        <v>7.5</v>
      </c>
      <c r="J207" s="83">
        <v>19.5</v>
      </c>
      <c r="K207" s="7">
        <v>30</v>
      </c>
      <c r="L207" s="61">
        <v>6</v>
      </c>
      <c r="M207" s="10"/>
      <c r="N207" s="7" t="s">
        <v>8</v>
      </c>
      <c r="O207" s="10" t="s">
        <v>33</v>
      </c>
    </row>
    <row r="208" spans="1:15" s="7" customFormat="1">
      <c r="A208" s="7" t="s">
        <v>397</v>
      </c>
      <c r="B208" s="7" t="s">
        <v>655</v>
      </c>
      <c r="C208" s="7" t="s">
        <v>657</v>
      </c>
      <c r="D208" s="83">
        <v>0</v>
      </c>
      <c r="E208" s="83">
        <f>1/4</f>
        <v>0.25</v>
      </c>
      <c r="F208" s="83">
        <f t="shared" ref="F208:I211" si="34">1/4</f>
        <v>0.25</v>
      </c>
      <c r="G208" s="83">
        <f t="shared" si="34"/>
        <v>0.25</v>
      </c>
      <c r="H208" s="83">
        <f t="shared" si="34"/>
        <v>0.25</v>
      </c>
      <c r="I208" s="83">
        <f t="shared" si="34"/>
        <v>0.25</v>
      </c>
      <c r="J208" s="83">
        <v>0</v>
      </c>
      <c r="K208" s="7">
        <v>10</v>
      </c>
      <c r="L208" s="61">
        <v>4</v>
      </c>
      <c r="M208" s="10"/>
      <c r="N208" s="7" t="s">
        <v>8</v>
      </c>
      <c r="O208" s="10" t="s">
        <v>33</v>
      </c>
    </row>
    <row r="209" spans="1:15" s="7" customFormat="1">
      <c r="A209" s="7" t="s">
        <v>397</v>
      </c>
      <c r="B209" s="7" t="s">
        <v>655</v>
      </c>
      <c r="C209" s="7" t="s">
        <v>657</v>
      </c>
      <c r="D209" s="83">
        <v>0</v>
      </c>
      <c r="E209" s="83">
        <f t="shared" ref="E209:E211" si="35">1/4</f>
        <v>0.25</v>
      </c>
      <c r="F209" s="83">
        <f t="shared" si="34"/>
        <v>0.25</v>
      </c>
      <c r="G209" s="83">
        <f t="shared" si="34"/>
        <v>0.25</v>
      </c>
      <c r="H209" s="83">
        <f t="shared" si="34"/>
        <v>0.25</v>
      </c>
      <c r="I209" s="83">
        <f t="shared" si="34"/>
        <v>0.25</v>
      </c>
      <c r="J209" s="83">
        <v>0</v>
      </c>
      <c r="K209" s="7">
        <v>10</v>
      </c>
      <c r="L209" s="61">
        <v>5</v>
      </c>
      <c r="M209" s="10"/>
      <c r="N209" s="7" t="s">
        <v>8</v>
      </c>
      <c r="O209" s="10" t="s">
        <v>33</v>
      </c>
    </row>
    <row r="210" spans="1:15" s="7" customFormat="1">
      <c r="A210" s="7" t="s">
        <v>397</v>
      </c>
      <c r="B210" s="7" t="s">
        <v>655</v>
      </c>
      <c r="C210" s="7" t="s">
        <v>657</v>
      </c>
      <c r="D210" s="83">
        <v>0</v>
      </c>
      <c r="E210" s="83">
        <f t="shared" si="35"/>
        <v>0.25</v>
      </c>
      <c r="F210" s="83">
        <f t="shared" si="34"/>
        <v>0.25</v>
      </c>
      <c r="G210" s="83">
        <f t="shared" si="34"/>
        <v>0.25</v>
      </c>
      <c r="H210" s="83">
        <f t="shared" si="34"/>
        <v>0.25</v>
      </c>
      <c r="I210" s="83">
        <f t="shared" si="34"/>
        <v>0.25</v>
      </c>
      <c r="J210" s="83">
        <v>0</v>
      </c>
      <c r="K210" s="7">
        <v>10</v>
      </c>
      <c r="L210" s="61">
        <v>6</v>
      </c>
      <c r="M210" s="10"/>
      <c r="N210" s="7" t="s">
        <v>8</v>
      </c>
      <c r="O210" s="10" t="s">
        <v>33</v>
      </c>
    </row>
    <row r="211" spans="1:15" s="7" customFormat="1">
      <c r="A211" s="7" t="s">
        <v>397</v>
      </c>
      <c r="B211" s="7" t="s">
        <v>655</v>
      </c>
      <c r="C211" s="7" t="s">
        <v>657</v>
      </c>
      <c r="D211" s="83">
        <v>0</v>
      </c>
      <c r="E211" s="83">
        <f t="shared" si="35"/>
        <v>0.25</v>
      </c>
      <c r="F211" s="83">
        <f t="shared" si="34"/>
        <v>0.25</v>
      </c>
      <c r="G211" s="83">
        <f t="shared" si="34"/>
        <v>0.25</v>
      </c>
      <c r="H211" s="83">
        <f t="shared" si="34"/>
        <v>0.25</v>
      </c>
      <c r="I211" s="83">
        <f t="shared" si="34"/>
        <v>0.25</v>
      </c>
      <c r="J211" s="83">
        <v>0</v>
      </c>
      <c r="K211" s="7">
        <v>10</v>
      </c>
      <c r="L211" s="61">
        <v>7</v>
      </c>
      <c r="M211" s="10"/>
      <c r="N211" s="7" t="s">
        <v>8</v>
      </c>
      <c r="O211" s="10" t="s">
        <v>33</v>
      </c>
    </row>
    <row r="212" spans="1:15" s="7" customFormat="1">
      <c r="A212" s="7" t="s">
        <v>397</v>
      </c>
      <c r="C212" s="7" t="s">
        <v>510</v>
      </c>
      <c r="D212" s="83">
        <v>0.36460000000000004</v>
      </c>
      <c r="E212" s="83">
        <v>0.67</v>
      </c>
      <c r="F212" s="83">
        <v>0.59560000000000002</v>
      </c>
      <c r="G212" s="83">
        <v>0.59560000000000002</v>
      </c>
      <c r="H212" s="83">
        <v>0.59560000000000002</v>
      </c>
      <c r="I212" s="83">
        <v>0.47960000000000003</v>
      </c>
      <c r="J212" s="83">
        <v>0</v>
      </c>
      <c r="K212" s="7">
        <v>20</v>
      </c>
      <c r="L212" s="61">
        <v>6</v>
      </c>
      <c r="M212" s="10"/>
      <c r="N212" s="7" t="s">
        <v>512</v>
      </c>
      <c r="O212" s="10" t="s">
        <v>33</v>
      </c>
    </row>
    <row r="213" spans="1:15" s="7" customFormat="1">
      <c r="A213" s="7" t="s">
        <v>397</v>
      </c>
      <c r="B213" s="93" t="s">
        <v>294</v>
      </c>
      <c r="C213" s="7" t="s">
        <v>658</v>
      </c>
      <c r="D213" s="83">
        <v>19.775500000000001</v>
      </c>
      <c r="E213" s="83">
        <v>21.96575</v>
      </c>
      <c r="F213" s="83">
        <v>25.568750000000001</v>
      </c>
      <c r="G213" s="83">
        <v>26.015999999999998</v>
      </c>
      <c r="H213" s="83">
        <v>24.00375</v>
      </c>
      <c r="I213" s="83">
        <v>18.568750000000001</v>
      </c>
      <c r="J213" s="83">
        <v>10.925000000000001</v>
      </c>
      <c r="K213" s="7">
        <v>25</v>
      </c>
      <c r="L213" s="7">
        <v>5</v>
      </c>
      <c r="M213" s="7" t="s">
        <v>152</v>
      </c>
      <c r="N213" s="7" t="s">
        <v>8</v>
      </c>
      <c r="O213" s="10" t="s">
        <v>33</v>
      </c>
    </row>
    <row r="214" spans="1:15" s="7" customFormat="1">
      <c r="A214" s="7" t="s">
        <v>397</v>
      </c>
      <c r="B214" s="93" t="s">
        <v>294</v>
      </c>
      <c r="C214" s="7" t="s">
        <v>659</v>
      </c>
      <c r="D214" s="83">
        <v>10.931700000000001</v>
      </c>
      <c r="E214" s="83">
        <v>16.8261</v>
      </c>
      <c r="F214" s="83">
        <v>24.911399999999997</v>
      </c>
      <c r="G214" s="83">
        <v>18.131699999999999</v>
      </c>
      <c r="H214" s="83">
        <v>15.319499999999998</v>
      </c>
      <c r="I214" s="83">
        <v>12.165599999999998</v>
      </c>
      <c r="J214" s="83">
        <v>14.181599999999998</v>
      </c>
      <c r="K214" s="7">
        <v>30</v>
      </c>
      <c r="L214" s="7">
        <v>5</v>
      </c>
      <c r="M214" s="7" t="s">
        <v>152</v>
      </c>
      <c r="N214" s="7" t="s">
        <v>8</v>
      </c>
      <c r="O214" s="10" t="s">
        <v>33</v>
      </c>
    </row>
    <row r="215" spans="1:15" s="7" customFormat="1">
      <c r="A215" s="7" t="s">
        <v>397</v>
      </c>
      <c r="B215" s="93" t="s">
        <v>294</v>
      </c>
      <c r="C215" s="7" t="s">
        <v>362</v>
      </c>
      <c r="D215" s="83">
        <v>0.56225000000000003</v>
      </c>
      <c r="E215" s="83">
        <v>0.46500000000000002</v>
      </c>
      <c r="F215" s="83">
        <v>0.59199999999999997</v>
      </c>
      <c r="G215" s="83">
        <v>0.59199999999999997</v>
      </c>
      <c r="H215" s="83">
        <v>0.59199999999999997</v>
      </c>
      <c r="I215" s="83">
        <v>0.59199999999999997</v>
      </c>
      <c r="J215" s="83">
        <v>0.59199999999999997</v>
      </c>
      <c r="K215" s="7">
        <v>25</v>
      </c>
      <c r="L215" s="7">
        <v>5</v>
      </c>
      <c r="M215" s="7" t="s">
        <v>152</v>
      </c>
      <c r="N215" s="7" t="s">
        <v>8</v>
      </c>
      <c r="O215" s="10" t="s">
        <v>33</v>
      </c>
    </row>
    <row r="216" spans="1:15" s="7" customFormat="1">
      <c r="A216" s="7" t="s">
        <v>397</v>
      </c>
      <c r="B216" s="93" t="s">
        <v>294</v>
      </c>
      <c r="C216" s="7" t="s">
        <v>363</v>
      </c>
      <c r="D216" s="83">
        <v>0.14974999999999999</v>
      </c>
      <c r="E216" s="83">
        <v>4.7500000000000001E-2</v>
      </c>
      <c r="F216" s="83">
        <v>0</v>
      </c>
      <c r="G216" s="83">
        <v>0</v>
      </c>
      <c r="H216" s="83">
        <v>0</v>
      </c>
      <c r="I216" s="83">
        <v>0</v>
      </c>
      <c r="J216" s="83">
        <v>0</v>
      </c>
      <c r="K216" s="7">
        <v>25</v>
      </c>
      <c r="L216" s="7">
        <v>5</v>
      </c>
      <c r="M216" s="7" t="s">
        <v>152</v>
      </c>
      <c r="N216" s="7" t="s">
        <v>8</v>
      </c>
      <c r="O216" s="10" t="s">
        <v>33</v>
      </c>
    </row>
    <row r="217" spans="1:15" s="7" customFormat="1">
      <c r="A217" s="7" t="s">
        <v>397</v>
      </c>
      <c r="B217" s="93" t="s">
        <v>294</v>
      </c>
      <c r="C217" s="7" t="s">
        <v>364</v>
      </c>
      <c r="D217" s="83">
        <v>0</v>
      </c>
      <c r="E217" s="83">
        <v>0</v>
      </c>
      <c r="F217" s="83">
        <v>0</v>
      </c>
      <c r="G217" s="83">
        <v>0</v>
      </c>
      <c r="H217" s="83">
        <v>0</v>
      </c>
      <c r="I217" s="83">
        <v>0</v>
      </c>
      <c r="J217" s="83">
        <v>0</v>
      </c>
      <c r="K217" s="7">
        <v>25</v>
      </c>
      <c r="L217" s="7">
        <v>5</v>
      </c>
      <c r="M217" s="7" t="s">
        <v>152</v>
      </c>
      <c r="N217" s="7" t="s">
        <v>8</v>
      </c>
      <c r="O217" s="10" t="s">
        <v>33</v>
      </c>
    </row>
    <row r="218" spans="1:15" s="7" customFormat="1">
      <c r="A218" s="7" t="s">
        <v>397</v>
      </c>
      <c r="B218" s="93" t="s">
        <v>294</v>
      </c>
      <c r="C218" s="7" t="s">
        <v>21</v>
      </c>
      <c r="D218" s="83">
        <v>6.2850000000000001</v>
      </c>
      <c r="E218" s="83">
        <v>5.2060000000000004</v>
      </c>
      <c r="F218" s="83">
        <v>4.08</v>
      </c>
      <c r="G218" s="83">
        <v>4.68</v>
      </c>
      <c r="H218" s="83">
        <v>6.48</v>
      </c>
      <c r="I218" s="83">
        <v>5.48</v>
      </c>
      <c r="J218" s="83">
        <v>5.48</v>
      </c>
      <c r="K218" s="7">
        <v>100</v>
      </c>
      <c r="L218" s="7">
        <v>5</v>
      </c>
      <c r="M218" s="7" t="s">
        <v>152</v>
      </c>
      <c r="N218" s="7" t="s">
        <v>660</v>
      </c>
      <c r="O218" s="10" t="s">
        <v>33</v>
      </c>
    </row>
    <row r="219" spans="1:15" s="7" customFormat="1">
      <c r="A219" s="7" t="s">
        <v>397</v>
      </c>
      <c r="B219" s="93" t="s">
        <v>294</v>
      </c>
      <c r="C219" s="7" t="s">
        <v>241</v>
      </c>
      <c r="D219" s="83">
        <v>7.4509999999999996</v>
      </c>
      <c r="E219" s="83">
        <v>6.4009999999999998</v>
      </c>
      <c r="F219" s="83">
        <v>6.4009999999999998</v>
      </c>
      <c r="G219" s="83">
        <v>6.4009999999999998</v>
      </c>
      <c r="H219" s="83">
        <v>5.4009999999999998</v>
      </c>
      <c r="I219" s="83">
        <v>5.4009999999999998</v>
      </c>
      <c r="J219" s="83">
        <v>5.4009999999999998</v>
      </c>
      <c r="K219" s="7">
        <v>100</v>
      </c>
      <c r="L219" s="7">
        <v>5</v>
      </c>
      <c r="M219" s="7" t="s">
        <v>152</v>
      </c>
      <c r="N219" s="7" t="s">
        <v>22</v>
      </c>
      <c r="O219" s="7" t="s">
        <v>32</v>
      </c>
    </row>
    <row r="220" spans="1:15" s="7" customFormat="1">
      <c r="A220" s="7" t="s">
        <v>397</v>
      </c>
      <c r="B220" s="93" t="s">
        <v>295</v>
      </c>
      <c r="C220" s="7" t="s">
        <v>661</v>
      </c>
      <c r="D220" s="83">
        <v>2.81</v>
      </c>
      <c r="E220" s="83">
        <v>4.3419999999999996</v>
      </c>
      <c r="F220" s="83">
        <v>4.2110000000000003</v>
      </c>
      <c r="G220" s="83">
        <v>3.87</v>
      </c>
      <c r="H220" s="83">
        <v>3.87</v>
      </c>
      <c r="I220" s="83">
        <v>3.87</v>
      </c>
      <c r="J220" s="83">
        <v>3.87</v>
      </c>
      <c r="K220" s="7">
        <v>100</v>
      </c>
      <c r="L220" s="7">
        <v>5</v>
      </c>
      <c r="M220" s="7" t="s">
        <v>152</v>
      </c>
      <c r="N220" s="10" t="s">
        <v>33</v>
      </c>
      <c r="O220" s="7" t="s">
        <v>33</v>
      </c>
    </row>
    <row r="221" spans="1:15" s="204" customFormat="1">
      <c r="A221" s="204" t="s">
        <v>397</v>
      </c>
      <c r="B221" s="303" t="s">
        <v>296</v>
      </c>
      <c r="C221" s="204" t="s">
        <v>736</v>
      </c>
      <c r="D221" s="209"/>
      <c r="E221" s="209"/>
      <c r="F221" s="209"/>
      <c r="G221" s="209"/>
      <c r="H221" s="209"/>
      <c r="I221" s="209"/>
      <c r="J221" s="209"/>
      <c r="K221" s="204">
        <v>100</v>
      </c>
      <c r="L221" s="204">
        <v>5</v>
      </c>
      <c r="M221" s="204" t="s">
        <v>152</v>
      </c>
      <c r="N221" s="204" t="s">
        <v>24</v>
      </c>
      <c r="O221" s="204" t="s">
        <v>32</v>
      </c>
    </row>
    <row r="222" spans="1:15" s="7" customFormat="1">
      <c r="A222" s="7" t="s">
        <v>397</v>
      </c>
      <c r="B222" s="93" t="s">
        <v>295</v>
      </c>
      <c r="C222" s="7" t="s">
        <v>583</v>
      </c>
      <c r="D222" s="83">
        <v>1.53</v>
      </c>
      <c r="E222" s="83">
        <v>1.6080000000000001</v>
      </c>
      <c r="F222" s="83">
        <v>1.9470000000000001</v>
      </c>
      <c r="G222" s="83">
        <v>1.9470000000000001</v>
      </c>
      <c r="H222" s="83">
        <v>1.9470000000000001</v>
      </c>
      <c r="I222" s="83">
        <v>2.0219999999999998</v>
      </c>
      <c r="J222" s="83">
        <v>2.0219999999999998</v>
      </c>
      <c r="K222" s="7">
        <v>100</v>
      </c>
      <c r="L222" s="7">
        <v>5</v>
      </c>
      <c r="M222" s="7" t="s">
        <v>152</v>
      </c>
      <c r="N222" s="10" t="s">
        <v>33</v>
      </c>
      <c r="O222" s="7" t="s">
        <v>33</v>
      </c>
    </row>
    <row r="223" spans="1:15" s="7" customFormat="1">
      <c r="A223" s="204" t="s">
        <v>397</v>
      </c>
      <c r="B223" s="303" t="s">
        <v>297</v>
      </c>
      <c r="C223" s="204" t="s">
        <v>735</v>
      </c>
      <c r="D223" s="209"/>
      <c r="E223" s="209"/>
      <c r="F223" s="209"/>
      <c r="G223" s="209"/>
      <c r="H223" s="209"/>
      <c r="I223" s="209"/>
      <c r="J223" s="209"/>
      <c r="K223" s="204">
        <v>100</v>
      </c>
      <c r="L223" s="204">
        <v>5</v>
      </c>
      <c r="M223" s="204" t="s">
        <v>152</v>
      </c>
      <c r="N223" s="204" t="s">
        <v>13</v>
      </c>
      <c r="O223" s="204" t="s">
        <v>32</v>
      </c>
    </row>
    <row r="224" spans="1:15" s="7" customFormat="1">
      <c r="A224" s="7" t="s">
        <v>397</v>
      </c>
      <c r="B224" s="93" t="s">
        <v>297</v>
      </c>
      <c r="C224" s="7" t="s">
        <v>699</v>
      </c>
      <c r="D224" s="83">
        <v>11.882999999999996</v>
      </c>
      <c r="E224" s="83">
        <v>12.022834362614063</v>
      </c>
      <c r="F224" s="83">
        <v>10.839901373398465</v>
      </c>
      <c r="G224" s="83">
        <v>10.766880818508614</v>
      </c>
      <c r="H224" s="83">
        <v>10.735481979905977</v>
      </c>
      <c r="I224" s="83">
        <v>10.735481979905977</v>
      </c>
      <c r="J224" s="83">
        <v>10.526643192921004</v>
      </c>
      <c r="K224" s="7">
        <v>100</v>
      </c>
      <c r="L224" s="7">
        <v>5</v>
      </c>
      <c r="M224" s="7" t="s">
        <v>152</v>
      </c>
      <c r="N224" s="7" t="s">
        <v>13</v>
      </c>
      <c r="O224" s="7" t="s">
        <v>33</v>
      </c>
    </row>
    <row r="225" spans="1:15" s="204" customFormat="1">
      <c r="A225" s="204" t="s">
        <v>397</v>
      </c>
      <c r="B225" s="303" t="s">
        <v>365</v>
      </c>
      <c r="C225" s="204" t="s">
        <v>737</v>
      </c>
      <c r="D225" s="209"/>
      <c r="E225" s="209"/>
      <c r="F225" s="209"/>
      <c r="G225" s="209"/>
      <c r="H225" s="209"/>
      <c r="I225" s="209"/>
      <c r="J225" s="209"/>
      <c r="K225" s="204">
        <v>100</v>
      </c>
      <c r="L225" s="204">
        <v>5</v>
      </c>
      <c r="M225" s="204" t="s">
        <v>152</v>
      </c>
      <c r="N225" s="204" t="s">
        <v>13</v>
      </c>
      <c r="O225" s="204" t="s">
        <v>32</v>
      </c>
    </row>
    <row r="226" spans="1:15" s="7" customFormat="1">
      <c r="A226" s="7" t="s">
        <v>397</v>
      </c>
      <c r="B226" s="93"/>
      <c r="C226" s="7" t="s">
        <v>582</v>
      </c>
      <c r="D226" s="83">
        <v>0</v>
      </c>
      <c r="E226" s="83">
        <v>0</v>
      </c>
      <c r="F226" s="83">
        <v>0</v>
      </c>
      <c r="G226" s="83">
        <v>0</v>
      </c>
      <c r="H226" s="83">
        <v>0</v>
      </c>
      <c r="I226" s="83">
        <v>0</v>
      </c>
      <c r="J226" s="83">
        <v>0</v>
      </c>
      <c r="K226" s="7">
        <v>100</v>
      </c>
      <c r="L226" s="7">
        <v>5</v>
      </c>
      <c r="M226" s="7" t="s">
        <v>152</v>
      </c>
      <c r="N226" s="7" t="s">
        <v>7</v>
      </c>
      <c r="O226" s="7" t="s">
        <v>33</v>
      </c>
    </row>
    <row r="227" spans="1:15" s="7" customFormat="1">
      <c r="A227" s="7" t="s">
        <v>477</v>
      </c>
      <c r="B227" s="94" t="s">
        <v>300</v>
      </c>
      <c r="C227" s="10" t="s">
        <v>370</v>
      </c>
      <c r="D227" s="55">
        <v>5.7610000000000001</v>
      </c>
      <c r="E227" s="55">
        <v>17.225000000000001</v>
      </c>
      <c r="F227" s="55">
        <v>8.5030000000000001</v>
      </c>
      <c r="G227" s="55">
        <v>11.788</v>
      </c>
      <c r="H227" s="55">
        <v>11.909000000000001</v>
      </c>
      <c r="I227" s="55">
        <v>11.909000000000001</v>
      </c>
      <c r="J227" s="161">
        <v>14.909000000000001</v>
      </c>
      <c r="K227" s="10">
        <v>100</v>
      </c>
      <c r="L227" s="11">
        <v>6</v>
      </c>
      <c r="M227" s="10" t="s">
        <v>153</v>
      </c>
      <c r="N227" s="10" t="s">
        <v>4</v>
      </c>
      <c r="O227" s="10" t="s">
        <v>33</v>
      </c>
    </row>
    <row r="228" spans="1:15" s="7" customFormat="1">
      <c r="A228" s="7" t="s">
        <v>477</v>
      </c>
      <c r="B228" s="94" t="s">
        <v>300</v>
      </c>
      <c r="C228" s="10" t="s">
        <v>483</v>
      </c>
      <c r="D228" s="55">
        <v>0.40400000000000003</v>
      </c>
      <c r="E228" s="55">
        <v>0.63200000000000001</v>
      </c>
      <c r="F228" s="55">
        <v>1.002</v>
      </c>
      <c r="G228" s="55">
        <v>1.202</v>
      </c>
      <c r="H228" s="55">
        <v>1.3919999999999999</v>
      </c>
      <c r="I228" s="55">
        <v>1.3919999999999999</v>
      </c>
      <c r="J228" s="161">
        <v>1.3919999999999999</v>
      </c>
      <c r="K228" s="10">
        <v>100</v>
      </c>
      <c r="L228" s="10">
        <v>6</v>
      </c>
      <c r="M228" s="10" t="s">
        <v>153</v>
      </c>
      <c r="N228" s="10" t="s">
        <v>4</v>
      </c>
      <c r="O228" s="10" t="s">
        <v>33</v>
      </c>
    </row>
    <row r="229" spans="1:15" s="7" customFormat="1">
      <c r="A229" s="7" t="s">
        <v>477</v>
      </c>
      <c r="B229" s="94" t="s">
        <v>698</v>
      </c>
      <c r="C229" s="10" t="s">
        <v>371</v>
      </c>
      <c r="D229" s="55">
        <v>0.41299999999999998</v>
      </c>
      <c r="E229" s="55">
        <v>0.503</v>
      </c>
      <c r="F229" s="55">
        <v>0.503</v>
      </c>
      <c r="G229" s="55">
        <v>0.503</v>
      </c>
      <c r="H229" s="55">
        <v>0.503</v>
      </c>
      <c r="I229" s="55">
        <v>0.503</v>
      </c>
      <c r="J229" s="161">
        <v>0.503</v>
      </c>
      <c r="K229" s="10">
        <v>100</v>
      </c>
      <c r="L229" s="10">
        <v>6</v>
      </c>
      <c r="M229" s="10" t="s">
        <v>153</v>
      </c>
      <c r="N229" s="10" t="s">
        <v>4</v>
      </c>
      <c r="O229" s="10" t="s">
        <v>33</v>
      </c>
    </row>
    <row r="230" spans="1:15" s="7" customFormat="1">
      <c r="A230" s="7" t="s">
        <v>477</v>
      </c>
      <c r="B230" s="94" t="s">
        <v>698</v>
      </c>
      <c r="C230" s="10" t="s">
        <v>485</v>
      </c>
      <c r="D230" s="55">
        <v>1.452</v>
      </c>
      <c r="E230" s="55">
        <v>0.63</v>
      </c>
      <c r="F230" s="55">
        <v>2</v>
      </c>
      <c r="G230" s="55">
        <v>1.6</v>
      </c>
      <c r="H230" s="55">
        <v>1.6</v>
      </c>
      <c r="I230" s="55">
        <v>0.71199999999999997</v>
      </c>
      <c r="J230" s="161">
        <v>0</v>
      </c>
      <c r="K230" s="10">
        <v>100</v>
      </c>
      <c r="L230" s="10">
        <v>8</v>
      </c>
      <c r="M230" s="10" t="s">
        <v>188</v>
      </c>
      <c r="N230" s="10" t="s">
        <v>17</v>
      </c>
      <c r="O230" s="10" t="s">
        <v>33</v>
      </c>
    </row>
    <row r="231" spans="1:15" s="7" customFormat="1">
      <c r="A231" s="7" t="s">
        <v>477</v>
      </c>
      <c r="B231" s="94" t="s">
        <v>698</v>
      </c>
      <c r="C231" s="10" t="s">
        <v>697</v>
      </c>
      <c r="D231" s="55">
        <v>0</v>
      </c>
      <c r="E231" s="55">
        <v>0.15390000000000001</v>
      </c>
      <c r="F231" s="55">
        <v>3.6723000000000003</v>
      </c>
      <c r="G231" s="55">
        <v>3.8803000000000001</v>
      </c>
      <c r="H231" s="55">
        <v>0.44430000000000003</v>
      </c>
      <c r="I231" s="55">
        <v>0.41690000000000005</v>
      </c>
      <c r="J231" s="161">
        <v>0.37690000000000001</v>
      </c>
      <c r="K231" s="10">
        <v>10</v>
      </c>
      <c r="L231" s="10">
        <v>8</v>
      </c>
      <c r="M231" s="10" t="s">
        <v>188</v>
      </c>
      <c r="N231" s="10" t="s">
        <v>8</v>
      </c>
      <c r="O231" s="10" t="s">
        <v>33</v>
      </c>
    </row>
    <row r="232" spans="1:15" s="7" customFormat="1">
      <c r="A232" s="7" t="s">
        <v>477</v>
      </c>
      <c r="B232" s="94" t="s">
        <v>698</v>
      </c>
      <c r="C232" s="10" t="s">
        <v>696</v>
      </c>
      <c r="D232" s="55">
        <v>4.7500000000000001E-2</v>
      </c>
      <c r="E232" s="55">
        <v>9.1249999999999998E-2</v>
      </c>
      <c r="F232" s="55">
        <v>0.23230000000000001</v>
      </c>
      <c r="G232" s="55">
        <v>9.0800000000000006E-2</v>
      </c>
      <c r="H232" s="55">
        <v>0.10280000000000002</v>
      </c>
      <c r="I232" s="55">
        <v>0.12155000000000001</v>
      </c>
      <c r="J232" s="161">
        <v>0.14530000000000001</v>
      </c>
      <c r="K232" s="10">
        <v>5</v>
      </c>
      <c r="L232" s="10">
        <v>8</v>
      </c>
      <c r="M232" s="10" t="s">
        <v>188</v>
      </c>
      <c r="N232" s="10" t="s">
        <v>8</v>
      </c>
      <c r="O232" s="10" t="s">
        <v>33</v>
      </c>
    </row>
    <row r="233" spans="1:15" s="7" customFormat="1">
      <c r="A233" s="7" t="s">
        <v>477</v>
      </c>
      <c r="B233" s="94" t="s">
        <v>484</v>
      </c>
      <c r="C233" s="10" t="s">
        <v>486</v>
      </c>
      <c r="D233" s="55">
        <v>8.6379999999999999</v>
      </c>
      <c r="E233" s="55">
        <v>5.9489999999999998</v>
      </c>
      <c r="F233" s="55">
        <v>5.8449999999999998</v>
      </c>
      <c r="G233" s="55">
        <v>5.86</v>
      </c>
      <c r="H233" s="55">
        <v>5.86</v>
      </c>
      <c r="I233" s="55">
        <v>5.86</v>
      </c>
      <c r="J233" s="161">
        <v>5.86</v>
      </c>
      <c r="K233" s="10">
        <v>100</v>
      </c>
      <c r="L233" s="10">
        <v>8</v>
      </c>
      <c r="M233" s="10" t="s">
        <v>188</v>
      </c>
      <c r="N233" s="10" t="s">
        <v>8</v>
      </c>
      <c r="O233" s="10" t="s">
        <v>33</v>
      </c>
    </row>
    <row r="234" spans="1:15" s="115" customFormat="1">
      <c r="A234" s="7" t="s">
        <v>477</v>
      </c>
      <c r="B234" s="73" t="s">
        <v>302</v>
      </c>
      <c r="C234" s="244" t="s">
        <v>372</v>
      </c>
      <c r="D234" s="245">
        <v>26.85</v>
      </c>
      <c r="E234" s="245">
        <v>27.564</v>
      </c>
      <c r="F234" s="245">
        <v>27.422999999999998</v>
      </c>
      <c r="G234" s="245">
        <v>28.367000000000001</v>
      </c>
      <c r="H234" s="245">
        <v>28.367000000000001</v>
      </c>
      <c r="I234" s="245">
        <v>28.367000000000001</v>
      </c>
      <c r="J234" s="245">
        <v>28.367000000000001</v>
      </c>
      <c r="K234" s="135">
        <v>100</v>
      </c>
      <c r="L234" s="262" t="s">
        <v>301</v>
      </c>
      <c r="M234" s="135" t="s">
        <v>188</v>
      </c>
      <c r="N234" s="135" t="s">
        <v>26</v>
      </c>
      <c r="O234" s="135" t="s">
        <v>32</v>
      </c>
    </row>
    <row r="235" spans="1:15" s="115" customFormat="1">
      <c r="A235" s="7" t="s">
        <v>477</v>
      </c>
      <c r="B235" s="73" t="s">
        <v>302</v>
      </c>
      <c r="C235" s="244" t="s">
        <v>373</v>
      </c>
      <c r="D235" s="245">
        <v>3.8889999999999998</v>
      </c>
      <c r="E235" s="245">
        <v>4.335</v>
      </c>
      <c r="F235" s="245">
        <v>4.17</v>
      </c>
      <c r="G235" s="245">
        <v>4.4139999999999997</v>
      </c>
      <c r="H235" s="245">
        <v>4.4139999999999997</v>
      </c>
      <c r="I235" s="245">
        <v>4.4139999999999997</v>
      </c>
      <c r="J235" s="245">
        <v>4.4139999999999997</v>
      </c>
      <c r="K235" s="135">
        <v>100</v>
      </c>
      <c r="L235" s="262" t="s">
        <v>301</v>
      </c>
      <c r="M235" s="135" t="s">
        <v>188</v>
      </c>
      <c r="N235" s="135" t="s">
        <v>26</v>
      </c>
      <c r="O235" s="135" t="s">
        <v>32</v>
      </c>
    </row>
    <row r="236" spans="1:15" s="115" customFormat="1">
      <c r="A236" s="7" t="s">
        <v>477</v>
      </c>
      <c r="B236" s="73" t="s">
        <v>302</v>
      </c>
      <c r="C236" s="244" t="s">
        <v>150</v>
      </c>
      <c r="D236" s="246">
        <v>64.873999999999995</v>
      </c>
      <c r="E236" s="246">
        <v>62.948999999999998</v>
      </c>
      <c r="F236" s="246">
        <v>70.231999999999999</v>
      </c>
      <c r="G236" s="246">
        <v>70.233000000000004</v>
      </c>
      <c r="H236" s="246">
        <v>70.132999999999996</v>
      </c>
      <c r="I236" s="246">
        <v>70.05</v>
      </c>
      <c r="J236" s="246">
        <v>69.914000000000001</v>
      </c>
      <c r="K236" s="135">
        <v>100</v>
      </c>
      <c r="L236" s="262">
        <v>8</v>
      </c>
      <c r="M236" s="135" t="s">
        <v>447</v>
      </c>
      <c r="N236" s="135" t="s">
        <v>26</v>
      </c>
      <c r="O236" s="135" t="s">
        <v>33</v>
      </c>
    </row>
    <row r="237" spans="1:15" s="115" customFormat="1">
      <c r="A237" s="7" t="s">
        <v>477</v>
      </c>
      <c r="B237" s="73" t="s">
        <v>302</v>
      </c>
      <c r="C237" s="244" t="s">
        <v>374</v>
      </c>
      <c r="D237" s="246">
        <v>50.094999999999999</v>
      </c>
      <c r="E237" s="246">
        <v>47.238</v>
      </c>
      <c r="F237" s="246">
        <v>28.844000000000001</v>
      </c>
      <c r="G237" s="246">
        <v>21.132000000000001</v>
      </c>
      <c r="H237" s="246">
        <v>19.289000000000001</v>
      </c>
      <c r="I237" s="246">
        <v>17.577999999999999</v>
      </c>
      <c r="J237" s="246">
        <v>17.577999999999999</v>
      </c>
      <c r="K237" s="135">
        <v>100</v>
      </c>
      <c r="L237" s="135">
        <v>8</v>
      </c>
      <c r="M237" s="135" t="s">
        <v>151</v>
      </c>
      <c r="N237" s="135" t="s">
        <v>26</v>
      </c>
      <c r="O237" s="135" t="s">
        <v>33</v>
      </c>
    </row>
    <row r="238" spans="1:15" s="7" customFormat="1">
      <c r="A238" s="7" t="s">
        <v>477</v>
      </c>
      <c r="B238" s="94" t="s">
        <v>302</v>
      </c>
      <c r="C238" s="9" t="s">
        <v>27</v>
      </c>
      <c r="D238" s="55">
        <v>62.569000000000003</v>
      </c>
      <c r="E238" s="55">
        <v>66.807000000000002</v>
      </c>
      <c r="F238" s="55">
        <v>66.784000000000006</v>
      </c>
      <c r="G238" s="55">
        <v>64.995000000000005</v>
      </c>
      <c r="H238" s="55">
        <v>64.995000000000005</v>
      </c>
      <c r="I238" s="55">
        <v>64.995000000000005</v>
      </c>
      <c r="J238" s="55">
        <v>64.995000000000005</v>
      </c>
      <c r="K238" s="10">
        <v>100</v>
      </c>
      <c r="L238" s="10">
        <v>8</v>
      </c>
      <c r="M238" s="10" t="s">
        <v>151</v>
      </c>
      <c r="N238" s="10" t="s">
        <v>26</v>
      </c>
      <c r="O238" s="10" t="s">
        <v>33</v>
      </c>
    </row>
    <row r="239" spans="1:15" s="7" customFormat="1">
      <c r="A239" s="7" t="s">
        <v>477</v>
      </c>
      <c r="B239" s="94" t="s">
        <v>302</v>
      </c>
      <c r="C239" s="10" t="s">
        <v>375</v>
      </c>
      <c r="D239" s="55">
        <v>0</v>
      </c>
      <c r="E239" s="55">
        <v>8.0000000000000002E-3</v>
      </c>
      <c r="F239" s="55">
        <v>1.4999999999999999E-2</v>
      </c>
      <c r="G239" s="55">
        <v>0.28899999999999998</v>
      </c>
      <c r="H239" s="55">
        <v>0.56100000000000005</v>
      </c>
      <c r="I239" s="55">
        <v>0.58799999999999997</v>
      </c>
      <c r="J239" s="55">
        <v>0.97399999999999998</v>
      </c>
      <c r="K239" s="10">
        <v>100</v>
      </c>
      <c r="L239" s="10">
        <v>8</v>
      </c>
      <c r="M239" s="10" t="s">
        <v>151</v>
      </c>
      <c r="N239" s="10" t="s">
        <v>155</v>
      </c>
      <c r="O239" s="10" t="s">
        <v>33</v>
      </c>
    </row>
    <row r="240" spans="1:15" s="7" customFormat="1">
      <c r="A240" s="7" t="s">
        <v>477</v>
      </c>
      <c r="B240" s="94" t="s">
        <v>302</v>
      </c>
      <c r="C240" s="10" t="s">
        <v>376</v>
      </c>
      <c r="D240" s="55">
        <v>2.1019999999999999</v>
      </c>
      <c r="E240" s="55">
        <v>1.7210000000000001</v>
      </c>
      <c r="F240" s="55">
        <v>1.59</v>
      </c>
      <c r="G240" s="55">
        <v>2.0249999999999999</v>
      </c>
      <c r="H240" s="55">
        <v>2.4860000000000002</v>
      </c>
      <c r="I240" s="55">
        <v>2.6269999999999998</v>
      </c>
      <c r="J240" s="55">
        <v>2.206</v>
      </c>
      <c r="K240" s="10">
        <v>100</v>
      </c>
      <c r="L240" s="11">
        <v>8</v>
      </c>
      <c r="M240" s="10" t="s">
        <v>151</v>
      </c>
      <c r="N240" s="10" t="s">
        <v>8</v>
      </c>
      <c r="O240" s="10" t="s">
        <v>33</v>
      </c>
    </row>
    <row r="241" spans="1:15" s="7" customFormat="1">
      <c r="A241" s="7" t="s">
        <v>477</v>
      </c>
      <c r="B241" s="94" t="s">
        <v>302</v>
      </c>
      <c r="C241" s="10" t="s">
        <v>448</v>
      </c>
      <c r="D241" s="55">
        <v>0.24099999999999999</v>
      </c>
      <c r="E241" s="55">
        <v>0</v>
      </c>
      <c r="F241" s="55">
        <v>0</v>
      </c>
      <c r="G241" s="55">
        <v>0</v>
      </c>
      <c r="H241" s="55">
        <v>0</v>
      </c>
      <c r="I241" s="55">
        <v>0</v>
      </c>
      <c r="J241" s="55">
        <v>0</v>
      </c>
      <c r="K241" s="10">
        <v>100</v>
      </c>
      <c r="L241" s="11">
        <v>8</v>
      </c>
      <c r="M241" s="10" t="s">
        <v>188</v>
      </c>
      <c r="N241" s="10" t="s">
        <v>8</v>
      </c>
      <c r="O241" s="10" t="s">
        <v>33</v>
      </c>
    </row>
    <row r="242" spans="1:15" s="7" customFormat="1">
      <c r="A242" s="7" t="s">
        <v>477</v>
      </c>
      <c r="B242" s="94" t="s">
        <v>302</v>
      </c>
      <c r="C242" s="10" t="s">
        <v>377</v>
      </c>
      <c r="D242" s="55">
        <v>1.1160000000000001</v>
      </c>
      <c r="E242" s="55">
        <v>2.516</v>
      </c>
      <c r="F242" s="55">
        <v>2.879</v>
      </c>
      <c r="G242" s="55">
        <v>2.879</v>
      </c>
      <c r="H242" s="55">
        <v>2.9289999999999998</v>
      </c>
      <c r="I242" s="55">
        <v>3.073</v>
      </c>
      <c r="J242" s="55">
        <v>3.073</v>
      </c>
      <c r="K242" s="10">
        <v>100</v>
      </c>
      <c r="L242" s="11">
        <v>8</v>
      </c>
      <c r="M242" s="10" t="s">
        <v>151</v>
      </c>
      <c r="N242" s="10" t="s">
        <v>8</v>
      </c>
      <c r="O242" s="10" t="s">
        <v>33</v>
      </c>
    </row>
    <row r="243" spans="1:15" s="7" customFormat="1">
      <c r="A243" s="7" t="s">
        <v>477</v>
      </c>
      <c r="B243" s="94" t="s">
        <v>302</v>
      </c>
      <c r="C243" s="10" t="s">
        <v>378</v>
      </c>
      <c r="D243" s="55">
        <v>0.01</v>
      </c>
      <c r="E243" s="55">
        <v>-5.7000000000000002E-2</v>
      </c>
      <c r="F243" s="55">
        <v>2.1819999999999999</v>
      </c>
      <c r="G243" s="55">
        <v>2.101</v>
      </c>
      <c r="H243" s="55">
        <v>2.101</v>
      </c>
      <c r="I243" s="55">
        <v>1.98</v>
      </c>
      <c r="J243" s="55">
        <v>1.98</v>
      </c>
      <c r="K243" s="10">
        <v>100</v>
      </c>
      <c r="L243" s="11">
        <v>8</v>
      </c>
      <c r="M243" s="10" t="s">
        <v>151</v>
      </c>
      <c r="N243" s="10" t="s">
        <v>8</v>
      </c>
      <c r="O243" s="10" t="s">
        <v>33</v>
      </c>
    </row>
    <row r="244" spans="1:15" s="7" customFormat="1">
      <c r="A244" s="7" t="s">
        <v>477</v>
      </c>
      <c r="B244" s="94" t="s">
        <v>302</v>
      </c>
      <c r="C244" s="10" t="s">
        <v>379</v>
      </c>
      <c r="D244" s="55">
        <v>0</v>
      </c>
      <c r="E244" s="55">
        <v>0.20100000000000001</v>
      </c>
      <c r="F244" s="55">
        <v>0.20100000000000001</v>
      </c>
      <c r="G244" s="55">
        <v>0.20100000000000001</v>
      </c>
      <c r="H244" s="55">
        <v>0.20100000000000001</v>
      </c>
      <c r="I244" s="55">
        <v>0.20100000000000001</v>
      </c>
      <c r="J244" s="55">
        <v>0.20100000000000001</v>
      </c>
      <c r="K244" s="10">
        <v>100</v>
      </c>
      <c r="L244" s="11">
        <v>8</v>
      </c>
      <c r="M244" s="10" t="s">
        <v>151</v>
      </c>
      <c r="N244" s="10" t="s">
        <v>8</v>
      </c>
      <c r="O244" s="10" t="s">
        <v>33</v>
      </c>
    </row>
    <row r="245" spans="1:15" s="7" customFormat="1">
      <c r="A245" s="7" t="s">
        <v>477</v>
      </c>
      <c r="B245" s="94" t="s">
        <v>302</v>
      </c>
      <c r="C245" s="10" t="s">
        <v>380</v>
      </c>
      <c r="D245" s="55">
        <v>0</v>
      </c>
      <c r="E245" s="55">
        <v>0</v>
      </c>
      <c r="F245" s="55">
        <v>0</v>
      </c>
      <c r="G245" s="55">
        <v>0</v>
      </c>
      <c r="H245" s="55">
        <v>0</v>
      </c>
      <c r="I245" s="55">
        <v>0</v>
      </c>
      <c r="J245" s="55">
        <v>0</v>
      </c>
      <c r="K245" s="10">
        <v>100</v>
      </c>
      <c r="L245" s="11">
        <v>8</v>
      </c>
      <c r="M245" s="10" t="s">
        <v>151</v>
      </c>
      <c r="N245" s="10" t="s">
        <v>8</v>
      </c>
      <c r="O245" s="10" t="s">
        <v>33</v>
      </c>
    </row>
    <row r="246" spans="1:15" s="7" customFormat="1">
      <c r="A246" s="7" t="s">
        <v>477</v>
      </c>
      <c r="B246" s="94" t="s">
        <v>302</v>
      </c>
      <c r="C246" s="10" t="s">
        <v>381</v>
      </c>
      <c r="D246" s="55">
        <v>0.89800000000000002</v>
      </c>
      <c r="E246" s="55">
        <v>1.9810000000000001</v>
      </c>
      <c r="F246" s="55">
        <v>1.9810000000000001</v>
      </c>
      <c r="G246" s="55">
        <v>2.3809999999999998</v>
      </c>
      <c r="H246" s="55">
        <v>2.3809999999999998</v>
      </c>
      <c r="I246" s="55">
        <v>2.3809999999999998</v>
      </c>
      <c r="J246" s="55">
        <v>2.3809999999999998</v>
      </c>
      <c r="K246" s="10">
        <v>100</v>
      </c>
      <c r="L246" s="11">
        <v>8</v>
      </c>
      <c r="M246" s="10" t="s">
        <v>151</v>
      </c>
      <c r="N246" s="10" t="s">
        <v>8</v>
      </c>
      <c r="O246" s="10" t="s">
        <v>33</v>
      </c>
    </row>
    <row r="247" spans="1:15" s="7" customFormat="1">
      <c r="A247" s="7" t="s">
        <v>477</v>
      </c>
      <c r="B247" s="94" t="s">
        <v>302</v>
      </c>
      <c r="C247" s="10" t="s">
        <v>382</v>
      </c>
      <c r="D247" s="55">
        <v>0</v>
      </c>
      <c r="E247" s="55">
        <v>0</v>
      </c>
      <c r="F247" s="55">
        <v>0</v>
      </c>
      <c r="G247" s="55">
        <v>0</v>
      </c>
      <c r="H247" s="55">
        <v>0</v>
      </c>
      <c r="I247" s="55">
        <v>0</v>
      </c>
      <c r="J247" s="55">
        <v>0</v>
      </c>
      <c r="K247" s="10">
        <v>100</v>
      </c>
      <c r="L247" s="11">
        <v>8</v>
      </c>
      <c r="M247" s="10" t="s">
        <v>151</v>
      </c>
      <c r="N247" s="10" t="s">
        <v>8</v>
      </c>
      <c r="O247" s="10" t="s">
        <v>33</v>
      </c>
    </row>
    <row r="248" spans="1:15" s="7" customFormat="1">
      <c r="A248" s="7" t="s">
        <v>477</v>
      </c>
      <c r="B248" s="94" t="s">
        <v>302</v>
      </c>
      <c r="C248" s="10" t="s">
        <v>303</v>
      </c>
      <c r="D248" s="55">
        <v>9.4909999999999997</v>
      </c>
      <c r="E248" s="55">
        <v>10.012</v>
      </c>
      <c r="F248" s="55">
        <v>4.7130000000000001</v>
      </c>
      <c r="G248" s="55">
        <v>4.1630000000000003</v>
      </c>
      <c r="H248" s="55">
        <v>4.1539999999999999</v>
      </c>
      <c r="I248" s="55">
        <v>3.27</v>
      </c>
      <c r="J248" s="55">
        <v>2.97</v>
      </c>
      <c r="K248" s="10">
        <v>100</v>
      </c>
      <c r="L248" s="11">
        <v>8</v>
      </c>
      <c r="M248" s="10" t="s">
        <v>151</v>
      </c>
      <c r="N248" s="10" t="s">
        <v>8</v>
      </c>
      <c r="O248" s="10" t="s">
        <v>33</v>
      </c>
    </row>
    <row r="249" spans="1:15" s="7" customFormat="1">
      <c r="A249" s="7" t="s">
        <v>148</v>
      </c>
      <c r="B249" s="7">
        <v>1</v>
      </c>
      <c r="C249" s="7" t="s">
        <v>279</v>
      </c>
      <c r="D249" s="83">
        <v>5.0780000000000003</v>
      </c>
      <c r="E249" s="83">
        <v>4.72</v>
      </c>
      <c r="F249" s="83">
        <v>8.4700000000000006</v>
      </c>
      <c r="G249" s="83">
        <v>8.4700000000000006</v>
      </c>
      <c r="H249" s="83">
        <v>8.4700000000000006</v>
      </c>
      <c r="I249" s="83">
        <v>8.4700000000000006</v>
      </c>
      <c r="J249" s="83">
        <v>8.4700000000000006</v>
      </c>
      <c r="K249" s="171">
        <v>100</v>
      </c>
      <c r="L249" s="7">
        <v>7</v>
      </c>
      <c r="M249" s="92" t="s">
        <v>85</v>
      </c>
      <c r="N249" s="92" t="s">
        <v>348</v>
      </c>
      <c r="O249" s="7" t="s">
        <v>32</v>
      </c>
    </row>
    <row r="250" spans="1:15" s="7" customFormat="1">
      <c r="A250" s="7" t="s">
        <v>148</v>
      </c>
      <c r="B250" s="7">
        <v>1</v>
      </c>
      <c r="C250" s="7" t="s">
        <v>279</v>
      </c>
      <c r="D250" s="83">
        <v>2.2290000000000001</v>
      </c>
      <c r="E250" s="83">
        <v>2.891</v>
      </c>
      <c r="F250" s="83">
        <v>2.879</v>
      </c>
      <c r="G250" s="83">
        <v>3.4489999999999998</v>
      </c>
      <c r="H250" s="83">
        <v>3.323</v>
      </c>
      <c r="I250" s="83">
        <v>3.2040000000000002</v>
      </c>
      <c r="J250" s="83">
        <v>3.1709999999999998</v>
      </c>
      <c r="K250" s="171">
        <v>100</v>
      </c>
      <c r="L250" s="7">
        <v>11</v>
      </c>
      <c r="M250" s="92" t="s">
        <v>48</v>
      </c>
      <c r="N250" s="7" t="s">
        <v>8</v>
      </c>
      <c r="O250" s="7" t="s">
        <v>33</v>
      </c>
    </row>
    <row r="251" spans="1:15" s="7" customFormat="1">
      <c r="A251" s="7" t="s">
        <v>148</v>
      </c>
      <c r="B251" s="7">
        <v>1</v>
      </c>
      <c r="C251" s="7" t="s">
        <v>279</v>
      </c>
      <c r="D251" s="83">
        <v>0.45</v>
      </c>
      <c r="E251" s="83">
        <v>0.45</v>
      </c>
      <c r="F251" s="83">
        <v>0.45</v>
      </c>
      <c r="G251" s="83">
        <v>0.45</v>
      </c>
      <c r="H251" s="83">
        <v>0</v>
      </c>
      <c r="I251" s="83">
        <v>0</v>
      </c>
      <c r="J251" s="83">
        <v>0</v>
      </c>
      <c r="K251" s="171">
        <v>100</v>
      </c>
      <c r="L251" s="7">
        <v>11</v>
      </c>
      <c r="M251" s="92" t="s">
        <v>48</v>
      </c>
      <c r="N251" s="7" t="s">
        <v>349</v>
      </c>
      <c r="O251" s="7" t="s">
        <v>33</v>
      </c>
    </row>
    <row r="252" spans="1:15" s="7" customFormat="1">
      <c r="A252" s="7" t="s">
        <v>148</v>
      </c>
      <c r="B252" s="7">
        <v>7</v>
      </c>
      <c r="C252" s="7" t="s">
        <v>624</v>
      </c>
      <c r="D252" s="83">
        <v>1.556</v>
      </c>
      <c r="E252" s="83">
        <v>2.0270000000000001</v>
      </c>
      <c r="F252" s="83">
        <v>2</v>
      </c>
      <c r="G252" s="83">
        <v>2</v>
      </c>
      <c r="H252" s="83">
        <v>2</v>
      </c>
      <c r="I252" s="83">
        <v>2</v>
      </c>
      <c r="J252" s="83">
        <v>2</v>
      </c>
      <c r="K252" s="171">
        <v>100</v>
      </c>
      <c r="L252" s="7">
        <v>11</v>
      </c>
      <c r="M252" s="92" t="s">
        <v>48</v>
      </c>
      <c r="N252" s="7" t="s">
        <v>8</v>
      </c>
      <c r="O252" s="7" t="s">
        <v>33</v>
      </c>
    </row>
    <row r="253" spans="1:15" s="7" customFormat="1">
      <c r="A253" s="7" t="s">
        <v>148</v>
      </c>
      <c r="B253" s="7">
        <v>13</v>
      </c>
      <c r="C253" s="7" t="s">
        <v>623</v>
      </c>
      <c r="D253" s="83">
        <v>0.27800000000000002</v>
      </c>
      <c r="E253" s="83">
        <v>0.14199999999999999</v>
      </c>
      <c r="F253" s="83">
        <v>0.5</v>
      </c>
      <c r="G253" s="83">
        <v>0.5</v>
      </c>
      <c r="H253" s="83">
        <v>0.5</v>
      </c>
      <c r="I253" s="83">
        <v>0.5</v>
      </c>
      <c r="J253" s="83">
        <v>0.5</v>
      </c>
      <c r="K253" s="171">
        <v>100</v>
      </c>
      <c r="L253" s="7">
        <v>11</v>
      </c>
      <c r="M253" s="92" t="s">
        <v>48</v>
      </c>
      <c r="N253" s="7" t="s">
        <v>8</v>
      </c>
      <c r="O253" s="7" t="s">
        <v>33</v>
      </c>
    </row>
    <row r="254" spans="1:15" s="7" customFormat="1">
      <c r="A254" s="7" t="s">
        <v>148</v>
      </c>
      <c r="B254" s="7">
        <v>2</v>
      </c>
      <c r="C254" s="7" t="s">
        <v>625</v>
      </c>
      <c r="D254" s="83">
        <v>3.7509999999999999</v>
      </c>
      <c r="E254" s="83">
        <v>3.7480000000000002</v>
      </c>
      <c r="F254" s="83">
        <v>3.121</v>
      </c>
      <c r="G254" s="83">
        <v>3.4</v>
      </c>
      <c r="H254" s="83">
        <v>2.2000000000000002</v>
      </c>
      <c r="I254" s="83">
        <v>2.2000000000000002</v>
      </c>
      <c r="J254" s="83">
        <v>3.734</v>
      </c>
      <c r="K254" s="171">
        <v>100</v>
      </c>
      <c r="L254" s="7">
        <v>11</v>
      </c>
      <c r="M254" s="92" t="s">
        <v>48</v>
      </c>
      <c r="N254" s="7" t="s">
        <v>8</v>
      </c>
      <c r="O254" s="7" t="s">
        <v>33</v>
      </c>
    </row>
    <row r="255" spans="1:15" s="7" customFormat="1">
      <c r="A255" s="7" t="s">
        <v>149</v>
      </c>
      <c r="B255" s="92" t="s">
        <v>219</v>
      </c>
      <c r="C255" s="92" t="s">
        <v>201</v>
      </c>
      <c r="D255" s="95">
        <v>22</v>
      </c>
      <c r="E255" s="95">
        <v>22</v>
      </c>
      <c r="F255" s="95">
        <v>22</v>
      </c>
      <c r="G255" s="95">
        <v>22</v>
      </c>
      <c r="H255" s="95">
        <v>22</v>
      </c>
      <c r="I255" s="95">
        <v>22</v>
      </c>
      <c r="J255" s="95">
        <v>22</v>
      </c>
      <c r="K255" s="96">
        <v>2.6</v>
      </c>
      <c r="L255" s="100" t="s">
        <v>57</v>
      </c>
      <c r="M255" s="92" t="s">
        <v>90</v>
      </c>
      <c r="N255" s="92" t="s">
        <v>162</v>
      </c>
      <c r="O255" s="92" t="s">
        <v>32</v>
      </c>
    </row>
    <row r="256" spans="1:15" s="7" customFormat="1">
      <c r="A256" s="7" t="s">
        <v>149</v>
      </c>
      <c r="B256" s="92" t="s">
        <v>434</v>
      </c>
      <c r="C256" s="92" t="s">
        <v>435</v>
      </c>
      <c r="D256" s="95">
        <v>7</v>
      </c>
      <c r="E256" s="95">
        <v>7</v>
      </c>
      <c r="F256" s="95">
        <v>7</v>
      </c>
      <c r="G256" s="95">
        <v>7</v>
      </c>
      <c r="H256" s="95">
        <v>7</v>
      </c>
      <c r="I256" s="95">
        <v>7</v>
      </c>
      <c r="J256" s="95">
        <v>7</v>
      </c>
      <c r="K256" s="96">
        <v>29.1</v>
      </c>
      <c r="L256" s="100">
        <v>7</v>
      </c>
      <c r="M256" s="92" t="s">
        <v>85</v>
      </c>
      <c r="N256" s="92" t="s">
        <v>4</v>
      </c>
      <c r="O256" s="92" t="s">
        <v>33</v>
      </c>
    </row>
    <row r="257" spans="1:15" s="7" customFormat="1">
      <c r="A257" s="7" t="s">
        <v>149</v>
      </c>
      <c r="B257" s="92" t="s">
        <v>156</v>
      </c>
      <c r="C257" s="92" t="s">
        <v>340</v>
      </c>
      <c r="D257" s="95">
        <v>20</v>
      </c>
      <c r="E257" s="95">
        <v>37.161000000000001</v>
      </c>
      <c r="F257" s="95">
        <v>21.73</v>
      </c>
      <c r="G257" s="95">
        <v>19</v>
      </c>
      <c r="H257" s="95">
        <v>19</v>
      </c>
      <c r="I257" s="95">
        <v>19</v>
      </c>
      <c r="J257" s="95">
        <v>19</v>
      </c>
      <c r="K257" s="96">
        <v>12.4</v>
      </c>
      <c r="L257" s="100" t="s">
        <v>57</v>
      </c>
      <c r="M257" s="92" t="s">
        <v>90</v>
      </c>
      <c r="N257" s="92" t="s">
        <v>23</v>
      </c>
      <c r="O257" s="92" t="s">
        <v>32</v>
      </c>
    </row>
    <row r="258" spans="1:15" s="7" customFormat="1">
      <c r="A258" s="7" t="s">
        <v>149</v>
      </c>
      <c r="B258" s="92" t="s">
        <v>430</v>
      </c>
      <c r="C258" s="92" t="s">
        <v>431</v>
      </c>
      <c r="D258" s="95">
        <v>8.7829999999999995</v>
      </c>
      <c r="E258" s="95">
        <v>10.356999999999999</v>
      </c>
      <c r="F258" s="95">
        <v>10.43</v>
      </c>
      <c r="G258" s="95">
        <v>9.8949999999999996</v>
      </c>
      <c r="H258" s="95">
        <v>9.7940000000000005</v>
      </c>
      <c r="I258" s="95">
        <v>9.7940000000000005</v>
      </c>
      <c r="J258" s="95">
        <v>9.7940000000000005</v>
      </c>
      <c r="K258" s="96">
        <v>36.515772152785097</v>
      </c>
      <c r="L258" s="100">
        <v>7</v>
      </c>
      <c r="M258" s="92" t="s">
        <v>85</v>
      </c>
      <c r="N258" s="92" t="s">
        <v>33</v>
      </c>
      <c r="O258" s="92" t="s">
        <v>33</v>
      </c>
    </row>
    <row r="259" spans="1:15" s="7" customFormat="1">
      <c r="A259" s="7" t="s">
        <v>149</v>
      </c>
      <c r="B259" s="92" t="s">
        <v>157</v>
      </c>
      <c r="C259" s="92" t="s">
        <v>560</v>
      </c>
      <c r="D259" s="95">
        <v>18.100000000000001</v>
      </c>
      <c r="E259" s="95">
        <v>18.239000000000001</v>
      </c>
      <c r="F259" s="95">
        <v>18.239000000000001</v>
      </c>
      <c r="G259" s="95">
        <v>18.239000000000001</v>
      </c>
      <c r="H259" s="95">
        <v>18.239000000000001</v>
      </c>
      <c r="I259" s="95">
        <v>18.239000000000001</v>
      </c>
      <c r="J259" s="95">
        <v>18.239000000000001</v>
      </c>
      <c r="K259" s="96">
        <v>7.6327220683132602</v>
      </c>
      <c r="L259" s="100">
        <v>7</v>
      </c>
      <c r="M259" s="92" t="s">
        <v>85</v>
      </c>
      <c r="N259" s="92" t="s">
        <v>4</v>
      </c>
      <c r="O259" s="92" t="s">
        <v>32</v>
      </c>
    </row>
    <row r="260" spans="1:15" s="7" customFormat="1">
      <c r="A260" s="7" t="s">
        <v>149</v>
      </c>
      <c r="B260" s="92" t="s">
        <v>154</v>
      </c>
      <c r="C260" s="92" t="s">
        <v>220</v>
      </c>
      <c r="D260" s="95">
        <v>9.3000000000000007</v>
      </c>
      <c r="E260" s="95">
        <v>9.5</v>
      </c>
      <c r="F260" s="95">
        <v>9.5</v>
      </c>
      <c r="G260" s="95">
        <v>9.5</v>
      </c>
      <c r="H260" s="95">
        <v>9.5</v>
      </c>
      <c r="I260" s="95">
        <v>9.5</v>
      </c>
      <c r="J260" s="95">
        <v>9.5</v>
      </c>
      <c r="K260" s="96">
        <v>66.447506469888793</v>
      </c>
      <c r="L260" s="100">
        <v>7</v>
      </c>
      <c r="M260" s="92" t="s">
        <v>85</v>
      </c>
      <c r="N260" s="92" t="s">
        <v>4</v>
      </c>
      <c r="O260" s="92" t="s">
        <v>32</v>
      </c>
    </row>
    <row r="261" spans="1:15" s="7" customFormat="1">
      <c r="A261" s="7" t="s">
        <v>149</v>
      </c>
      <c r="B261" s="92" t="s">
        <v>434</v>
      </c>
      <c r="C261" s="92" t="s">
        <v>487</v>
      </c>
      <c r="D261" s="95">
        <v>236.428</v>
      </c>
      <c r="E261" s="95">
        <v>359.38499999999999</v>
      </c>
      <c r="F261" s="95">
        <v>299.75900000000001</v>
      </c>
      <c r="G261" s="95">
        <v>254.02500000000001</v>
      </c>
      <c r="H261" s="95">
        <v>216.434</v>
      </c>
      <c r="I261" s="95">
        <v>172.92699999999999</v>
      </c>
      <c r="J261" s="95">
        <v>162.00899999999999</v>
      </c>
      <c r="K261" s="96">
        <v>93.104712090669906</v>
      </c>
      <c r="L261" s="100">
        <v>7</v>
      </c>
      <c r="M261" s="92" t="s">
        <v>85</v>
      </c>
      <c r="N261" s="92" t="s">
        <v>155</v>
      </c>
      <c r="O261" s="92" t="s">
        <v>33</v>
      </c>
    </row>
    <row r="262" spans="1:15" s="7" customFormat="1">
      <c r="A262" s="7" t="s">
        <v>149</v>
      </c>
      <c r="B262" s="92" t="s">
        <v>626</v>
      </c>
      <c r="C262" s="92" t="s">
        <v>488</v>
      </c>
      <c r="D262" s="95">
        <v>6.601</v>
      </c>
      <c r="E262" s="95">
        <v>7.1559999999999997</v>
      </c>
      <c r="F262" s="95">
        <v>6.4850000000000003</v>
      </c>
      <c r="G262" s="95">
        <v>5.9930000000000003</v>
      </c>
      <c r="H262" s="95">
        <v>5.9640000000000004</v>
      </c>
      <c r="I262" s="95">
        <v>5.9329999999999998</v>
      </c>
      <c r="J262" s="95">
        <v>5.9329999999999998</v>
      </c>
      <c r="K262" s="96">
        <v>17.7880791068931</v>
      </c>
      <c r="L262" s="100">
        <v>7</v>
      </c>
      <c r="M262" s="92" t="s">
        <v>85</v>
      </c>
      <c r="N262" s="92" t="s">
        <v>91</v>
      </c>
      <c r="O262" s="92" t="s">
        <v>32</v>
      </c>
    </row>
    <row r="263" spans="1:15" s="7" customFormat="1">
      <c r="A263" s="7" t="s">
        <v>149</v>
      </c>
      <c r="B263" s="92" t="s">
        <v>154</v>
      </c>
      <c r="C263" s="92" t="s">
        <v>561</v>
      </c>
      <c r="D263" s="95">
        <v>15.3</v>
      </c>
      <c r="E263" s="95">
        <v>23</v>
      </c>
      <c r="F263" s="95">
        <v>22.2</v>
      </c>
      <c r="G263" s="95">
        <v>21.9</v>
      </c>
      <c r="H263" s="95">
        <v>22.4</v>
      </c>
      <c r="I263" s="95">
        <v>22.4</v>
      </c>
      <c r="J263" s="95">
        <v>22.4</v>
      </c>
      <c r="K263" s="96">
        <v>6.9</v>
      </c>
      <c r="L263" s="100">
        <v>7</v>
      </c>
      <c r="M263" s="92" t="s">
        <v>85</v>
      </c>
      <c r="N263" s="92" t="s">
        <v>155</v>
      </c>
      <c r="O263" s="92" t="s">
        <v>33</v>
      </c>
    </row>
    <row r="264" spans="1:15" s="7" customFormat="1">
      <c r="A264" s="7" t="s">
        <v>149</v>
      </c>
      <c r="B264" s="92" t="s">
        <v>432</v>
      </c>
      <c r="C264" s="92" t="s">
        <v>433</v>
      </c>
      <c r="D264" s="95">
        <v>0</v>
      </c>
      <c r="E264" s="95">
        <v>0</v>
      </c>
      <c r="F264" s="95">
        <v>0</v>
      </c>
      <c r="G264" s="95">
        <v>5.3</v>
      </c>
      <c r="H264" s="95">
        <v>5.5</v>
      </c>
      <c r="I264" s="95">
        <v>5.5</v>
      </c>
      <c r="J264" s="95">
        <v>5.5</v>
      </c>
      <c r="K264" s="96">
        <v>0</v>
      </c>
      <c r="L264" s="100">
        <v>7</v>
      </c>
      <c r="M264" s="92" t="s">
        <v>85</v>
      </c>
      <c r="N264" s="92" t="s">
        <v>33</v>
      </c>
      <c r="O264" s="92" t="s">
        <v>33</v>
      </c>
    </row>
    <row r="265" spans="1:15" s="7" customFormat="1">
      <c r="A265" s="7" t="s">
        <v>149</v>
      </c>
      <c r="B265" s="92" t="s">
        <v>200</v>
      </c>
      <c r="C265" s="92" t="s">
        <v>204</v>
      </c>
      <c r="D265" s="95">
        <v>12.506</v>
      </c>
      <c r="E265" s="95">
        <v>12.833</v>
      </c>
      <c r="F265" s="95">
        <v>13.97638139798746</v>
      </c>
      <c r="G265" s="95">
        <v>15.107169185114424</v>
      </c>
      <c r="H265" s="95">
        <v>15.107169185114424</v>
      </c>
      <c r="I265" s="95">
        <v>15.107169185114424</v>
      </c>
      <c r="J265" s="95">
        <v>15.107169185114424</v>
      </c>
      <c r="K265" s="96">
        <v>97.3</v>
      </c>
      <c r="L265" s="100" t="s">
        <v>57</v>
      </c>
      <c r="M265" s="92" t="s">
        <v>90</v>
      </c>
      <c r="N265" s="92" t="s">
        <v>23</v>
      </c>
      <c r="O265" s="92" t="s">
        <v>32</v>
      </c>
    </row>
    <row r="266" spans="1:15" s="170" customFormat="1" ht="14.4">
      <c r="A266" s="206" t="s">
        <v>700</v>
      </c>
      <c r="B266" s="242">
        <v>2</v>
      </c>
      <c r="C266" s="165" t="s">
        <v>682</v>
      </c>
      <c r="D266" s="205">
        <v>0</v>
      </c>
      <c r="E266" s="205">
        <v>0.12453075027312456</v>
      </c>
      <c r="F266" s="205">
        <v>5.3598340816407859</v>
      </c>
      <c r="G266" s="205">
        <v>8.3922819133004793</v>
      </c>
      <c r="H266" s="205">
        <v>11.371911314774632</v>
      </c>
      <c r="I266" s="205">
        <v>11.854528250876358</v>
      </c>
      <c r="J266" s="205">
        <v>9.5044448026133299</v>
      </c>
      <c r="K266" s="207">
        <v>50</v>
      </c>
      <c r="L266" s="277">
        <v>1</v>
      </c>
      <c r="M266" s="205" t="s">
        <v>585</v>
      </c>
      <c r="N266" s="205" t="s">
        <v>586</v>
      </c>
      <c r="O266" s="205" t="s">
        <v>587</v>
      </c>
    </row>
    <row r="267" spans="1:15" s="170" customFormat="1" ht="14.4">
      <c r="A267" s="206" t="s">
        <v>700</v>
      </c>
      <c r="B267" s="242">
        <v>2</v>
      </c>
      <c r="C267" s="165" t="s">
        <v>682</v>
      </c>
      <c r="D267" s="205">
        <v>0</v>
      </c>
      <c r="E267" s="205">
        <v>0.17392609599328387</v>
      </c>
      <c r="F267" s="205">
        <v>3.4807537431345894</v>
      </c>
      <c r="G267" s="205">
        <v>5.8335668561706981</v>
      </c>
      <c r="H267" s="205">
        <v>7.9685910669214897</v>
      </c>
      <c r="I267" s="205">
        <v>8.7650663173065819</v>
      </c>
      <c r="J267" s="205">
        <v>6.6723863292234746</v>
      </c>
      <c r="K267" s="207">
        <v>50</v>
      </c>
      <c r="L267" s="277">
        <v>2</v>
      </c>
      <c r="M267" s="205" t="s">
        <v>585</v>
      </c>
      <c r="N267" s="205" t="s">
        <v>586</v>
      </c>
      <c r="O267" s="205" t="s">
        <v>587</v>
      </c>
    </row>
    <row r="268" spans="1:15" s="170" customFormat="1" ht="14.4">
      <c r="A268" s="206" t="s">
        <v>700</v>
      </c>
      <c r="B268" s="242">
        <v>2</v>
      </c>
      <c r="C268" s="165" t="s">
        <v>682</v>
      </c>
      <c r="D268" s="205">
        <v>0</v>
      </c>
      <c r="E268" s="205">
        <v>0.56572856268803962</v>
      </c>
      <c r="F268" s="205">
        <v>13.449438483771862</v>
      </c>
      <c r="G268" s="205">
        <v>21.256266913548025</v>
      </c>
      <c r="H268" s="205">
        <v>29.439656576755354</v>
      </c>
      <c r="I268" s="205">
        <v>31.353347518225842</v>
      </c>
      <c r="J268" s="205">
        <v>25.585350634554274</v>
      </c>
      <c r="K268" s="207">
        <v>50</v>
      </c>
      <c r="L268" s="277">
        <v>3</v>
      </c>
      <c r="M268" s="205" t="s">
        <v>585</v>
      </c>
      <c r="N268" s="205" t="s">
        <v>586</v>
      </c>
      <c r="O268" s="205" t="s">
        <v>587</v>
      </c>
    </row>
    <row r="269" spans="1:15" s="170" customFormat="1" ht="14.4">
      <c r="A269" s="206" t="s">
        <v>700</v>
      </c>
      <c r="B269" s="242">
        <v>2</v>
      </c>
      <c r="C269" s="165" t="s">
        <v>682</v>
      </c>
      <c r="D269" s="205">
        <v>0</v>
      </c>
      <c r="E269" s="205">
        <v>0.38311274898623793</v>
      </c>
      <c r="F269" s="205">
        <v>9.9239920540713484</v>
      </c>
      <c r="G269" s="205">
        <v>14.447917731235149</v>
      </c>
      <c r="H269" s="205">
        <v>20.799595474616396</v>
      </c>
      <c r="I269" s="205">
        <v>19.387688547909008</v>
      </c>
      <c r="J269" s="205">
        <v>12.474646429523595</v>
      </c>
      <c r="K269" s="207">
        <v>50</v>
      </c>
      <c r="L269" s="277">
        <v>4</v>
      </c>
      <c r="M269" s="205" t="s">
        <v>585</v>
      </c>
      <c r="N269" s="205" t="s">
        <v>586</v>
      </c>
      <c r="O269" s="205" t="s">
        <v>587</v>
      </c>
    </row>
    <row r="270" spans="1:15" s="170" customFormat="1" ht="14.4">
      <c r="A270" s="206" t="s">
        <v>700</v>
      </c>
      <c r="B270" s="242">
        <v>2</v>
      </c>
      <c r="C270" s="165" t="s">
        <v>682</v>
      </c>
      <c r="D270" s="205">
        <v>0</v>
      </c>
      <c r="E270" s="205">
        <v>0.56454874970500502</v>
      </c>
      <c r="F270" s="205">
        <v>16.234137067919498</v>
      </c>
      <c r="G270" s="205">
        <v>24.666269136239503</v>
      </c>
      <c r="H270" s="205">
        <v>32.39817377901128</v>
      </c>
      <c r="I270" s="205">
        <v>30.191650628120556</v>
      </c>
      <c r="J270" s="205">
        <v>22.316106387431049</v>
      </c>
      <c r="K270" s="207">
        <v>50</v>
      </c>
      <c r="L270" s="277">
        <v>5</v>
      </c>
      <c r="M270" s="205" t="s">
        <v>585</v>
      </c>
      <c r="N270" s="205" t="s">
        <v>586</v>
      </c>
      <c r="O270" s="205" t="s">
        <v>587</v>
      </c>
    </row>
    <row r="271" spans="1:15" s="170" customFormat="1" ht="14.4">
      <c r="A271" s="206" t="s">
        <v>700</v>
      </c>
      <c r="B271" s="242">
        <v>2</v>
      </c>
      <c r="C271" s="165" t="s">
        <v>682</v>
      </c>
      <c r="D271" s="205">
        <v>0</v>
      </c>
      <c r="E271" s="205">
        <v>2.2014503389279492</v>
      </c>
      <c r="F271" s="205">
        <v>55.780173832456612</v>
      </c>
      <c r="G271" s="205">
        <v>87.375861928472517</v>
      </c>
      <c r="H271" s="205">
        <v>120.77935744033859</v>
      </c>
      <c r="I271" s="205">
        <v>122.87628211050436</v>
      </c>
      <c r="J271" s="205">
        <v>101.82984141038847</v>
      </c>
      <c r="K271" s="207">
        <v>50</v>
      </c>
      <c r="L271" s="277">
        <v>6</v>
      </c>
      <c r="M271" s="205" t="s">
        <v>585</v>
      </c>
      <c r="N271" s="205" t="s">
        <v>586</v>
      </c>
      <c r="O271" s="205" t="s">
        <v>587</v>
      </c>
    </row>
    <row r="272" spans="1:15" s="170" customFormat="1" ht="14.4">
      <c r="A272" s="206" t="s">
        <v>700</v>
      </c>
      <c r="B272" s="242">
        <v>2</v>
      </c>
      <c r="C272" s="165" t="s">
        <v>682</v>
      </c>
      <c r="D272" s="205">
        <v>0</v>
      </c>
      <c r="E272" s="205">
        <v>2.0428467715104404</v>
      </c>
      <c r="F272" s="205">
        <v>44.314998340036361</v>
      </c>
      <c r="G272" s="205">
        <v>64.050097163349378</v>
      </c>
      <c r="H272" s="205">
        <v>79.69388019294982</v>
      </c>
      <c r="I272" s="205">
        <v>73.142455565650764</v>
      </c>
      <c r="J272" s="205">
        <v>57.399996015067288</v>
      </c>
      <c r="K272" s="207">
        <v>50</v>
      </c>
      <c r="L272" s="277">
        <v>7</v>
      </c>
      <c r="M272" s="205" t="s">
        <v>585</v>
      </c>
      <c r="N272" s="205" t="s">
        <v>586</v>
      </c>
      <c r="O272" s="205" t="s">
        <v>587</v>
      </c>
    </row>
    <row r="273" spans="1:15" s="170" customFormat="1" ht="14.4">
      <c r="A273" s="206" t="s">
        <v>700</v>
      </c>
      <c r="B273" s="242">
        <v>2</v>
      </c>
      <c r="C273" s="165" t="s">
        <v>682</v>
      </c>
      <c r="D273" s="205">
        <v>0</v>
      </c>
      <c r="E273" s="205">
        <v>0.91838435156893017</v>
      </c>
      <c r="F273" s="205">
        <v>21.626081608958025</v>
      </c>
      <c r="G273" s="205">
        <v>33.076912210629942</v>
      </c>
      <c r="H273" s="205">
        <v>44.277530629991496</v>
      </c>
      <c r="I273" s="205">
        <v>45.948152602847195</v>
      </c>
      <c r="J273" s="205">
        <v>37.260409241465624</v>
      </c>
      <c r="K273" s="207">
        <v>50</v>
      </c>
      <c r="L273" s="277">
        <v>8</v>
      </c>
      <c r="M273" s="205" t="s">
        <v>585</v>
      </c>
      <c r="N273" s="205" t="s">
        <v>586</v>
      </c>
      <c r="O273" s="205" t="s">
        <v>587</v>
      </c>
    </row>
    <row r="274" spans="1:15" s="170" customFormat="1" ht="14.4">
      <c r="A274" s="206" t="s">
        <v>700</v>
      </c>
      <c r="B274" s="242">
        <v>2</v>
      </c>
      <c r="C274" s="165" t="s">
        <v>682</v>
      </c>
      <c r="D274" s="205">
        <v>0</v>
      </c>
      <c r="E274" s="205">
        <v>0.17571783840867955</v>
      </c>
      <c r="F274" s="205">
        <v>4.4147172029140691</v>
      </c>
      <c r="G274" s="205">
        <v>5.9766952390876869</v>
      </c>
      <c r="H274" s="205">
        <v>8.4396126325891423</v>
      </c>
      <c r="I274" s="205">
        <v>7.3593253832725178</v>
      </c>
      <c r="J274" s="205">
        <v>4.369373120223595</v>
      </c>
      <c r="K274" s="207">
        <v>50</v>
      </c>
      <c r="L274" s="277">
        <v>9</v>
      </c>
      <c r="M274" s="205" t="s">
        <v>585</v>
      </c>
      <c r="N274" s="205" t="s">
        <v>586</v>
      </c>
      <c r="O274" s="205" t="s">
        <v>587</v>
      </c>
    </row>
    <row r="275" spans="1:15" s="170" customFormat="1" ht="14.4">
      <c r="A275" s="206" t="s">
        <v>700</v>
      </c>
      <c r="B275" s="242">
        <v>2</v>
      </c>
      <c r="C275" s="165" t="s">
        <v>682</v>
      </c>
      <c r="D275" s="205">
        <v>0</v>
      </c>
      <c r="E275" s="205">
        <v>7.6220303309983556E-2</v>
      </c>
      <c r="F275" s="205">
        <v>1.824812740591073</v>
      </c>
      <c r="G275" s="205">
        <v>2.8849504015291001</v>
      </c>
      <c r="H275" s="205">
        <v>3.9834479922524331</v>
      </c>
      <c r="I275" s="205">
        <v>4.3671562522676064</v>
      </c>
      <c r="J275" s="205">
        <v>3.5619244348919623</v>
      </c>
      <c r="K275" s="207">
        <v>50</v>
      </c>
      <c r="L275" s="277">
        <v>10</v>
      </c>
      <c r="M275" s="205" t="s">
        <v>585</v>
      </c>
      <c r="N275" s="205" t="s">
        <v>586</v>
      </c>
      <c r="O275" s="205" t="s">
        <v>587</v>
      </c>
    </row>
    <row r="276" spans="1:15" s="170" customFormat="1" ht="14.4">
      <c r="A276" s="206" t="s">
        <v>700</v>
      </c>
      <c r="B276" s="242">
        <v>2</v>
      </c>
      <c r="C276" s="165" t="s">
        <v>682</v>
      </c>
      <c r="D276" s="205">
        <v>0</v>
      </c>
      <c r="E276" s="205">
        <v>0.36710481435487091</v>
      </c>
      <c r="F276" s="205">
        <v>8.4719681407849912</v>
      </c>
      <c r="G276" s="205">
        <v>12.930058213676425</v>
      </c>
      <c r="H276" s="205">
        <v>17.350949880296092</v>
      </c>
      <c r="I276" s="205">
        <v>18.419621785140695</v>
      </c>
      <c r="J276" s="205">
        <v>15.308222112448879</v>
      </c>
      <c r="K276" s="207">
        <v>50</v>
      </c>
      <c r="L276" s="277">
        <v>11</v>
      </c>
      <c r="M276" s="205" t="s">
        <v>585</v>
      </c>
      <c r="N276" s="205" t="s">
        <v>586</v>
      </c>
      <c r="O276" s="205" t="s">
        <v>587</v>
      </c>
    </row>
    <row r="277" spans="1:15" s="170" customFormat="1" ht="14.4">
      <c r="A277" s="215" t="s">
        <v>700</v>
      </c>
      <c r="B277" s="235">
        <v>2</v>
      </c>
      <c r="C277" s="228" t="s">
        <v>682</v>
      </c>
      <c r="D277" s="236">
        <v>0</v>
      </c>
      <c r="E277" s="236">
        <v>4.5861781232225738</v>
      </c>
      <c r="F277" s="236">
        <v>109.17048973213535</v>
      </c>
      <c r="G277" s="236">
        <v>170.34980916608106</v>
      </c>
      <c r="H277" s="236">
        <v>235.83652256320681</v>
      </c>
      <c r="I277" s="236">
        <v>250.34998546277646</v>
      </c>
      <c r="J277" s="236">
        <v>201.11656059836125</v>
      </c>
      <c r="K277" s="237">
        <v>50</v>
      </c>
      <c r="L277" s="282" t="s">
        <v>612</v>
      </c>
      <c r="M277" s="236" t="s">
        <v>585</v>
      </c>
      <c r="N277" s="236" t="s">
        <v>586</v>
      </c>
      <c r="O277" s="236" t="s">
        <v>587</v>
      </c>
    </row>
    <row r="278" spans="1:15" s="170" customFormat="1" ht="14.4">
      <c r="A278" s="206" t="s">
        <v>700</v>
      </c>
      <c r="B278" s="242">
        <v>2</v>
      </c>
      <c r="C278" s="165" t="s">
        <v>682</v>
      </c>
      <c r="D278" s="205">
        <v>0</v>
      </c>
      <c r="E278" s="205">
        <v>0.33675055105088236</v>
      </c>
      <c r="F278" s="205">
        <v>8.4666029715854343</v>
      </c>
      <c r="G278" s="205">
        <v>14.439313126679988</v>
      </c>
      <c r="H278" s="205">
        <v>18.98227045629649</v>
      </c>
      <c r="I278" s="205">
        <v>19.281239575102092</v>
      </c>
      <c r="J278" s="205">
        <v>15.750738483807174</v>
      </c>
      <c r="K278" s="207">
        <v>50</v>
      </c>
      <c r="L278" s="277">
        <v>14</v>
      </c>
      <c r="M278" s="205" t="s">
        <v>585</v>
      </c>
      <c r="N278" s="205" t="s">
        <v>586</v>
      </c>
      <c r="O278" s="205" t="s">
        <v>587</v>
      </c>
    </row>
    <row r="279" spans="1:15" s="170" customFormat="1" ht="14.4">
      <c r="A279" s="206" t="s">
        <v>700</v>
      </c>
      <c r="B279" s="242">
        <v>2</v>
      </c>
      <c r="C279" s="165" t="s">
        <v>683</v>
      </c>
      <c r="D279" s="205">
        <v>0</v>
      </c>
      <c r="E279" s="205">
        <v>0</v>
      </c>
      <c r="F279" s="205">
        <f>3.96/2</f>
        <v>1.98</v>
      </c>
      <c r="G279" s="205">
        <f>7.92/2</f>
        <v>3.96</v>
      </c>
      <c r="H279" s="205">
        <f>11.88/2</f>
        <v>5.94</v>
      </c>
      <c r="I279" s="205">
        <f>11.88/2</f>
        <v>5.94</v>
      </c>
      <c r="J279" s="205">
        <f>3.96/2</f>
        <v>1.98</v>
      </c>
      <c r="K279" s="207">
        <v>90</v>
      </c>
      <c r="L279" s="277">
        <v>9</v>
      </c>
      <c r="M279" s="205"/>
      <c r="N279" s="205" t="s">
        <v>686</v>
      </c>
      <c r="O279" s="205" t="s">
        <v>587</v>
      </c>
    </row>
    <row r="280" spans="1:15" s="170" customFormat="1" ht="14.4">
      <c r="A280" s="206" t="s">
        <v>700</v>
      </c>
      <c r="B280" s="242">
        <v>2</v>
      </c>
      <c r="C280" s="165" t="s">
        <v>683</v>
      </c>
      <c r="D280" s="205">
        <v>0</v>
      </c>
      <c r="E280" s="205">
        <v>0</v>
      </c>
      <c r="F280" s="205">
        <f>3.96/2</f>
        <v>1.98</v>
      </c>
      <c r="G280" s="205">
        <f>7.92/2</f>
        <v>3.96</v>
      </c>
      <c r="H280" s="205">
        <f>11.88/2</f>
        <v>5.94</v>
      </c>
      <c r="I280" s="205">
        <f>11.88/2</f>
        <v>5.94</v>
      </c>
      <c r="J280" s="205">
        <f>3.96/2</f>
        <v>1.98</v>
      </c>
      <c r="K280" s="207">
        <v>90</v>
      </c>
      <c r="L280" s="277" t="s">
        <v>72</v>
      </c>
      <c r="M280" s="205"/>
      <c r="N280" s="205" t="s">
        <v>686</v>
      </c>
      <c r="O280" s="205" t="s">
        <v>587</v>
      </c>
    </row>
    <row r="281" spans="1:15" s="170" customFormat="1" ht="14.4">
      <c r="A281" s="206" t="s">
        <v>700</v>
      </c>
      <c r="B281" s="242">
        <v>2</v>
      </c>
      <c r="C281" s="165" t="s">
        <v>684</v>
      </c>
      <c r="D281" s="205">
        <v>0</v>
      </c>
      <c r="E281" s="205">
        <v>0</v>
      </c>
      <c r="F281" s="205">
        <f>11.4/2</f>
        <v>5.7</v>
      </c>
      <c r="G281" s="205">
        <f>22.8/2</f>
        <v>11.4</v>
      </c>
      <c r="H281" s="205">
        <f>34.2/2</f>
        <v>17.100000000000001</v>
      </c>
      <c r="I281" s="205">
        <f>34.2/2</f>
        <v>17.100000000000001</v>
      </c>
      <c r="J281" s="205">
        <f>11.4/2</f>
        <v>5.7</v>
      </c>
      <c r="K281" s="207">
        <v>50</v>
      </c>
      <c r="L281" s="278">
        <v>4</v>
      </c>
      <c r="M281" s="205"/>
      <c r="N281" s="205" t="s">
        <v>686</v>
      </c>
      <c r="O281" s="205" t="s">
        <v>587</v>
      </c>
    </row>
    <row r="282" spans="1:15" s="170" customFormat="1" ht="14.4">
      <c r="A282" s="206" t="s">
        <v>700</v>
      </c>
      <c r="B282" s="242">
        <v>2</v>
      </c>
      <c r="C282" s="165" t="s">
        <v>684</v>
      </c>
      <c r="D282" s="205">
        <v>0</v>
      </c>
      <c r="E282" s="205">
        <v>0</v>
      </c>
      <c r="F282" s="205">
        <f>11.4/2</f>
        <v>5.7</v>
      </c>
      <c r="G282" s="205">
        <f>22.8/2</f>
        <v>11.4</v>
      </c>
      <c r="H282" s="205">
        <f>34.2/2</f>
        <v>17.100000000000001</v>
      </c>
      <c r="I282" s="205">
        <f>34.2/2</f>
        <v>17.100000000000001</v>
      </c>
      <c r="J282" s="205">
        <f>11.4/2</f>
        <v>5.7</v>
      </c>
      <c r="K282" s="207">
        <v>50</v>
      </c>
      <c r="L282" s="278" t="s">
        <v>87</v>
      </c>
      <c r="M282" s="205"/>
      <c r="N282" s="205" t="s">
        <v>686</v>
      </c>
      <c r="O282" s="205" t="s">
        <v>587</v>
      </c>
    </row>
    <row r="283" spans="1:15" s="170" customFormat="1" ht="14.4">
      <c r="A283" s="206" t="s">
        <v>700</v>
      </c>
      <c r="B283" s="242">
        <v>2</v>
      </c>
      <c r="C283" s="165" t="s">
        <v>685</v>
      </c>
      <c r="D283" s="205">
        <v>0</v>
      </c>
      <c r="E283" s="205">
        <v>0</v>
      </c>
      <c r="F283" s="205">
        <f>3.45/2</f>
        <v>1.7250000000000001</v>
      </c>
      <c r="G283" s="205">
        <f>5.55/2</f>
        <v>2.7749999999999999</v>
      </c>
      <c r="H283" s="205">
        <f>4.1/2</f>
        <v>2.0499999999999998</v>
      </c>
      <c r="I283" s="205">
        <f>2.45/2</f>
        <v>1.2250000000000001</v>
      </c>
      <c r="J283" s="205">
        <f>0.75/2</f>
        <v>0.375</v>
      </c>
      <c r="K283" s="207">
        <v>50</v>
      </c>
      <c r="L283" s="278">
        <v>7</v>
      </c>
      <c r="M283" s="205"/>
      <c r="N283" s="205" t="s">
        <v>687</v>
      </c>
      <c r="O283" s="205" t="s">
        <v>587</v>
      </c>
    </row>
    <row r="284" spans="1:15" s="170" customFormat="1" ht="14.4">
      <c r="A284" s="206" t="s">
        <v>700</v>
      </c>
      <c r="B284" s="242">
        <v>2</v>
      </c>
      <c r="C284" s="165" t="s">
        <v>685</v>
      </c>
      <c r="D284" s="205">
        <v>0</v>
      </c>
      <c r="E284" s="205">
        <v>0</v>
      </c>
      <c r="F284" s="205">
        <f>3.45/2</f>
        <v>1.7250000000000001</v>
      </c>
      <c r="G284" s="205">
        <f>5.55/2</f>
        <v>2.7749999999999999</v>
      </c>
      <c r="H284" s="205">
        <f>4.1/2</f>
        <v>2.0499999999999998</v>
      </c>
      <c r="I284" s="205">
        <f>2.45/2</f>
        <v>1.2250000000000001</v>
      </c>
      <c r="J284" s="205">
        <f>0.75/2</f>
        <v>0.375</v>
      </c>
      <c r="K284" s="207">
        <v>50</v>
      </c>
      <c r="L284" s="278" t="s">
        <v>57</v>
      </c>
      <c r="M284" s="205"/>
      <c r="N284" s="205" t="s">
        <v>687</v>
      </c>
      <c r="O284" s="205" t="s">
        <v>587</v>
      </c>
    </row>
    <row r="285" spans="1:15" s="170" customFormat="1" ht="14.4">
      <c r="D285" s="176"/>
      <c r="E285" s="176"/>
      <c r="F285" s="176"/>
      <c r="G285" s="176"/>
      <c r="H285" s="176"/>
      <c r="I285" s="176"/>
      <c r="J285" s="176"/>
      <c r="M285" s="92"/>
      <c r="N285" s="92"/>
      <c r="O285" s="92"/>
    </row>
    <row r="286" spans="1:15" s="170" customFormat="1" ht="14.4">
      <c r="D286" s="176"/>
      <c r="E286" s="176"/>
      <c r="F286" s="176"/>
      <c r="G286" s="176"/>
      <c r="H286" s="176"/>
      <c r="I286" s="176"/>
      <c r="J286" s="176"/>
      <c r="M286" s="7"/>
      <c r="N286" s="92"/>
      <c r="O286" s="92"/>
    </row>
    <row r="287" spans="1:15">
      <c r="B287" s="7"/>
      <c r="D287" s="53"/>
      <c r="E287" s="53"/>
      <c r="F287" s="53"/>
      <c r="G287" s="53"/>
      <c r="H287" s="53"/>
      <c r="I287" s="53"/>
      <c r="J287" s="53"/>
    </row>
    <row r="288" spans="1:15" s="1" customFormat="1" ht="15.6">
      <c r="B288" s="30"/>
      <c r="C288" s="31" t="s">
        <v>66</v>
      </c>
      <c r="D288" s="32">
        <f t="shared" ref="D288:J288" si="36">SUM(D4:D284)</f>
        <v>6063.5758306767193</v>
      </c>
      <c r="E288" s="32">
        <f t="shared" si="36"/>
        <v>6805.6841208060087</v>
      </c>
      <c r="F288" s="32">
        <f t="shared" si="36"/>
        <v>7254.432076997592</v>
      </c>
      <c r="G288" s="32">
        <f t="shared" si="36"/>
        <v>7195.3975399072069</v>
      </c>
      <c r="H288" s="32">
        <f t="shared" si="36"/>
        <v>7373.1846667770524</v>
      </c>
      <c r="I288" s="32">
        <f t="shared" si="36"/>
        <v>7312.0579569563261</v>
      </c>
      <c r="J288" s="32">
        <f t="shared" si="36"/>
        <v>7153.2922610114365</v>
      </c>
      <c r="K288" s="14"/>
      <c r="L288" s="14"/>
      <c r="M288" s="14"/>
      <c r="N288" s="14"/>
      <c r="O288" s="14"/>
    </row>
    <row r="289" spans="3:11">
      <c r="D289" s="239">
        <f>D288-'R&amp;D'!C257</f>
        <v>-783.48833543756791</v>
      </c>
      <c r="E289" s="239">
        <f>E288-'R&amp;D'!D257</f>
        <v>-960.87918672027899</v>
      </c>
      <c r="F289" s="239">
        <f>F288-'R&amp;D'!E257</f>
        <v>-1615.0916971887282</v>
      </c>
      <c r="G289" s="239">
        <f>G288-'R&amp;D'!F257</f>
        <v>-1798.8143279044734</v>
      </c>
      <c r="H289" s="239">
        <f>H288-'R&amp;D'!G257</f>
        <v>-1476.9719926507269</v>
      </c>
      <c r="I289" s="239">
        <f>I288-'R&amp;D'!H257</f>
        <v>-1277.3634425776627</v>
      </c>
      <c r="J289" s="239">
        <f>J288-'R&amp;D'!I257</f>
        <v>-1208.1761548123068</v>
      </c>
      <c r="K289" s="239"/>
    </row>
    <row r="291" spans="3:11">
      <c r="C291"/>
      <c r="D291"/>
      <c r="E291"/>
      <c r="F291"/>
      <c r="G291"/>
      <c r="H291"/>
      <c r="I291"/>
      <c r="J291"/>
    </row>
    <row r="292" spans="3:11">
      <c r="C292"/>
      <c r="D292"/>
      <c r="E292"/>
      <c r="F292"/>
      <c r="G292"/>
      <c r="H292"/>
      <c r="I292"/>
      <c r="J292"/>
    </row>
    <row r="293" spans="3:11">
      <c r="C293"/>
      <c r="D293"/>
      <c r="E293"/>
      <c r="F293"/>
      <c r="G293"/>
      <c r="H293"/>
      <c r="I293"/>
      <c r="J293"/>
    </row>
    <row r="294" spans="3:11">
      <c r="C294"/>
      <c r="D294"/>
      <c r="E294"/>
      <c r="F294"/>
      <c r="G294"/>
      <c r="H294"/>
      <c r="I294"/>
      <c r="J294"/>
    </row>
    <row r="295" spans="3:11">
      <c r="C295"/>
      <c r="D295"/>
      <c r="E295"/>
      <c r="F295"/>
      <c r="G295"/>
      <c r="H295"/>
      <c r="I295"/>
      <c r="J295"/>
    </row>
    <row r="296" spans="3:11">
      <c r="C296"/>
      <c r="D296"/>
    </row>
    <row r="297" spans="3:11">
      <c r="C297"/>
      <c r="D297"/>
      <c r="E297" s="53"/>
      <c r="F297" s="53"/>
      <c r="G297" s="53"/>
      <c r="H297" s="53"/>
      <c r="I297" s="53"/>
      <c r="J297" s="53"/>
    </row>
    <row r="298" spans="3:11">
      <c r="C298"/>
      <c r="D298"/>
      <c r="E298" s="53"/>
      <c r="F298" s="53"/>
      <c r="G298" s="53"/>
      <c r="H298" s="53"/>
      <c r="I298" s="53"/>
      <c r="J298" s="53"/>
    </row>
    <row r="299" spans="3:11">
      <c r="C299"/>
      <c r="D299"/>
      <c r="E299" s="53"/>
      <c r="F299" s="53"/>
      <c r="G299" s="53"/>
      <c r="H299" s="53"/>
      <c r="I299" s="53"/>
      <c r="J299" s="53"/>
    </row>
    <row r="300" spans="3:11">
      <c r="C300"/>
      <c r="D300"/>
      <c r="E300" s="53"/>
      <c r="F300" s="53"/>
      <c r="G300" s="53"/>
      <c r="H300" s="53"/>
      <c r="I300" s="53"/>
      <c r="J300" s="53"/>
    </row>
    <row r="301" spans="3:11">
      <c r="E301" s="53"/>
      <c r="F301" s="53"/>
      <c r="G301" s="53"/>
      <c r="H301" s="53"/>
      <c r="I301" s="53"/>
      <c r="J301" s="133"/>
    </row>
    <row r="302" spans="3:11">
      <c r="C302"/>
      <c r="D302" s="53"/>
      <c r="E302" s="53"/>
      <c r="F302" s="53"/>
      <c r="G302" s="53"/>
      <c r="H302" s="53"/>
      <c r="I302" s="53"/>
      <c r="J302" s="53"/>
    </row>
    <row r="303" spans="3:11">
      <c r="C303"/>
      <c r="D303" s="53"/>
      <c r="E303" s="53"/>
      <c r="F303" s="53"/>
      <c r="G303" s="53"/>
      <c r="H303" s="53"/>
      <c r="I303" s="53"/>
      <c r="J303" s="53"/>
    </row>
    <row r="304" spans="3:11">
      <c r="C304"/>
      <c r="D304" s="53"/>
      <c r="E304" s="53"/>
      <c r="F304" s="53"/>
      <c r="G304" s="53"/>
      <c r="H304" s="53"/>
      <c r="I304" s="53"/>
      <c r="J304" s="53"/>
    </row>
    <row r="305" spans="3:10">
      <c r="C305"/>
      <c r="D305" s="53"/>
      <c r="E305" s="53"/>
      <c r="F305" s="53"/>
      <c r="G305" s="53"/>
      <c r="H305" s="53"/>
      <c r="I305" s="53"/>
      <c r="J305" s="53"/>
    </row>
    <row r="306" spans="3:10">
      <c r="C306"/>
      <c r="D306" s="53"/>
      <c r="E306" s="53"/>
      <c r="F306" s="53"/>
      <c r="G306" s="53"/>
      <c r="H306" s="53"/>
      <c r="I306" s="53"/>
      <c r="J306" s="53"/>
    </row>
    <row r="307" spans="3:10">
      <c r="C307"/>
      <c r="D307" s="53"/>
    </row>
    <row r="308" spans="3:10">
      <c r="C308"/>
      <c r="D308" s="53"/>
    </row>
    <row r="309" spans="3:10">
      <c r="C309"/>
      <c r="D309" s="53"/>
    </row>
    <row r="310" spans="3:10">
      <c r="C310"/>
      <c r="D310" s="53"/>
    </row>
    <row r="311" spans="3:10">
      <c r="C311"/>
      <c r="D311" s="53"/>
    </row>
  </sheetData>
  <autoFilter ref="A3:O284"/>
  <pageMargins left="0.70866141732283472" right="0.70866141732283472" top="0.74803149606299213" bottom="0.74803149606299213" header="0.31496062992125984" footer="0.31496062992125984"/>
  <pageSetup paperSize="8" scale="78" orientation="landscape" r:id="rId1"/>
  <headerFooter>
    <oddFooter>&amp;L&amp;Z&amp;F
&amp;D</oddFooter>
  </headerFooter>
  <rowBreaks count="1" manualBreakCount="1">
    <brk id="289" min="1" max="22"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Inhoud</vt:lpstr>
      <vt:lpstr>Toelichting</vt:lpstr>
      <vt:lpstr>Totaal</vt:lpstr>
      <vt:lpstr>R&amp;D</vt:lpstr>
      <vt:lpstr>Innovatie</vt:lpstr>
      <vt:lpstr>R&amp;D + Innovatie</vt:lpstr>
      <vt:lpstr>Fiscaal</vt:lpstr>
      <vt:lpstr>NABS 2007</vt:lpstr>
      <vt:lpstr>R&amp;D data voor NABS</vt:lpstr>
      <vt:lpstr>draaitabel voor NABS_2022</vt:lpstr>
      <vt:lpstr>Draaitabel</vt:lpstr>
      <vt:lpstr>Fiscaal!Print_Area</vt:lpstr>
      <vt:lpstr>Inhoud!Print_Area</vt:lpstr>
      <vt:lpstr>Innovatie!Print_Area</vt:lpstr>
      <vt:lpstr>'R&amp;D'!Print_Area</vt:lpstr>
      <vt:lpstr>'R&amp;D data voor NABS'!Print_Area</vt:lpstr>
      <vt:lpstr>Toelichting!Print_Area</vt:lpstr>
      <vt:lpstr>Innovatie!Print_Titles</vt:lpstr>
      <vt:lpstr>'R&amp;D'!Print_Titles</vt:lpstr>
      <vt:lpstr>'R&amp;D data voor NABS'!Print_Titles</vt:lpstr>
    </vt:vector>
  </TitlesOfParts>
  <Company>KNAW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van Steen</dc:creator>
  <cp:lastModifiedBy>Alexandra Vennekens</cp:lastModifiedBy>
  <cp:lastPrinted>2020-03-10T12:18:50Z</cp:lastPrinted>
  <dcterms:created xsi:type="dcterms:W3CDTF">2013-11-20T12:43:27Z</dcterms:created>
  <dcterms:modified xsi:type="dcterms:W3CDTF">2023-10-06T14:06:35Z</dcterms:modified>
</cp:coreProperties>
</file>