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mc:AlternateContent xmlns:mc="http://schemas.openxmlformats.org/markup-compatibility/2006">
    <mc:Choice Requires="x15">
      <x15ac:absPath xmlns:x15ac="http://schemas.microsoft.com/office/spreadsheetml/2010/11/ac" url="https://knaw.sharepoint.com/sites/INST-RathenauInstituut/Gedeelde documenten/General/2025-Eindproducten-Publicaties/xx 02252025 RAPPORT Priolanden/"/>
    </mc:Choice>
  </mc:AlternateContent>
  <xr:revisionPtr revIDLastSave="0" documentId="8_{5EDBD332-6F60-4490-96AD-8A9A156CB630}" xr6:coauthVersionLast="47" xr6:coauthVersionMax="47" xr10:uidLastSave="{00000000-0000-0000-0000-000000000000}"/>
  <bookViews>
    <workbookView xWindow="1140" yWindow="1140" windowWidth="14400" windowHeight="8260" firstSheet="5" activeTab="16" xr2:uid="{00000000-000D-0000-FFFF-FFFF00000000}"/>
  </bookViews>
  <sheets>
    <sheet name="Overzicht" sheetId="27" r:id="rId1"/>
    <sheet name="Overzicht afkoringen landen" sheetId="31" r:id="rId2"/>
    <sheet name="Figuur 1 " sheetId="33" r:id="rId3"/>
    <sheet name="Figuur 2" sheetId="22" r:id="rId4"/>
    <sheet name="Figuur 3 " sheetId="30" r:id="rId5"/>
    <sheet name="Figuur 4" sheetId="32" r:id="rId6"/>
    <sheet name="Figuur 5" sheetId="17" r:id="rId7"/>
    <sheet name="Figuur 6" sheetId="19" r:id="rId8"/>
    <sheet name="Figuur 7" sheetId="5" r:id="rId9"/>
    <sheet name="Figuur 8 " sheetId="39" r:id="rId10"/>
    <sheet name="Figuur 9 " sheetId="36" r:id="rId11"/>
    <sheet name="Figuur 10" sheetId="23" r:id="rId12"/>
    <sheet name="Figuur 11" sheetId="24" r:id="rId13"/>
    <sheet name="Figuur 12" sheetId="25" r:id="rId14"/>
    <sheet name="Figuur 13" sheetId="38" r:id="rId15"/>
    <sheet name="Tabel 1 " sheetId="18" r:id="rId16"/>
    <sheet name="Tabel 2" sheetId="28" r:id="rId17"/>
    <sheet name="Bijlage 2" sheetId="29" r:id="rId18"/>
  </sheets>
  <definedNames>
    <definedName name="_xlnm._FilterDatabase" localSheetId="11" hidden="1">'Figuur 10'!$K$5:$L$31</definedName>
    <definedName name="_xlnm._FilterDatabase" localSheetId="15" hidden="1">'Tabel 1 '!#REF!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72" i="33" l="1"/>
  <c r="S31" i="39"/>
  <c r="G59" i="39"/>
  <c r="C29" i="39"/>
  <c r="D29" i="39"/>
  <c r="E29" i="39"/>
  <c r="F29" i="39"/>
  <c r="G29" i="39"/>
  <c r="H29" i="39"/>
  <c r="I29" i="39"/>
  <c r="J29" i="39"/>
  <c r="K29" i="39"/>
  <c r="L29" i="39"/>
  <c r="M29" i="39"/>
  <c r="N29" i="39"/>
  <c r="O29" i="39"/>
  <c r="P29" i="39"/>
  <c r="Q29" i="39"/>
  <c r="R29" i="39"/>
  <c r="S29" i="39"/>
  <c r="B29" i="39"/>
  <c r="T26" i="39"/>
  <c r="T7" i="39"/>
  <c r="T8" i="39"/>
  <c r="T9" i="39"/>
  <c r="T10" i="39"/>
  <c r="T11" i="39"/>
  <c r="T12" i="39"/>
  <c r="T13" i="39"/>
  <c r="T14" i="39"/>
  <c r="T15" i="39"/>
  <c r="T16" i="39"/>
  <c r="T17" i="39"/>
  <c r="T18" i="39"/>
  <c r="T19" i="39"/>
  <c r="T20" i="39"/>
  <c r="T21" i="39"/>
  <c r="T22" i="39"/>
  <c r="T23" i="39"/>
  <c r="T24" i="39"/>
  <c r="T25" i="39"/>
  <c r="T27" i="39"/>
  <c r="T28" i="39"/>
  <c r="T6" i="39"/>
  <c r="I53" i="39"/>
  <c r="J53" i="39" s="1"/>
  <c r="I40" i="39"/>
  <c r="J40" i="39" s="1"/>
  <c r="I44" i="39"/>
  <c r="J44" i="39" s="1"/>
  <c r="I48" i="39"/>
  <c r="J48" i="39" s="1"/>
  <c r="I52" i="39"/>
  <c r="J52" i="39" s="1"/>
  <c r="I56" i="39"/>
  <c r="J56" i="39" s="1"/>
  <c r="I60" i="39"/>
  <c r="J60" i="39" s="1"/>
  <c r="I61" i="39"/>
  <c r="J61" i="39" s="1"/>
  <c r="I59" i="39"/>
  <c r="J59" i="39" s="1"/>
  <c r="I58" i="39"/>
  <c r="I57" i="39"/>
  <c r="J57" i="39" s="1"/>
  <c r="I54" i="39"/>
  <c r="J54" i="39" s="1"/>
  <c r="I51" i="39"/>
  <c r="J51" i="39" s="1"/>
  <c r="I50" i="39"/>
  <c r="I49" i="39"/>
  <c r="J49" i="39" s="1"/>
  <c r="I46" i="39"/>
  <c r="J46" i="39" s="1"/>
  <c r="I45" i="39"/>
  <c r="I43" i="39"/>
  <c r="J43" i="39" s="1"/>
  <c r="I42" i="39"/>
  <c r="J42" i="39" s="1"/>
  <c r="I41" i="39"/>
  <c r="J41" i="39" s="1"/>
  <c r="D31" i="36"/>
  <c r="K6" i="38"/>
  <c r="K7" i="38"/>
  <c r="K8" i="38"/>
  <c r="K9" i="38"/>
  <c r="K10" i="38"/>
  <c r="K11" i="38"/>
  <c r="K12" i="38"/>
  <c r="K13" i="38"/>
  <c r="K14" i="38"/>
  <c r="K15" i="38"/>
  <c r="K16" i="38"/>
  <c r="K17" i="38"/>
  <c r="K18" i="38"/>
  <c r="K19" i="38"/>
  <c r="K20" i="38"/>
  <c r="K21" i="38"/>
  <c r="K22" i="38"/>
  <c r="K23" i="38"/>
  <c r="K24" i="38"/>
  <c r="K25" i="38"/>
  <c r="K26" i="38"/>
  <c r="K27" i="38"/>
  <c r="K28" i="38"/>
  <c r="K29" i="38"/>
  <c r="K5" i="38"/>
  <c r="D37" i="38"/>
  <c r="E37" i="38"/>
  <c r="F37" i="38"/>
  <c r="D38" i="38"/>
  <c r="E38" i="38"/>
  <c r="F38" i="38"/>
  <c r="D39" i="38"/>
  <c r="E39" i="38"/>
  <c r="F39" i="38"/>
  <c r="D40" i="38"/>
  <c r="E40" i="38"/>
  <c r="F40" i="38"/>
  <c r="D41" i="38"/>
  <c r="E41" i="38"/>
  <c r="F41" i="38"/>
  <c r="D42" i="38"/>
  <c r="E42" i="38"/>
  <c r="F42" i="38"/>
  <c r="D43" i="38"/>
  <c r="E43" i="38"/>
  <c r="F43" i="38"/>
  <c r="D44" i="38"/>
  <c r="E44" i="38"/>
  <c r="F44" i="38"/>
  <c r="D45" i="38"/>
  <c r="E45" i="38"/>
  <c r="F45" i="38"/>
  <c r="D46" i="38"/>
  <c r="E46" i="38"/>
  <c r="F46" i="38"/>
  <c r="D47" i="38"/>
  <c r="E47" i="38"/>
  <c r="F47" i="38"/>
  <c r="D48" i="38"/>
  <c r="E48" i="38"/>
  <c r="F48" i="38"/>
  <c r="D49" i="38"/>
  <c r="E49" i="38"/>
  <c r="F49" i="38"/>
  <c r="D50" i="38"/>
  <c r="E50" i="38"/>
  <c r="F50" i="38"/>
  <c r="D51" i="38"/>
  <c r="E51" i="38"/>
  <c r="F51" i="38"/>
  <c r="D52" i="38"/>
  <c r="E52" i="38"/>
  <c r="F52" i="38"/>
  <c r="D53" i="38"/>
  <c r="E53" i="38"/>
  <c r="F53" i="38"/>
  <c r="D54" i="38"/>
  <c r="E54" i="38"/>
  <c r="F54" i="38"/>
  <c r="D55" i="38"/>
  <c r="E55" i="38"/>
  <c r="F55" i="38"/>
  <c r="D56" i="38"/>
  <c r="E56" i="38"/>
  <c r="F56" i="38"/>
  <c r="D57" i="38"/>
  <c r="E57" i="38"/>
  <c r="F57" i="38"/>
  <c r="D58" i="38"/>
  <c r="E58" i="38"/>
  <c r="F58" i="38"/>
  <c r="D59" i="38"/>
  <c r="E59" i="38"/>
  <c r="F59" i="38"/>
  <c r="D60" i="38"/>
  <c r="E60" i="38"/>
  <c r="F60" i="38"/>
  <c r="D36" i="38"/>
  <c r="E36" i="38"/>
  <c r="F36" i="38"/>
  <c r="D50" i="36"/>
  <c r="E50" i="36"/>
  <c r="F50" i="36"/>
  <c r="D49" i="36"/>
  <c r="E49" i="36" s="1"/>
  <c r="F49" i="36" s="1"/>
  <c r="D48" i="36"/>
  <c r="E48" i="36" s="1"/>
  <c r="F48" i="36" s="1"/>
  <c r="D47" i="36"/>
  <c r="E47" i="36"/>
  <c r="F47" i="36" s="1"/>
  <c r="D46" i="36"/>
  <c r="E46" i="36" s="1"/>
  <c r="F46" i="36" s="1"/>
  <c r="D45" i="36"/>
  <c r="E45" i="36"/>
  <c r="F45" i="36" s="1"/>
  <c r="D44" i="36"/>
  <c r="E44" i="36" s="1"/>
  <c r="F44" i="36" s="1"/>
  <c r="D43" i="36"/>
  <c r="E43" i="36"/>
  <c r="F43" i="36"/>
  <c r="D42" i="36"/>
  <c r="E42" i="36" s="1"/>
  <c r="F42" i="36" s="1"/>
  <c r="D41" i="36"/>
  <c r="E41" i="36"/>
  <c r="F41" i="36" s="1"/>
  <c r="D40" i="36"/>
  <c r="E40" i="36"/>
  <c r="F40" i="36"/>
  <c r="D39" i="36"/>
  <c r="E39" i="36" s="1"/>
  <c r="F39" i="36" s="1"/>
  <c r="D38" i="36"/>
  <c r="E38" i="36" s="1"/>
  <c r="F38" i="36" s="1"/>
  <c r="D37" i="36"/>
  <c r="E37" i="36"/>
  <c r="F37" i="36" s="1"/>
  <c r="D36" i="36"/>
  <c r="E36" i="36" s="1"/>
  <c r="F36" i="36" s="1"/>
  <c r="D35" i="36"/>
  <c r="E35" i="36"/>
  <c r="F35" i="36" s="1"/>
  <c r="D34" i="36"/>
  <c r="E34" i="36" s="1"/>
  <c r="F34" i="36" s="1"/>
  <c r="D33" i="36"/>
  <c r="E33" i="36"/>
  <c r="F33" i="36" s="1"/>
  <c r="D32" i="36"/>
  <c r="E32" i="36"/>
  <c r="F32" i="36" s="1"/>
  <c r="E31" i="36"/>
  <c r="F31" i="36" s="1"/>
  <c r="L30" i="36"/>
  <c r="D30" i="36"/>
  <c r="E30" i="36" s="1"/>
  <c r="F30" i="36" s="1"/>
  <c r="X22" i="36"/>
  <c r="W22" i="36"/>
  <c r="V22" i="36"/>
  <c r="U22" i="36"/>
  <c r="T22" i="36"/>
  <c r="S22" i="36"/>
  <c r="R22" i="36"/>
  <c r="Q22" i="36"/>
  <c r="P22" i="36"/>
  <c r="O22" i="36"/>
  <c r="N22" i="36"/>
  <c r="M22" i="36"/>
  <c r="L22" i="36"/>
  <c r="K22" i="36"/>
  <c r="J22" i="36"/>
  <c r="I22" i="36"/>
  <c r="H22" i="36"/>
  <c r="G22" i="36"/>
  <c r="F22" i="36"/>
  <c r="E22" i="36"/>
  <c r="D22" i="36"/>
  <c r="C22" i="36"/>
  <c r="B22" i="36"/>
  <c r="C67" i="33"/>
  <c r="D67" i="33" s="1"/>
  <c r="E67" i="33" s="1"/>
  <c r="F67" i="33" s="1"/>
  <c r="B67" i="33"/>
  <c r="C47" i="33"/>
  <c r="B47" i="33"/>
  <c r="D47" i="33"/>
  <c r="E47" i="33" s="1"/>
  <c r="F47" i="33" s="1"/>
  <c r="C48" i="33"/>
  <c r="B48" i="33"/>
  <c r="D48" i="33"/>
  <c r="E48" i="33" s="1"/>
  <c r="F48" i="33" s="1"/>
  <c r="C49" i="33"/>
  <c r="D49" i="33" s="1"/>
  <c r="E49" i="33" s="1"/>
  <c r="F49" i="33" s="1"/>
  <c r="B49" i="33"/>
  <c r="C50" i="33"/>
  <c r="D50" i="33" s="1"/>
  <c r="E50" i="33" s="1"/>
  <c r="F50" i="33" s="1"/>
  <c r="B50" i="33"/>
  <c r="B51" i="33"/>
  <c r="D51" i="33"/>
  <c r="E51" i="33" s="1"/>
  <c r="F51" i="33" s="1"/>
  <c r="C52" i="33"/>
  <c r="D52" i="33" s="1"/>
  <c r="E52" i="33" s="1"/>
  <c r="F52" i="33" s="1"/>
  <c r="B52" i="33"/>
  <c r="C53" i="33"/>
  <c r="B53" i="33"/>
  <c r="D53" i="33"/>
  <c r="E53" i="33"/>
  <c r="F53" i="33" s="1"/>
  <c r="C54" i="33"/>
  <c r="D54" i="33" s="1"/>
  <c r="E54" i="33" s="1"/>
  <c r="F54" i="33" s="1"/>
  <c r="B54" i="33"/>
  <c r="C55" i="33"/>
  <c r="D55" i="33" s="1"/>
  <c r="E55" i="33" s="1"/>
  <c r="F55" i="33" s="1"/>
  <c r="B55" i="33"/>
  <c r="C56" i="33"/>
  <c r="B56" i="33"/>
  <c r="D56" i="33" s="1"/>
  <c r="E56" i="33" s="1"/>
  <c r="F56" i="33" s="1"/>
  <c r="C57" i="33"/>
  <c r="D57" i="33" s="1"/>
  <c r="E57" i="33" s="1"/>
  <c r="F57" i="33" s="1"/>
  <c r="B57" i="33"/>
  <c r="B58" i="33"/>
  <c r="D58" i="33"/>
  <c r="E58" i="33"/>
  <c r="F58" i="33" s="1"/>
  <c r="B59" i="33"/>
  <c r="D59" i="33" s="1"/>
  <c r="E59" i="33" s="1"/>
  <c r="F59" i="33" s="1"/>
  <c r="C60" i="33"/>
  <c r="B60" i="33"/>
  <c r="D60" i="33"/>
  <c r="E60" i="33" s="1"/>
  <c r="F60" i="33" s="1"/>
  <c r="C61" i="33"/>
  <c r="B61" i="33"/>
  <c r="D61" i="33"/>
  <c r="E61" i="33" s="1"/>
  <c r="F61" i="33" s="1"/>
  <c r="C62" i="33"/>
  <c r="D62" i="33" s="1"/>
  <c r="E62" i="33" s="1"/>
  <c r="F62" i="33" s="1"/>
  <c r="B62" i="33"/>
  <c r="C63" i="33"/>
  <c r="D63" i="33" s="1"/>
  <c r="E63" i="33" s="1"/>
  <c r="F63" i="33" s="1"/>
  <c r="B63" i="33"/>
  <c r="C64" i="33"/>
  <c r="D64" i="33" s="1"/>
  <c r="E64" i="33" s="1"/>
  <c r="F64" i="33" s="1"/>
  <c r="B64" i="33"/>
  <c r="C65" i="33"/>
  <c r="D65" i="33" s="1"/>
  <c r="E65" i="33" s="1"/>
  <c r="F65" i="33" s="1"/>
  <c r="B65" i="33"/>
  <c r="C66" i="33"/>
  <c r="B66" i="33"/>
  <c r="D66" i="33" s="1"/>
  <c r="E66" i="33" s="1"/>
  <c r="F66" i="33" s="1"/>
  <c r="C68" i="33"/>
  <c r="D68" i="33" s="1"/>
  <c r="E68" i="33" s="1"/>
  <c r="F68" i="33" s="1"/>
  <c r="B68" i="33"/>
  <c r="C69" i="33"/>
  <c r="D69" i="33" s="1"/>
  <c r="E69" i="33" s="1"/>
  <c r="F69" i="33" s="1"/>
  <c r="B69" i="33"/>
  <c r="C46" i="33"/>
  <c r="B46" i="33"/>
  <c r="D46" i="33" s="1"/>
  <c r="E46" i="33" s="1"/>
  <c r="F46" i="33" s="1"/>
  <c r="N6" i="33"/>
  <c r="N7" i="33"/>
  <c r="N8" i="33"/>
  <c r="N9" i="33"/>
  <c r="N10" i="33"/>
  <c r="N12" i="33"/>
  <c r="N13" i="33"/>
  <c r="N14" i="33"/>
  <c r="N15" i="33"/>
  <c r="N16" i="33"/>
  <c r="N17" i="33"/>
  <c r="N20" i="33"/>
  <c r="N21" i="33"/>
  <c r="N22" i="33"/>
  <c r="N24" i="33"/>
  <c r="N25" i="33"/>
  <c r="N26" i="33"/>
  <c r="N28" i="33"/>
  <c r="N33" i="33"/>
  <c r="M6" i="33"/>
  <c r="M7" i="33"/>
  <c r="M8" i="33"/>
  <c r="M9" i="33"/>
  <c r="M10" i="33"/>
  <c r="M11" i="33"/>
  <c r="M12" i="33"/>
  <c r="M13" i="33"/>
  <c r="M14" i="33"/>
  <c r="M15" i="33"/>
  <c r="M16" i="33"/>
  <c r="M17" i="33"/>
  <c r="M18" i="33"/>
  <c r="M19" i="33"/>
  <c r="M20" i="33"/>
  <c r="M21" i="33"/>
  <c r="M22" i="33"/>
  <c r="M24" i="33"/>
  <c r="M25" i="33"/>
  <c r="M26" i="33"/>
  <c r="M28" i="33"/>
  <c r="M33" i="33"/>
  <c r="L6" i="33"/>
  <c r="L7" i="33"/>
  <c r="L33" i="33" s="1"/>
  <c r="L8" i="33"/>
  <c r="L9" i="33"/>
  <c r="L10" i="33"/>
  <c r="L11" i="33"/>
  <c r="L12" i="33"/>
  <c r="L13" i="33"/>
  <c r="L14" i="33"/>
  <c r="L15" i="33"/>
  <c r="L16" i="33"/>
  <c r="L17" i="33"/>
  <c r="L20" i="33"/>
  <c r="L21" i="33"/>
  <c r="L22" i="33"/>
  <c r="L23" i="33"/>
  <c r="L24" i="33"/>
  <c r="L25" i="33"/>
  <c r="L26" i="33"/>
  <c r="L28" i="33"/>
  <c r="K6" i="33"/>
  <c r="K33" i="33" s="1"/>
  <c r="K7" i="33"/>
  <c r="K8" i="33"/>
  <c r="K9" i="33"/>
  <c r="K10" i="33"/>
  <c r="K11" i="33"/>
  <c r="K12" i="33"/>
  <c r="K13" i="33"/>
  <c r="K14" i="33"/>
  <c r="K15" i="33"/>
  <c r="K16" i="33"/>
  <c r="K17" i="33"/>
  <c r="K18" i="33"/>
  <c r="K19" i="33"/>
  <c r="K20" i="33"/>
  <c r="K21" i="33"/>
  <c r="K22" i="33"/>
  <c r="K23" i="33"/>
  <c r="K24" i="33"/>
  <c r="K25" i="33"/>
  <c r="K26" i="33"/>
  <c r="K28" i="33"/>
  <c r="K29" i="33"/>
  <c r="J6" i="33"/>
  <c r="J33" i="33" s="1"/>
  <c r="J7" i="33"/>
  <c r="J8" i="33"/>
  <c r="J9" i="33"/>
  <c r="J10" i="33"/>
  <c r="J11" i="33"/>
  <c r="J12" i="33"/>
  <c r="J13" i="33"/>
  <c r="J14" i="33"/>
  <c r="J15" i="33"/>
  <c r="J16" i="33"/>
  <c r="J17" i="33"/>
  <c r="J20" i="33"/>
  <c r="J21" i="33"/>
  <c r="J22" i="33"/>
  <c r="J23" i="33"/>
  <c r="J24" i="33"/>
  <c r="J25" i="33"/>
  <c r="J26" i="33"/>
  <c r="J27" i="33"/>
  <c r="J28" i="33"/>
  <c r="J29" i="33"/>
  <c r="I6" i="33"/>
  <c r="I7" i="33"/>
  <c r="I33" i="33" s="1"/>
  <c r="I8" i="33"/>
  <c r="I9" i="33"/>
  <c r="I10" i="33"/>
  <c r="I11" i="33"/>
  <c r="I12" i="33"/>
  <c r="I13" i="33"/>
  <c r="I14" i="33"/>
  <c r="I15" i="33"/>
  <c r="I16" i="33"/>
  <c r="I17" i="33"/>
  <c r="I18" i="33"/>
  <c r="I19" i="33"/>
  <c r="I20" i="33"/>
  <c r="I21" i="33"/>
  <c r="I22" i="33"/>
  <c r="I23" i="33"/>
  <c r="I24" i="33"/>
  <c r="I25" i="33"/>
  <c r="I26" i="33"/>
  <c r="I27" i="33"/>
  <c r="I28" i="33"/>
  <c r="I29" i="33"/>
  <c r="H6" i="33"/>
  <c r="H33" i="33" s="1"/>
  <c r="H7" i="33"/>
  <c r="H8" i="33"/>
  <c r="H9" i="33"/>
  <c r="H10" i="33"/>
  <c r="H11" i="33"/>
  <c r="H12" i="33"/>
  <c r="H13" i="33"/>
  <c r="H14" i="33"/>
  <c r="H15" i="33"/>
  <c r="H16" i="33"/>
  <c r="H17" i="33"/>
  <c r="H20" i="33"/>
  <c r="H21" i="33"/>
  <c r="H22" i="33"/>
  <c r="H23" i="33"/>
  <c r="H24" i="33"/>
  <c r="H25" i="33"/>
  <c r="H26" i="33"/>
  <c r="H27" i="33"/>
  <c r="H28" i="33"/>
  <c r="H29" i="33"/>
  <c r="G6" i="33"/>
  <c r="G33" i="33" s="1"/>
  <c r="G7" i="33"/>
  <c r="G8" i="33"/>
  <c r="G9" i="33"/>
  <c r="G10" i="33"/>
  <c r="G11" i="33"/>
  <c r="G12" i="33"/>
  <c r="G13" i="33"/>
  <c r="G14" i="33"/>
  <c r="G15" i="33"/>
  <c r="G16" i="33"/>
  <c r="G17" i="33"/>
  <c r="G18" i="33"/>
  <c r="G19" i="33"/>
  <c r="G20" i="33"/>
  <c r="G21" i="33"/>
  <c r="G22" i="33"/>
  <c r="G23" i="33"/>
  <c r="G24" i="33"/>
  <c r="G25" i="33"/>
  <c r="G26" i="33"/>
  <c r="G28" i="33"/>
  <c r="G29" i="33"/>
  <c r="F6" i="33"/>
  <c r="F7" i="33"/>
  <c r="F8" i="33"/>
  <c r="F9" i="33"/>
  <c r="F10" i="33"/>
  <c r="F11" i="33"/>
  <c r="F12" i="33"/>
  <c r="F13" i="33"/>
  <c r="F14" i="33"/>
  <c r="F15" i="33"/>
  <c r="F16" i="33"/>
  <c r="F17" i="33"/>
  <c r="F20" i="33"/>
  <c r="F21" i="33"/>
  <c r="F22" i="33"/>
  <c r="F23" i="33"/>
  <c r="F24" i="33"/>
  <c r="F25" i="33"/>
  <c r="F26" i="33"/>
  <c r="F28" i="33"/>
  <c r="F29" i="33"/>
  <c r="F33" i="33"/>
  <c r="E6" i="33"/>
  <c r="E7" i="33"/>
  <c r="E8" i="33"/>
  <c r="E9" i="33"/>
  <c r="E10" i="33"/>
  <c r="E11" i="33"/>
  <c r="E12" i="33"/>
  <c r="E13" i="33"/>
  <c r="E33" i="33" s="1"/>
  <c r="E14" i="33"/>
  <c r="E15" i="33"/>
  <c r="E16" i="33"/>
  <c r="E17" i="33"/>
  <c r="E18" i="33"/>
  <c r="E20" i="33"/>
  <c r="E21" i="33"/>
  <c r="E22" i="33"/>
  <c r="E23" i="33"/>
  <c r="E24" i="33"/>
  <c r="E25" i="33"/>
  <c r="E26" i="33"/>
  <c r="E27" i="33"/>
  <c r="E28" i="33"/>
  <c r="E29" i="33"/>
  <c r="D6" i="33"/>
  <c r="D7" i="33"/>
  <c r="D8" i="33"/>
  <c r="D9" i="33"/>
  <c r="D10" i="33"/>
  <c r="D11" i="33"/>
  <c r="D12" i="33"/>
  <c r="D13" i="33"/>
  <c r="D14" i="33"/>
  <c r="D15" i="33"/>
  <c r="D16" i="33"/>
  <c r="D19" i="33"/>
  <c r="D20" i="33"/>
  <c r="D21" i="33"/>
  <c r="D22" i="33"/>
  <c r="D23" i="33"/>
  <c r="D24" i="33"/>
  <c r="D25" i="33"/>
  <c r="D26" i="33"/>
  <c r="D28" i="33"/>
  <c r="D29" i="33"/>
  <c r="D33" i="33"/>
  <c r="C6" i="33"/>
  <c r="C7" i="33"/>
  <c r="C33" i="33" s="1"/>
  <c r="C8" i="33"/>
  <c r="C9" i="33"/>
  <c r="C10" i="33"/>
  <c r="C11" i="33"/>
  <c r="C12" i="33"/>
  <c r="C13" i="33"/>
  <c r="C14" i="33"/>
  <c r="C15" i="33"/>
  <c r="C16" i="33"/>
  <c r="C18" i="33"/>
  <c r="C20" i="33"/>
  <c r="C21" i="33"/>
  <c r="C22" i="33"/>
  <c r="C23" i="33"/>
  <c r="C24" i="33"/>
  <c r="C25" i="33"/>
  <c r="C26" i="33"/>
  <c r="C28" i="33"/>
  <c r="C29" i="33"/>
  <c r="B6" i="33"/>
  <c r="B7" i="33"/>
  <c r="B33" i="33" s="1"/>
  <c r="B8" i="33"/>
  <c r="B9" i="33"/>
  <c r="B10" i="33"/>
  <c r="B11" i="33"/>
  <c r="B12" i="33"/>
  <c r="B13" i="33"/>
  <c r="B14" i="33"/>
  <c r="B15" i="33"/>
  <c r="B16" i="33"/>
  <c r="B18" i="33"/>
  <c r="B20" i="33"/>
  <c r="B21" i="33"/>
  <c r="B22" i="33"/>
  <c r="B23" i="33"/>
  <c r="B24" i="33"/>
  <c r="B25" i="33"/>
  <c r="B26" i="33"/>
  <c r="B28" i="33"/>
  <c r="B29" i="33"/>
  <c r="B14" i="27"/>
  <c r="B41" i="5"/>
  <c r="C41" i="5"/>
  <c r="D41" i="5"/>
  <c r="E41" i="5"/>
  <c r="F41" i="5"/>
  <c r="G41" i="5"/>
  <c r="H41" i="5"/>
  <c r="K41" i="5"/>
  <c r="L41" i="5"/>
  <c r="M41" i="5"/>
  <c r="N41" i="5"/>
  <c r="O41" i="5"/>
  <c r="T41" i="5"/>
  <c r="B42" i="5"/>
  <c r="C42" i="5"/>
  <c r="D42" i="5"/>
  <c r="E42" i="5"/>
  <c r="F42" i="5"/>
  <c r="G42" i="5"/>
  <c r="H42" i="5"/>
  <c r="I42" i="5"/>
  <c r="J42" i="5"/>
  <c r="K42" i="5"/>
  <c r="L42" i="5"/>
  <c r="M42" i="5"/>
  <c r="N42" i="5"/>
  <c r="O42" i="5"/>
  <c r="T42" i="5"/>
  <c r="B37" i="5"/>
  <c r="C37" i="5"/>
  <c r="D37" i="5"/>
  <c r="E37" i="5"/>
  <c r="F37" i="5"/>
  <c r="G37" i="5"/>
  <c r="H37" i="5"/>
  <c r="I37" i="5"/>
  <c r="J37" i="5"/>
  <c r="K37" i="5"/>
  <c r="L37" i="5"/>
  <c r="M37" i="5"/>
  <c r="N37" i="5"/>
  <c r="O37" i="5"/>
  <c r="T37" i="5"/>
  <c r="B38" i="5"/>
  <c r="C38" i="5"/>
  <c r="D38" i="5"/>
  <c r="E38" i="5"/>
  <c r="F38" i="5"/>
  <c r="G38" i="5"/>
  <c r="H38" i="5"/>
  <c r="I38" i="5"/>
  <c r="J38" i="5"/>
  <c r="K38" i="5"/>
  <c r="L38" i="5"/>
  <c r="M38" i="5"/>
  <c r="N38" i="5"/>
  <c r="O38" i="5"/>
  <c r="T38" i="5"/>
  <c r="B39" i="5"/>
  <c r="C39" i="5"/>
  <c r="D39" i="5"/>
  <c r="E39" i="5"/>
  <c r="F39" i="5"/>
  <c r="G39" i="5"/>
  <c r="H39" i="5"/>
  <c r="I39" i="5"/>
  <c r="J39" i="5"/>
  <c r="K39" i="5"/>
  <c r="L39" i="5"/>
  <c r="M39" i="5"/>
  <c r="N39" i="5"/>
  <c r="O39" i="5"/>
  <c r="T39" i="5"/>
  <c r="B40" i="5"/>
  <c r="C40" i="5"/>
  <c r="D40" i="5"/>
  <c r="E40" i="5"/>
  <c r="F40" i="5"/>
  <c r="G40" i="5"/>
  <c r="H40" i="5"/>
  <c r="I40" i="5"/>
  <c r="J40" i="5"/>
  <c r="K40" i="5"/>
  <c r="L40" i="5"/>
  <c r="M40" i="5"/>
  <c r="N40" i="5"/>
  <c r="O40" i="5"/>
  <c r="T40" i="5"/>
  <c r="B43" i="5"/>
  <c r="C43" i="5"/>
  <c r="D43" i="5"/>
  <c r="E43" i="5"/>
  <c r="F43" i="5"/>
  <c r="G43" i="5"/>
  <c r="H43" i="5"/>
  <c r="I43" i="5"/>
  <c r="J43" i="5"/>
  <c r="K43" i="5"/>
  <c r="L43" i="5"/>
  <c r="M43" i="5"/>
  <c r="N43" i="5"/>
  <c r="O43" i="5"/>
  <c r="T43" i="5"/>
  <c r="B36" i="5"/>
  <c r="C36" i="5"/>
  <c r="D36" i="5"/>
  <c r="E36" i="5"/>
  <c r="F36" i="5"/>
  <c r="G36" i="5"/>
  <c r="H36" i="5"/>
  <c r="I36" i="5"/>
  <c r="J36" i="5"/>
  <c r="K36" i="5"/>
  <c r="L36" i="5"/>
  <c r="M36" i="5"/>
  <c r="N36" i="5"/>
  <c r="O36" i="5"/>
  <c r="T36" i="5"/>
  <c r="B30" i="5"/>
  <c r="C30" i="5"/>
  <c r="D30" i="5"/>
  <c r="E30" i="5"/>
  <c r="F30" i="5"/>
  <c r="G30" i="5"/>
  <c r="H30" i="5"/>
  <c r="I30" i="5"/>
  <c r="J30" i="5"/>
  <c r="K30" i="5"/>
  <c r="L30" i="5"/>
  <c r="M30" i="5"/>
  <c r="N30" i="5"/>
  <c r="O30" i="5"/>
  <c r="P30" i="5"/>
  <c r="Q30" i="5"/>
  <c r="R30" i="5"/>
  <c r="S30" i="5"/>
  <c r="T30" i="5"/>
  <c r="B31" i="5"/>
  <c r="C31" i="5"/>
  <c r="D31" i="5"/>
  <c r="E31" i="5"/>
  <c r="F31" i="5"/>
  <c r="G31" i="5"/>
  <c r="H31" i="5"/>
  <c r="I31" i="5"/>
  <c r="J31" i="5"/>
  <c r="K31" i="5"/>
  <c r="L31" i="5"/>
  <c r="M31" i="5"/>
  <c r="N31" i="5"/>
  <c r="O31" i="5"/>
  <c r="P31" i="5"/>
  <c r="Q31" i="5"/>
  <c r="R31" i="5"/>
  <c r="S31" i="5"/>
  <c r="T31" i="5"/>
  <c r="B32" i="5"/>
  <c r="C32" i="5"/>
  <c r="D32" i="5"/>
  <c r="E32" i="5"/>
  <c r="F32" i="5"/>
  <c r="G32" i="5"/>
  <c r="H32" i="5"/>
  <c r="I32" i="5"/>
  <c r="J32" i="5"/>
  <c r="K32" i="5"/>
  <c r="L32" i="5"/>
  <c r="M32" i="5"/>
  <c r="N32" i="5"/>
  <c r="O32" i="5"/>
  <c r="P32" i="5"/>
  <c r="Q32" i="5"/>
  <c r="R32" i="5"/>
  <c r="S32" i="5"/>
  <c r="T32" i="5"/>
  <c r="B33" i="5"/>
  <c r="C33" i="5"/>
  <c r="D33" i="5"/>
  <c r="E33" i="5"/>
  <c r="F33" i="5"/>
  <c r="G33" i="5"/>
  <c r="H33" i="5"/>
  <c r="I33" i="5"/>
  <c r="J33" i="5"/>
  <c r="K33" i="5"/>
  <c r="L33" i="5"/>
  <c r="M33" i="5"/>
  <c r="N33" i="5"/>
  <c r="O33" i="5"/>
  <c r="P33" i="5"/>
  <c r="Q33" i="5"/>
  <c r="R33" i="5"/>
  <c r="S33" i="5"/>
  <c r="T33" i="5"/>
  <c r="B34" i="5"/>
  <c r="C34" i="5"/>
  <c r="D34" i="5"/>
  <c r="E34" i="5"/>
  <c r="F34" i="5"/>
  <c r="G34" i="5"/>
  <c r="H34" i="5"/>
  <c r="I34" i="5"/>
  <c r="J34" i="5"/>
  <c r="K34" i="5"/>
  <c r="L34" i="5"/>
  <c r="M34" i="5"/>
  <c r="N34" i="5"/>
  <c r="O34" i="5"/>
  <c r="P34" i="5"/>
  <c r="Q34" i="5"/>
  <c r="R34" i="5"/>
  <c r="S34" i="5"/>
  <c r="T34" i="5"/>
  <c r="B35" i="5"/>
  <c r="C35" i="5"/>
  <c r="D35" i="5"/>
  <c r="E35" i="5"/>
  <c r="F35" i="5"/>
  <c r="G35" i="5"/>
  <c r="H35" i="5"/>
  <c r="I35" i="5"/>
  <c r="J35" i="5"/>
  <c r="K35" i="5"/>
  <c r="L35" i="5"/>
  <c r="M35" i="5"/>
  <c r="N35" i="5"/>
  <c r="O35" i="5"/>
  <c r="P35" i="5"/>
  <c r="Q35" i="5"/>
  <c r="R35" i="5"/>
  <c r="S35" i="5"/>
  <c r="T35" i="5"/>
  <c r="B29" i="5"/>
  <c r="C29" i="5"/>
  <c r="D29" i="5"/>
  <c r="E29" i="5"/>
  <c r="F29" i="5"/>
  <c r="G29" i="5"/>
  <c r="H29" i="5"/>
  <c r="I29" i="5"/>
  <c r="J29" i="5"/>
  <c r="K29" i="5"/>
  <c r="L29" i="5"/>
  <c r="M29" i="5"/>
  <c r="N29" i="5"/>
  <c r="O29" i="5"/>
  <c r="P29" i="5"/>
  <c r="Q29" i="5"/>
  <c r="R29" i="5"/>
  <c r="S29" i="5"/>
  <c r="T29" i="5"/>
  <c r="T99" i="30"/>
  <c r="S99" i="30"/>
  <c r="P99" i="30"/>
  <c r="Q99" i="30"/>
  <c r="R99" i="30"/>
  <c r="O99" i="30"/>
  <c r="P74" i="30"/>
  <c r="Q74" i="30"/>
  <c r="R74" i="30"/>
  <c r="O74" i="30"/>
  <c r="P94" i="30"/>
  <c r="Q94" i="30"/>
  <c r="R94" i="30"/>
  <c r="S94" i="30"/>
  <c r="T94" i="30"/>
  <c r="P93" i="30"/>
  <c r="S93" i="30"/>
  <c r="T93" i="30"/>
  <c r="Q93" i="30"/>
  <c r="R93" i="30"/>
  <c r="P92" i="30"/>
  <c r="Q92" i="30"/>
  <c r="R92" i="30"/>
  <c r="P91" i="30"/>
  <c r="S91" i="30"/>
  <c r="T91" i="30"/>
  <c r="Q91" i="30"/>
  <c r="R91" i="30"/>
  <c r="P90" i="30"/>
  <c r="Q90" i="30"/>
  <c r="R90" i="30"/>
  <c r="P89" i="30"/>
  <c r="Q89" i="30"/>
  <c r="R89" i="30"/>
  <c r="P88" i="30"/>
  <c r="S88" i="30"/>
  <c r="T88" i="30"/>
  <c r="Q88" i="30"/>
  <c r="R88" i="30"/>
  <c r="P87" i="30"/>
  <c r="S87" i="30"/>
  <c r="T87" i="30"/>
  <c r="Q87" i="30"/>
  <c r="R87" i="30"/>
  <c r="P86" i="30"/>
  <c r="Q86" i="30"/>
  <c r="S86" i="30"/>
  <c r="T86" i="30"/>
  <c r="R86" i="30"/>
  <c r="P85" i="30"/>
  <c r="Q85" i="30"/>
  <c r="R85" i="30"/>
  <c r="P84" i="30"/>
  <c r="Q84" i="30"/>
  <c r="R84" i="30"/>
  <c r="P83" i="30"/>
  <c r="S83" i="30"/>
  <c r="T83" i="30"/>
  <c r="Q83" i="30"/>
  <c r="R83" i="30"/>
  <c r="P82" i="30"/>
  <c r="S82" i="30"/>
  <c r="T82" i="30"/>
  <c r="Q82" i="30"/>
  <c r="R82" i="30"/>
  <c r="P81" i="30"/>
  <c r="S81" i="30"/>
  <c r="T81" i="30"/>
  <c r="Q81" i="30"/>
  <c r="R81" i="30"/>
  <c r="P80" i="30"/>
  <c r="Q80" i="30"/>
  <c r="R80" i="30"/>
  <c r="P79" i="30"/>
  <c r="Q79" i="30"/>
  <c r="R79" i="30"/>
  <c r="P78" i="30"/>
  <c r="S78" i="30"/>
  <c r="T78" i="30"/>
  <c r="Q78" i="30"/>
  <c r="R78" i="30"/>
  <c r="P77" i="30"/>
  <c r="Q77" i="30"/>
  <c r="R77" i="30"/>
  <c r="S77" i="30"/>
  <c r="T77" i="30"/>
  <c r="P76" i="30"/>
  <c r="Q76" i="30"/>
  <c r="R76" i="30"/>
  <c r="T75" i="30"/>
  <c r="S75" i="30"/>
  <c r="S76" i="30"/>
  <c r="T76" i="30"/>
  <c r="S79" i="30"/>
  <c r="T79" i="30"/>
  <c r="S80" i="30"/>
  <c r="T80" i="30"/>
  <c r="S84" i="30"/>
  <c r="T84" i="30"/>
  <c r="S85" i="30"/>
  <c r="T85" i="30"/>
  <c r="S89" i="30"/>
  <c r="T89" i="30"/>
  <c r="S90" i="30"/>
  <c r="T90" i="30"/>
  <c r="S92" i="30"/>
  <c r="T92" i="30"/>
  <c r="P75" i="30"/>
  <c r="Q75" i="30"/>
  <c r="R75" i="30"/>
  <c r="O94" i="30"/>
  <c r="O93" i="30"/>
  <c r="O92" i="30"/>
  <c r="O91" i="30"/>
  <c r="O90" i="30"/>
  <c r="O89" i="30"/>
  <c r="O88" i="30"/>
  <c r="O87" i="30"/>
  <c r="O86" i="30"/>
  <c r="O85" i="30"/>
  <c r="O84" i="30"/>
  <c r="O83" i="30"/>
  <c r="O82" i="30"/>
  <c r="O81" i="30"/>
  <c r="O80" i="30"/>
  <c r="O79" i="30"/>
  <c r="O78" i="30"/>
  <c r="O77" i="30"/>
  <c r="O76" i="30"/>
  <c r="O75" i="30"/>
  <c r="T73" i="30"/>
  <c r="S73" i="30"/>
  <c r="P73" i="30"/>
  <c r="Q73" i="30"/>
  <c r="R73" i="30"/>
  <c r="O73" i="30"/>
  <c r="F22" i="30"/>
  <c r="F14" i="30"/>
  <c r="F15" i="30"/>
  <c r="F21" i="30"/>
  <c r="F13" i="30"/>
  <c r="F20" i="30"/>
  <c r="F7" i="30"/>
  <c r="F23" i="30"/>
  <c r="F19" i="30"/>
  <c r="F9" i="30"/>
  <c r="F17" i="30"/>
  <c r="F16" i="30"/>
  <c r="F25" i="30"/>
  <c r="F24" i="30"/>
  <c r="F11" i="30"/>
  <c r="F6" i="30"/>
  <c r="F18" i="30"/>
  <c r="F8" i="30"/>
  <c r="F26" i="30"/>
  <c r="F10" i="30"/>
  <c r="F27" i="30"/>
  <c r="F28" i="30"/>
  <c r="F29" i="30"/>
  <c r="F12" i="30"/>
  <c r="K74" i="30"/>
  <c r="K75" i="30"/>
  <c r="K76" i="30"/>
  <c r="K77" i="30"/>
  <c r="K78" i="30"/>
  <c r="K79" i="30"/>
  <c r="K80" i="30"/>
  <c r="K81" i="30"/>
  <c r="K82" i="30"/>
  <c r="K83" i="30"/>
  <c r="K84" i="30"/>
  <c r="K85" i="30"/>
  <c r="K86" i="30"/>
  <c r="K87" i="30"/>
  <c r="K88" i="30"/>
  <c r="K89" i="30"/>
  <c r="K90" i="30"/>
  <c r="K91" i="30"/>
  <c r="K92" i="30"/>
  <c r="K93" i="30"/>
  <c r="K94" i="30"/>
  <c r="K73" i="30"/>
  <c r="S74" i="30"/>
  <c r="T74" i="30"/>
  <c r="F7" i="25"/>
  <c r="F8" i="25"/>
  <c r="F9" i="25"/>
  <c r="F10" i="25"/>
  <c r="F11" i="25"/>
  <c r="F12" i="25"/>
  <c r="F13" i="25"/>
  <c r="F14" i="25"/>
  <c r="F15" i="25"/>
  <c r="F16" i="25"/>
  <c r="F17" i="25"/>
  <c r="F18" i="25"/>
  <c r="F19" i="25"/>
  <c r="F20" i="25"/>
  <c r="F21" i="25"/>
  <c r="F22" i="25"/>
  <c r="F23" i="25"/>
  <c r="F24" i="25"/>
  <c r="F25" i="25"/>
  <c r="F26" i="25"/>
  <c r="F6" i="25"/>
  <c r="J50" i="39" l="1"/>
  <c r="K50" i="39" s="1"/>
  <c r="J58" i="39"/>
  <c r="K58" i="39" s="1"/>
  <c r="K42" i="39"/>
  <c r="J45" i="39"/>
  <c r="K45" i="39" s="1"/>
  <c r="K51" i="39"/>
  <c r="K43" i="39"/>
  <c r="K59" i="39"/>
  <c r="K46" i="39"/>
  <c r="K54" i="39"/>
  <c r="K41" i="39"/>
  <c r="K57" i="39"/>
  <c r="K56" i="39"/>
  <c r="K48" i="39"/>
  <c r="K40" i="39"/>
  <c r="K49" i="39"/>
  <c r="K61" i="39"/>
  <c r="K53" i="39"/>
  <c r="K60" i="39"/>
  <c r="K52" i="39"/>
  <c r="K44" i="39"/>
  <c r="I55" i="39"/>
  <c r="I47" i="39"/>
  <c r="I39" i="39"/>
  <c r="J55" i="39" l="1"/>
  <c r="K55" i="39" s="1"/>
  <c r="J39" i="39"/>
  <c r="K39" i="39" s="1"/>
  <c r="J47" i="39"/>
  <c r="K47" i="39" s="1"/>
</calcChain>
</file>

<file path=xl/sharedStrings.xml><?xml version="1.0" encoding="utf-8"?>
<sst xmlns="http://schemas.openxmlformats.org/spreadsheetml/2006/main" count="1067" uniqueCount="293">
  <si>
    <t>Overzicht</t>
  </si>
  <si>
    <t>De kleuren van de tabbladen duiden ieder een ander onderwerp aan. Zie hieronder de aanduiding per kleurcode.</t>
  </si>
  <si>
    <t>Geel</t>
  </si>
  <si>
    <t>Onderzoeksfinanciering</t>
  </si>
  <si>
    <t>Blauw</t>
  </si>
  <si>
    <t>Onderzoekers</t>
  </si>
  <si>
    <t>Groen</t>
  </si>
  <si>
    <t>Studenten en personeel hogeronderwijs</t>
  </si>
  <si>
    <t>Oranje</t>
  </si>
  <si>
    <t>Wetenschappelijke publicaties</t>
  </si>
  <si>
    <t>Overzicht figuren met bron</t>
  </si>
  <si>
    <t>Titel</t>
  </si>
  <si>
    <t>Bron</t>
  </si>
  <si>
    <t>Figuur 1 (data)</t>
  </si>
  <si>
    <t>R&amp;D investeringen per land in absolute dollars (in miljarden), lopende prijzen PPP) en gemiddelde jaarlijkse groei (%)</t>
  </si>
  <si>
    <t>OESO-MSTI, editie maart 2024, bewerkingen Rathenau Instituut</t>
  </si>
  <si>
    <t>Figuur 2 (data)</t>
  </si>
  <si>
    <t>R&amp;D investeringen in percentage van BBP</t>
  </si>
  <si>
    <t>Figuur 3 (data)</t>
  </si>
  <si>
    <t>R&amp;D per capita naar sector van financiering in absolute dollars (PPP), 2021</t>
  </si>
  <si>
    <t>Figuur 4 (data)</t>
  </si>
  <si>
    <t>Figuur 6 (data)</t>
  </si>
  <si>
    <t>Aantal onderzoekers per miljoen inwoners per prioriteitsland, in fte</t>
  </si>
  <si>
    <t>Figuur 7 (data)</t>
  </si>
  <si>
    <t>Aandeel vrouwelijke onderzoekers</t>
  </si>
  <si>
    <t>Figuur 8 (data)</t>
  </si>
  <si>
    <t>Aantal academici (in fte) uit prioriteitslanden werkzaam aan Nederlandse universiteiten</t>
  </si>
  <si>
    <t>WOPI, bewerkingen Rathenau Instituut</t>
  </si>
  <si>
    <t>Figuur 9 (data)</t>
  </si>
  <si>
    <t xml:space="preserve">Aantal internationale studenten in Nederland </t>
  </si>
  <si>
    <t>Nuffic, bewerkingen Rathenau Instituut</t>
  </si>
  <si>
    <t>Figuur 10 (data)</t>
  </si>
  <si>
    <t>Aantallen Nederlandse studenten aan hogeronderwijsinstellingen in buitenland en gemiddelde jaarlijkse groei (%)</t>
  </si>
  <si>
    <t>Figuur 11 (data)</t>
  </si>
  <si>
    <t>Aandeel open access wetenschappelijke publicaties van totaal aantal wetenschappelijke publicaties, naar land</t>
  </si>
  <si>
    <t>CWTS, bewerkingen Rathenau Instituut</t>
  </si>
  <si>
    <t>Figuur 12 (data)</t>
  </si>
  <si>
    <t>Citatie-impactscore wetenschappelijke publicaties, naar land</t>
  </si>
  <si>
    <t>Figuur 13 (data)</t>
  </si>
  <si>
    <t>Aandeel top 1% geciteerde wetenschappelijke publicaties</t>
  </si>
  <si>
    <t>Ontwikkeling aantal wetenschappelijke co-publicaties Nederland en prioriteitslanden</t>
  </si>
  <si>
    <t>Tabel 1</t>
  </si>
  <si>
    <t xml:space="preserve">Aantal samenwerkingsverbanden met priolanden H2020 en HEU </t>
  </si>
  <si>
    <t>Cordis, bewerkingen Rathenau Instituut</t>
  </si>
  <si>
    <t>Tabel 2</t>
  </si>
  <si>
    <t>Top 3 van thema’s waarop Nederland het vaakst samenwerkt met de prioriteitslanden (periode 2015-2022)</t>
  </si>
  <si>
    <t>Scopus, bewerkingen Rathenau Instituut</t>
  </si>
  <si>
    <t>Overzicht van landen in notitie en databestand. Gesorteerd op alfabetische volgorde afkorting</t>
  </si>
  <si>
    <t>Terug naar tabblad Overzicht</t>
  </si>
  <si>
    <t>Afkorting</t>
  </si>
  <si>
    <t>Land</t>
  </si>
  <si>
    <t>AUS</t>
  </si>
  <si>
    <t>Australië</t>
  </si>
  <si>
    <t>BEL</t>
  </si>
  <si>
    <t>België</t>
  </si>
  <si>
    <t>BRA</t>
  </si>
  <si>
    <t>Brazilië</t>
  </si>
  <si>
    <t>CAN</t>
  </si>
  <si>
    <t>Canada</t>
  </si>
  <si>
    <t>CHI</t>
  </si>
  <si>
    <t>China</t>
  </si>
  <si>
    <t>DEN</t>
  </si>
  <si>
    <t>Denemarken</t>
  </si>
  <si>
    <t>DUI</t>
  </si>
  <si>
    <t>Duitsland</t>
  </si>
  <si>
    <t>FIN</t>
  </si>
  <si>
    <t>Finland</t>
  </si>
  <si>
    <t>FRA</t>
  </si>
  <si>
    <t>Frankrijk</t>
  </si>
  <si>
    <t>IDN</t>
  </si>
  <si>
    <t>Indonesië</t>
  </si>
  <si>
    <t>IER</t>
  </si>
  <si>
    <t>Ierland</t>
  </si>
  <si>
    <t>IND</t>
  </si>
  <si>
    <t>India</t>
  </si>
  <si>
    <t>ISR</t>
  </si>
  <si>
    <t>Israël</t>
  </si>
  <si>
    <t>ITA</t>
  </si>
  <si>
    <t>Italië</t>
  </si>
  <si>
    <t>JAP</t>
  </si>
  <si>
    <t>Japan</t>
  </si>
  <si>
    <t>KOR</t>
  </si>
  <si>
    <t>Zuid-Korea</t>
  </si>
  <si>
    <t>NED</t>
  </si>
  <si>
    <t>Nederland</t>
  </si>
  <si>
    <t>NOO</t>
  </si>
  <si>
    <t>Noorwegen</t>
  </si>
  <si>
    <t>POL</t>
  </si>
  <si>
    <t>Polen</t>
  </si>
  <si>
    <t>SIN</t>
  </si>
  <si>
    <t>Singapore</t>
  </si>
  <si>
    <t>SPA</t>
  </si>
  <si>
    <t>Spanje</t>
  </si>
  <si>
    <t>VK</t>
  </si>
  <si>
    <t>Verenigd Koninkrijk</t>
  </si>
  <si>
    <t>VS</t>
  </si>
  <si>
    <t>Verenigde Staten</t>
  </si>
  <si>
    <t>ZAF</t>
  </si>
  <si>
    <t>Zuid-Afrika</t>
  </si>
  <si>
    <t>ZWE</t>
  </si>
  <si>
    <t>Zweden</t>
  </si>
  <si>
    <t>ZWI</t>
  </si>
  <si>
    <t>Zwitserland</t>
  </si>
  <si>
    <t>Totaal</t>
  </si>
  <si>
    <t>Bron: UNESCO STI (Indonesië), OESO-MSTI (overige landen). Bewerking: Rathenau Instituut.</t>
  </si>
  <si>
    <t>Notities: Data zijn onder behoud van purchasing power parity (PPP). Israël: exclusief R&amp;D-budget voor defensie. In de tijdreeks van Nederland is sprake van twee trendbreuken tussen 2010 en 2013, vanwege een update van de methodiek om beter aan te sluiten bij internationale definities en standaarden.</t>
  </si>
  <si>
    <t>Begin jaar</t>
  </si>
  <si>
    <t>Eind jaar</t>
  </si>
  <si>
    <t>uitkomst</t>
  </si>
  <si>
    <t>gemiddelde jaarlijkse groei</t>
  </si>
  <si>
    <t>2013-2022</t>
  </si>
  <si>
    <t>2012-2021</t>
  </si>
  <si>
    <t>2013-2018</t>
  </si>
  <si>
    <t>Wereldgemiddelde</t>
  </si>
  <si>
    <t>2010</t>
  </si>
  <si>
    <t>2011</t>
  </si>
  <si>
    <t>2012</t>
  </si>
  <si>
    <t>2013</t>
  </si>
  <si>
    <t>2014</t>
  </si>
  <si>
    <t>2015</t>
  </si>
  <si>
    <t>2016</t>
  </si>
  <si>
    <t>2017</t>
  </si>
  <si>
    <t>2018</t>
  </si>
  <si>
    <t>2019</t>
  </si>
  <si>
    <t>2020</t>
  </si>
  <si>
    <t>2021</t>
  </si>
  <si>
    <t>2022</t>
  </si>
  <si>
    <t>Bron: UNESCO STI (Indonesië), Worldbank (Brazilië, India en wereldgemiddelde), OESO-MSTI (overige landen). Bewerking: Rathenau Instituut.</t>
  </si>
  <si>
    <t>Notities: data Israël exclusief R&amp;D-budget voor defensie. In de tijdreeks van Nederland is sprake van twee trendbreuken tussen 2010 en 2013, vanwege een update van de methodiek om beter aan te sluiten bij internationale definities en standaarden. Daardoor zijn de data vanaf 2013 niet meer vergelijkbaar met de voorgaande jaren.</t>
  </si>
  <si>
    <t>Bedrijven</t>
  </si>
  <si>
    <t>Overheid</t>
  </si>
  <si>
    <t>Hogeronderwijs en PNP</t>
  </si>
  <si>
    <t>Buitenland</t>
  </si>
  <si>
    <t>Bron: UNESCO STI (Indonesië), Indiase ministerie van Wetenschap en Technologie (India), OESO-MSTI (overige landen). Bewerking: Rathenau Instituut.</t>
  </si>
  <si>
    <t>Notities: data zijn gecorrigeerd voor koopkrachtverschillen tussen de landen: purchasing power parity (PPP).</t>
  </si>
  <si>
    <t>HO+PNP</t>
  </si>
  <si>
    <t>Bedrag R&amp;D per capita</t>
  </si>
  <si>
    <t>Belgium</t>
  </si>
  <si>
    <t>Denmark</t>
  </si>
  <si>
    <t>France</t>
  </si>
  <si>
    <t>Germany</t>
  </si>
  <si>
    <t>Ireland</t>
  </si>
  <si>
    <t>Israel</t>
  </si>
  <si>
    <t>Italy</t>
  </si>
  <si>
    <t>Korea</t>
  </si>
  <si>
    <t>Netherlands</t>
  </si>
  <si>
    <t>Norway</t>
  </si>
  <si>
    <t>Poland</t>
  </si>
  <si>
    <t>Spain</t>
  </si>
  <si>
    <t>Sweden</t>
  </si>
  <si>
    <t>Switzerland</t>
  </si>
  <si>
    <t>United Kingdom</t>
  </si>
  <si>
    <t>United States</t>
  </si>
  <si>
    <t>South Africa</t>
  </si>
  <si>
    <t>N/A</t>
  </si>
  <si>
    <t xml:space="preserve">Gemiddelde jaarlijkse groei onderzoeksinzet, naar omvang (in fte) en omvang in fte per 1.000 werkenden </t>
  </si>
  <si>
    <t>Gemiddelde jaarlijks procentuele groei</t>
  </si>
  <si>
    <t>Totaal FTE onderzoekers</t>
  </si>
  <si>
    <t>Aantal onderzoekers per 1000 werkenden</t>
  </si>
  <si>
    <t>OOS</t>
  </si>
  <si>
    <t>SGP</t>
  </si>
  <si>
    <t>Bron: UNESCO STI (India en Indonesië), OESO-MSTI (overige landen). Bewerking: Rathenau Instituut.</t>
  </si>
  <si>
    <t>Notities: In de tijdreeks van Nederland is sprake van twee trendbreuken tussen 2010 en 2013, vanwege een update van de methodiek om beter aan te sluiten bij internationale definities en standaarden. De data van Nederland vanaf 2013 is daardoor niet vergelijkbaar met de data van de periode daarvoor.</t>
  </si>
  <si>
    <t xml:space="preserve">Bron: OESO, bewerkingen Rathenau Instituut. </t>
  </si>
  <si>
    <t xml:space="preserve">Notities: het gaat hier om het aandeel vrouwelijke onderzoekers in personen (headcount) van het totaal aantal onderzoekers in personen (headcount) binnen het bedrijfsleven, hogeronderwijs en de publieksinstellingen </t>
  </si>
  <si>
    <t xml:space="preserve"> </t>
  </si>
  <si>
    <t>in fte</t>
  </si>
  <si>
    <t>Nederlander of behandeld als Nederlander</t>
  </si>
  <si>
    <t>Totaal internationale wetenschappers, waarvan uit</t>
  </si>
  <si>
    <t>Bron: UNL/WOPI database, bewerking Rathenau Instituut.</t>
  </si>
  <si>
    <t xml:space="preserve">Brazilie </t>
  </si>
  <si>
    <t>% groei</t>
  </si>
  <si>
    <t>Bron: Nuffic, bewerking Rathenau Instituut.</t>
  </si>
  <si>
    <t xml:space="preserve">Notities: data over studenten betreffen zowel bachelor- als masterstudenten. </t>
  </si>
  <si>
    <t>Procentuele groei sinds 2006</t>
  </si>
  <si>
    <t>Bron: Nuffic, bewerking Rathenau Instituut</t>
  </si>
  <si>
    <t>Notities: data over studenten betreffen zowel bachelor- als masterstudenten in prioriteitslanden</t>
  </si>
  <si>
    <t>2015-2020</t>
  </si>
  <si>
    <t>2010-2020</t>
  </si>
  <si>
    <t>2013-2020</t>
  </si>
  <si>
    <t>2012-2020</t>
  </si>
  <si>
    <t>gemiddelde jaarlijkse groei (%)</t>
  </si>
  <si>
    <t>Aantal studenten meeste recente jaar (linkeras)</t>
  </si>
  <si>
    <t>Gemiddelde jaarlijkse groei (rechteras, %)</t>
  </si>
  <si>
    <t>Bron: Scopus, bewerkingen Rathenau Instituut.</t>
  </si>
  <si>
    <t>2011-2014</t>
  </si>
  <si>
    <t>2015-2018</t>
  </si>
  <si>
    <t>2019-2022</t>
  </si>
  <si>
    <t xml:space="preserve">ITA </t>
  </si>
  <si>
    <t xml:space="preserve">CWTS/Web of Science, bewerkingen Rathenau Instituut. </t>
  </si>
  <si>
    <t>Bron: CWTS/ Web of Science, bewerkingen Rathenau Instituut</t>
  </si>
  <si>
    <t>Ontwikkeling aantal wetenschappelijke co-publicaties Nederland met landen</t>
  </si>
  <si>
    <t>Aantal co-publicaties (linkeras)</t>
  </si>
  <si>
    <t>Aantallen samenwerkingen</t>
  </si>
  <si>
    <t>Percentage van totaal</t>
  </si>
  <si>
    <t>Samenwerkingsland</t>
  </si>
  <si>
    <t>HEU</t>
  </si>
  <si>
    <t>H2020</t>
  </si>
  <si>
    <t>US</t>
  </si>
  <si>
    <t>Bron: Cordis (april 2024), bewerkingen Rathenau</t>
  </si>
  <si>
    <t>Plek 1</t>
  </si>
  <si>
    <t>Plek 2</t>
  </si>
  <si>
    <t>Plek 3</t>
  </si>
  <si>
    <t>Medisch (45.651)</t>
  </si>
  <si>
    <t>Bio, G&amp;MB (16.328)</t>
  </si>
  <si>
    <t>N&amp;Astro (15.642)</t>
  </si>
  <si>
    <t>Medisch (43.301)</t>
  </si>
  <si>
    <t>Bio, G&amp;MB (13.317)</t>
  </si>
  <si>
    <t>N&amp;Astro (12.816)</t>
  </si>
  <si>
    <t>Medisch (33.388)</t>
  </si>
  <si>
    <t>N&amp;Astro (15.907)</t>
  </si>
  <si>
    <t>Bio, G&amp;MB (13.636)</t>
  </si>
  <si>
    <t>Medisch (23.847)</t>
  </si>
  <si>
    <t>N&amp;Astro (9.843)</t>
  </si>
  <si>
    <t>Bio, G&amp;MB (7.121)</t>
  </si>
  <si>
    <t>Medisch (20.698)</t>
  </si>
  <si>
    <t>N&amp;Astro (9.875)</t>
  </si>
  <si>
    <t>Bio, G&amp;MB (7.274)</t>
  </si>
  <si>
    <t>Medisch (21.928)</t>
  </si>
  <si>
    <t>Bio, G&amp;MB (6.111)</t>
  </si>
  <si>
    <t>Techniek (3.971)</t>
  </si>
  <si>
    <t>Medisch (17.508)</t>
  </si>
  <si>
    <t>N&amp;Astro (7.200)</t>
  </si>
  <si>
    <t>Bio, G&amp;MB (5.693)</t>
  </si>
  <si>
    <t>Medisch (15.983)</t>
  </si>
  <si>
    <t>N&amp;Astro (6.043)</t>
  </si>
  <si>
    <t>Bio, G&amp;MB (4.906)</t>
  </si>
  <si>
    <t>Medisch (15.913)</t>
  </si>
  <si>
    <t>N&amp;Astro (4.724)</t>
  </si>
  <si>
    <t>Bio, G&amp;MB (4.571)</t>
  </si>
  <si>
    <t>N&amp;Astro (6.862)</t>
  </si>
  <si>
    <t>Techniek (6.561)</t>
  </si>
  <si>
    <t>Medisch (6.383)</t>
  </si>
  <si>
    <t>Medisch (15.682)</t>
  </si>
  <si>
    <t>Bio, G&amp;MB (4.388)</t>
  </si>
  <si>
    <t>N&amp;Astro (4.177)</t>
  </si>
  <si>
    <t>Medisch (13.306)</t>
  </si>
  <si>
    <t>N&amp;Astro (4.994)</t>
  </si>
  <si>
    <t>Bio, G&amp;MB (4.255)</t>
  </si>
  <si>
    <t>Medisch (11.373)</t>
  </si>
  <si>
    <t>Bio, G&amp;MB (3.713)</t>
  </si>
  <si>
    <t>N&amp;Astro (3.432)</t>
  </si>
  <si>
    <t>Medisch (7.517)</t>
  </si>
  <si>
    <t>Bio, G&amp;MB (2.386)</t>
  </si>
  <si>
    <t>N&amp;Astro (2.112)</t>
  </si>
  <si>
    <t>Medisch (5.478)</t>
  </si>
  <si>
    <t>N&amp;Astro (4.591)</t>
  </si>
  <si>
    <t>Aard (2.147)</t>
  </si>
  <si>
    <t>Medisch (6.407)</t>
  </si>
  <si>
    <t>N&amp;Astro (4.006)</t>
  </si>
  <si>
    <t>Bio, G&amp;MB (1.879)</t>
  </si>
  <si>
    <t>Medisch (5.320)</t>
  </si>
  <si>
    <t>N&amp;Astro (2.892)</t>
  </si>
  <si>
    <t>Bio, G&amp;MB (1.669)</t>
  </si>
  <si>
    <t>Medisch (5.554)</t>
  </si>
  <si>
    <t>Bio, G&amp;MB (2.123)</t>
  </si>
  <si>
    <t>N&amp;Astro (1.830)</t>
  </si>
  <si>
    <t>Medisch (3.960)</t>
  </si>
  <si>
    <t>N&amp;Astro (2.495)</t>
  </si>
  <si>
    <t>Aard (1.322)</t>
  </si>
  <si>
    <t>Medisch (4.783)</t>
  </si>
  <si>
    <t>N&amp;Astro (1.485)</t>
  </si>
  <si>
    <t>Bio, G&amp;MB (1.288)</t>
  </si>
  <si>
    <t>Medisch (3.482)</t>
  </si>
  <si>
    <t>N&amp;Astro (2.255)</t>
  </si>
  <si>
    <t>Bio, G&amp;MB (916)</t>
  </si>
  <si>
    <t>Medisch (4.225)</t>
  </si>
  <si>
    <t>N&amp;Astro (1.858)</t>
  </si>
  <si>
    <t>Bio, G&amp;MB (1.333)</t>
  </si>
  <si>
    <t>Medisch (2.369)</t>
  </si>
  <si>
    <t>N&amp;Astro (1.634)</t>
  </si>
  <si>
    <t>Bio, G&amp;MB (924)</t>
  </si>
  <si>
    <t>Medisch (2.999)</t>
  </si>
  <si>
    <t>Bio, G&amp;MB (976)</t>
  </si>
  <si>
    <t>Techniek (514)</t>
  </si>
  <si>
    <t>Medisch (1.432)</t>
  </si>
  <si>
    <t>Omgeving (738)</t>
  </si>
  <si>
    <t>Sociaal (653)</t>
  </si>
  <si>
    <t>Notities: aantal publicaties per thema staat tussen haakjes genoteerd. Medisch = Medische wetenschappen; Bio, G&amp;MB = Biochemie, genetica en moleculaire biologie; N&amp;Astro =Natuurkunde en astronomie; Aard = Aardwetenschappen; Omgeving = Omgevingswetenschappen; Sociaal = Sociale wetenschappen.</t>
  </si>
  <si>
    <t>Aandeel open access in wetenschappelijke publicaties</t>
  </si>
  <si>
    <t>Aantal open access in wetenschappelijke publicaties</t>
  </si>
  <si>
    <t>Procentuele groei tussen 2016-2022 openaccess-publicaties</t>
  </si>
  <si>
    <t>Aantal wetenschappelijke publicaties</t>
  </si>
  <si>
    <t>Berekening gemiddelde jaarlijkse groei</t>
  </si>
  <si>
    <t>Figuur 5 (data)</t>
  </si>
  <si>
    <t>% groei aantallen</t>
  </si>
  <si>
    <t>Aantal internationale studenten in Nederland uit prioriteitslanden aan Nederlandse universiteiten</t>
  </si>
  <si>
    <t>SIN (sinds 2008)</t>
  </si>
  <si>
    <t>Gemiddelde jaarlijkse groeipercentage</t>
  </si>
  <si>
    <t>Periode</t>
  </si>
  <si>
    <t>Top 3 van thema’s waarop Nederland het vaakst samenwerkt met de prioriteitslanden (periode 2015-2023)</t>
  </si>
  <si>
    <t>Bron: Scopus, extractie april 2024 en bewerkingen door Rathenau Instituut</t>
  </si>
  <si>
    <t>Bron: Scopus, extractie april 2024 en bewerking: Rathenau Instituut.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</si>
</sst>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 #,##0.00_ ;_ * \-#,##0.00_ ;_ * &quot;-&quot;??_ ;_ @_ "/>
    <numFmt numFmtId="164" formatCode="0.0000"/>
    <numFmt numFmtId="165" formatCode="0.0%"/>
    <numFmt numFmtId="166" formatCode="0_)"/>
    <numFmt numFmtId="167" formatCode="0.0000%"/>
    <numFmt numFmtId="168" formatCode="0.0"/>
    <numFmt numFmtId="169" formatCode="_ * #,##0.000000000_ ;_ * \-#,##0.000000000_ ;_ * &quot;-&quot;??_ ;_ @_ "/>
  </numFmts>
  <fonts count="19" x14ac:knownFonts="1">
    <font>
      <sz val="10"/>
      <color theme="1"/>
      <name val="Arial"/>
      <family val="2"/>
    </font>
    <font>
      <b/>
      <sz val="10"/>
      <color theme="1"/>
      <name val="Arial"/>
      <family val="2"/>
    </font>
    <font>
      <b/>
      <sz val="14"/>
      <color theme="1"/>
      <name val="Calibri"/>
      <family val="2"/>
      <scheme val="minor"/>
    </font>
    <font>
      <sz val="11"/>
      <color theme="1"/>
      <name val="Calibri"/>
      <family val="2"/>
      <scheme val="minor"/>
    </font>
    <font>
      <sz val="11"/>
      <name val="Calibri"/>
      <family val="2"/>
      <scheme val="minor"/>
    </font>
    <font>
      <sz val="10"/>
      <color theme="1"/>
      <name val="Arial"/>
      <family val="2"/>
    </font>
    <font>
      <b/>
      <sz val="16"/>
      <color theme="1"/>
      <name val="Arial"/>
      <family val="2"/>
    </font>
    <font>
      <b/>
      <sz val="14"/>
      <color theme="1"/>
      <name val="Arial"/>
      <family val="2"/>
    </font>
    <font>
      <i/>
      <sz val="10"/>
      <color theme="1"/>
      <name val="Arial"/>
      <family val="2"/>
    </font>
    <font>
      <sz val="10"/>
      <name val="Courier"/>
      <family val="3"/>
    </font>
    <font>
      <sz val="9"/>
      <name val="Helvetica"/>
      <family val="2"/>
    </font>
    <font>
      <sz val="8"/>
      <name val="Arial"/>
      <family val="2"/>
    </font>
    <font>
      <sz val="12"/>
      <color theme="1"/>
      <name val="Arial"/>
      <family val="2"/>
    </font>
    <font>
      <i/>
      <sz val="12"/>
      <color theme="1"/>
      <name val="Arial"/>
      <family val="2"/>
    </font>
    <font>
      <b/>
      <sz val="12"/>
      <color theme="1"/>
      <name val="Arial"/>
      <family val="2"/>
    </font>
    <font>
      <sz val="9"/>
      <color theme="1"/>
      <name val="Arial"/>
      <family val="2"/>
    </font>
    <font>
      <u/>
      <sz val="10"/>
      <color theme="10"/>
      <name val="Arial"/>
      <family val="2"/>
    </font>
    <font>
      <u/>
      <sz val="14"/>
      <color theme="10"/>
      <name val="Arial"/>
      <family val="2"/>
    </font>
    <font>
      <u/>
      <sz val="14"/>
      <color rgb="FF0070C0"/>
      <name val="Arial"/>
      <family val="2"/>
    </font>
  </fonts>
  <fills count="12">
    <fill>
      <patternFill patternType="none"/>
    </fill>
    <fill>
      <patternFill patternType="gray125"/>
    </fill>
    <fill>
      <patternFill patternType="solid">
        <fgColor theme="2" tint="-9.9978637043366805E-2"/>
        <bgColor indexed="64"/>
      </patternFill>
    </fill>
    <fill>
      <patternFill patternType="solid">
        <fgColor theme="5" tint="0.59999389629810485"/>
        <bgColor indexed="64"/>
      </patternFill>
    </fill>
    <fill>
      <patternFill patternType="solid">
        <fgColor theme="8" tint="0.59999389629810485"/>
        <bgColor indexed="64"/>
      </patternFill>
    </fill>
    <fill>
      <patternFill patternType="solid">
        <fgColor theme="5" tint="0.39997558519241921"/>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rgb="FFFFA347"/>
        <bgColor indexed="64"/>
      </patternFill>
    </fill>
    <fill>
      <patternFill patternType="solid">
        <fgColor rgb="FFFFFF00"/>
        <bgColor indexed="64"/>
      </patternFill>
    </fill>
    <fill>
      <patternFill patternType="solid">
        <fgColor theme="0" tint="-0.14999847407452621"/>
        <bgColor indexed="64"/>
      </patternFill>
    </fill>
    <fill>
      <patternFill patternType="solid">
        <fgColor theme="7" tint="0.79998168889431442"/>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medium">
        <color indexed="64"/>
      </top>
      <bottom/>
      <diagonal/>
    </border>
    <border>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s>
  <cellStyleXfs count="6">
    <xf numFmtId="0" fontId="0" fillId="0" borderId="0"/>
    <xf numFmtId="9" fontId="5" fillId="0" borderId="0" applyFont="0" applyFill="0" applyBorder="0" applyAlignment="0" applyProtection="0"/>
    <xf numFmtId="43" fontId="5" fillId="0" borderId="0" applyFont="0" applyFill="0" applyBorder="0" applyAlignment="0" applyProtection="0"/>
    <xf numFmtId="166" fontId="9" fillId="0" borderId="0"/>
    <xf numFmtId="0" fontId="16" fillId="0" borderId="0" applyNumberFormat="0" applyFill="0" applyBorder="0" applyAlignment="0" applyProtection="0"/>
    <xf numFmtId="166" fontId="9" fillId="0" borderId="0"/>
  </cellStyleXfs>
  <cellXfs count="112">
    <xf numFmtId="0" fontId="0" fillId="0" borderId="0" xfId="0"/>
    <xf numFmtId="0" fontId="2" fillId="0" borderId="0" xfId="0" applyFont="1"/>
    <xf numFmtId="1" fontId="0" fillId="0" borderId="0" xfId="0" applyNumberFormat="1"/>
    <xf numFmtId="10" fontId="0" fillId="0" borderId="0" xfId="0" applyNumberFormat="1"/>
    <xf numFmtId="0" fontId="1" fillId="0" borderId="0" xfId="0" applyFont="1"/>
    <xf numFmtId="1" fontId="4" fillId="0" borderId="0" xfId="0" applyNumberFormat="1" applyFont="1"/>
    <xf numFmtId="1" fontId="3" fillId="0" borderId="0" xfId="0" applyNumberFormat="1" applyFont="1"/>
    <xf numFmtId="0" fontId="3" fillId="0" borderId="0" xfId="0" applyFont="1"/>
    <xf numFmtId="1" fontId="4" fillId="0" borderId="0" xfId="0" applyNumberFormat="1" applyFont="1" applyAlignment="1">
      <alignment horizontal="right"/>
    </xf>
    <xf numFmtId="9" fontId="0" fillId="0" borderId="0" xfId="1" applyFont="1"/>
    <xf numFmtId="0" fontId="6" fillId="0" borderId="0" xfId="0" applyFont="1"/>
    <xf numFmtId="2" fontId="0" fillId="0" borderId="0" xfId="0" applyNumberFormat="1"/>
    <xf numFmtId="0" fontId="0" fillId="0" borderId="0" xfId="0" applyAlignment="1">
      <alignment horizontal="center"/>
    </xf>
    <xf numFmtId="3" fontId="0" fillId="0" borderId="0" xfId="0" applyNumberFormat="1"/>
    <xf numFmtId="164" fontId="0" fillId="0" borderId="0" xfId="0" applyNumberFormat="1"/>
    <xf numFmtId="0" fontId="0" fillId="0" borderId="0" xfId="1" applyNumberFormat="1" applyFont="1"/>
    <xf numFmtId="0" fontId="1" fillId="0" borderId="0" xfId="0" applyFont="1" applyAlignment="1">
      <alignment horizontal="center"/>
    </xf>
    <xf numFmtId="0" fontId="7" fillId="0" borderId="0" xfId="0" applyFont="1"/>
    <xf numFmtId="43" fontId="0" fillId="0" borderId="0" xfId="2" applyFont="1"/>
    <xf numFmtId="43" fontId="0" fillId="0" borderId="0" xfId="0" applyNumberFormat="1"/>
    <xf numFmtId="165" fontId="0" fillId="0" borderId="0" xfId="1" applyNumberFormat="1" applyFont="1"/>
    <xf numFmtId="10" fontId="0" fillId="0" borderId="0" xfId="1" applyNumberFormat="1" applyFont="1"/>
    <xf numFmtId="9" fontId="0" fillId="0" borderId="0" xfId="0" applyNumberFormat="1"/>
    <xf numFmtId="9" fontId="5" fillId="0" borderId="0" xfId="1" applyFont="1"/>
    <xf numFmtId="0" fontId="8" fillId="0" borderId="0" xfId="0" applyFont="1"/>
    <xf numFmtId="9" fontId="8" fillId="0" borderId="0" xfId="1" applyFont="1"/>
    <xf numFmtId="1" fontId="10" fillId="0" borderId="0" xfId="3" applyNumberFormat="1" applyFont="1" applyAlignment="1">
      <alignment horizontal="right"/>
    </xf>
    <xf numFmtId="0" fontId="0" fillId="5" borderId="0" xfId="0" applyFill="1"/>
    <xf numFmtId="2" fontId="0" fillId="5" borderId="0" xfId="0" applyNumberFormat="1" applyFill="1"/>
    <xf numFmtId="167" fontId="0" fillId="0" borderId="0" xfId="0" applyNumberFormat="1"/>
    <xf numFmtId="10" fontId="0" fillId="0" borderId="0" xfId="1" applyNumberFormat="1" applyFont="1" applyBorder="1"/>
    <xf numFmtId="9" fontId="3" fillId="0" borderId="0" xfId="1" applyFont="1" applyBorder="1"/>
    <xf numFmtId="9" fontId="0" fillId="0" borderId="0" xfId="1" applyFont="1" applyFill="1"/>
    <xf numFmtId="9" fontId="0" fillId="5" borderId="0" xfId="1" applyFont="1" applyFill="1"/>
    <xf numFmtId="0" fontId="0" fillId="0" borderId="0" xfId="1" applyNumberFormat="1" applyFont="1" applyFill="1"/>
    <xf numFmtId="0" fontId="12" fillId="0" borderId="9" xfId="0" applyFont="1" applyBorder="1"/>
    <xf numFmtId="0" fontId="12" fillId="0" borderId="6" xfId="0" applyFont="1" applyBorder="1"/>
    <xf numFmtId="0" fontId="12" fillId="0" borderId="0" xfId="0" applyFont="1"/>
    <xf numFmtId="0" fontId="12" fillId="0" borderId="7" xfId="0" applyFont="1" applyBorder="1"/>
    <xf numFmtId="0" fontId="12" fillId="0" borderId="8" xfId="0" applyFont="1" applyBorder="1"/>
    <xf numFmtId="0" fontId="12" fillId="6" borderId="7" xfId="0" applyFont="1" applyFill="1" applyBorder="1"/>
    <xf numFmtId="0" fontId="13" fillId="0" borderId="0" xfId="0" applyFont="1"/>
    <xf numFmtId="0" fontId="12" fillId="4" borderId="7" xfId="0" applyFont="1" applyFill="1" applyBorder="1"/>
    <xf numFmtId="0" fontId="12" fillId="7" borderId="7" xfId="0" applyFont="1" applyFill="1" applyBorder="1"/>
    <xf numFmtId="0" fontId="12" fillId="3" borderId="10" xfId="0" applyFont="1" applyFill="1" applyBorder="1"/>
    <xf numFmtId="0" fontId="13" fillId="0" borderId="11" xfId="0" applyFont="1" applyBorder="1"/>
    <xf numFmtId="0" fontId="12" fillId="0" borderId="11" xfId="0" applyFont="1" applyBorder="1"/>
    <xf numFmtId="0" fontId="12" fillId="0" borderId="12" xfId="0" applyFont="1" applyBorder="1"/>
    <xf numFmtId="0" fontId="14" fillId="0" borderId="0" xfId="0" applyFont="1"/>
    <xf numFmtId="0" fontId="13" fillId="0" borderId="5" xfId="0" applyFont="1" applyBorder="1"/>
    <xf numFmtId="0" fontId="1" fillId="2" borderId="1" xfId="0" applyFont="1" applyFill="1" applyBorder="1"/>
    <xf numFmtId="0" fontId="15" fillId="0" borderId="0" xfId="0" applyFont="1"/>
    <xf numFmtId="0" fontId="16" fillId="0" borderId="0" xfId="4"/>
    <xf numFmtId="0" fontId="0" fillId="0" borderId="5" xfId="0" applyBorder="1"/>
    <xf numFmtId="0" fontId="0" fillId="0" borderId="6" xfId="0" applyBorder="1"/>
    <xf numFmtId="0" fontId="0" fillId="0" borderId="7" xfId="0" applyBorder="1"/>
    <xf numFmtId="0" fontId="0" fillId="0" borderId="8" xfId="0" applyBorder="1"/>
    <xf numFmtId="0" fontId="1" fillId="2" borderId="2" xfId="0" applyFont="1" applyFill="1" applyBorder="1"/>
    <xf numFmtId="0" fontId="1" fillId="2" borderId="3" xfId="0" applyFont="1" applyFill="1" applyBorder="1"/>
    <xf numFmtId="0" fontId="1" fillId="2" borderId="4" xfId="0" applyFont="1" applyFill="1" applyBorder="1"/>
    <xf numFmtId="0" fontId="1" fillId="2" borderId="13" xfId="0" applyFont="1" applyFill="1" applyBorder="1"/>
    <xf numFmtId="10" fontId="0" fillId="5" borderId="0" xfId="1" applyNumberFormat="1" applyFont="1" applyFill="1"/>
    <xf numFmtId="43" fontId="0" fillId="5" borderId="0" xfId="2" applyFont="1" applyFill="1"/>
    <xf numFmtId="168" fontId="0" fillId="0" borderId="0" xfId="0" applyNumberFormat="1"/>
    <xf numFmtId="9" fontId="0" fillId="8" borderId="0" xfId="0" applyNumberFormat="1" applyFill="1"/>
    <xf numFmtId="3" fontId="0" fillId="8" borderId="0" xfId="0" applyNumberFormat="1" applyFill="1"/>
    <xf numFmtId="0" fontId="1" fillId="8" borderId="4" xfId="0" applyFont="1" applyFill="1" applyBorder="1"/>
    <xf numFmtId="1" fontId="10" fillId="0" borderId="0" xfId="5" applyNumberFormat="1" applyFont="1" applyAlignment="1">
      <alignment horizontal="right"/>
    </xf>
    <xf numFmtId="0" fontId="0" fillId="9" borderId="0" xfId="0" applyFill="1"/>
    <xf numFmtId="0" fontId="0" fillId="10" borderId="14" xfId="0" applyFill="1" applyBorder="1"/>
    <xf numFmtId="0" fontId="0" fillId="10" borderId="15" xfId="0" applyFill="1" applyBorder="1"/>
    <xf numFmtId="0" fontId="0" fillId="0" borderId="1" xfId="0" applyBorder="1"/>
    <xf numFmtId="0" fontId="0" fillId="10" borderId="1" xfId="0" applyFill="1" applyBorder="1"/>
    <xf numFmtId="0" fontId="0" fillId="0" borderId="16" xfId="0" applyBorder="1"/>
    <xf numFmtId="0" fontId="0" fillId="0" borderId="17" xfId="0" applyBorder="1"/>
    <xf numFmtId="0" fontId="1" fillId="10" borderId="18" xfId="0" applyFont="1" applyFill="1" applyBorder="1"/>
    <xf numFmtId="0" fontId="1" fillId="10" borderId="19" xfId="0" applyFont="1" applyFill="1" applyBorder="1"/>
    <xf numFmtId="1" fontId="0" fillId="9" borderId="0" xfId="0" applyNumberFormat="1" applyFill="1"/>
    <xf numFmtId="10" fontId="0" fillId="11" borderId="0" xfId="0" applyNumberFormat="1" applyFill="1"/>
    <xf numFmtId="0" fontId="0" fillId="11" borderId="0" xfId="0" applyFill="1"/>
    <xf numFmtId="9" fontId="0" fillId="11" borderId="0" xfId="1" applyFont="1" applyFill="1"/>
    <xf numFmtId="0" fontId="0" fillId="11" borderId="0" xfId="1" applyNumberFormat="1" applyFont="1" applyFill="1"/>
    <xf numFmtId="0" fontId="0" fillId="0" borderId="0" xfId="0" applyAlignment="1">
      <alignment horizontal="right"/>
    </xf>
    <xf numFmtId="0" fontId="0" fillId="0" borderId="0" xfId="1" applyNumberFormat="1" applyFont="1" applyFill="1" applyAlignment="1">
      <alignment horizontal="right"/>
    </xf>
    <xf numFmtId="2" fontId="0" fillId="0" borderId="0" xfId="0" applyNumberFormat="1" applyFill="1"/>
    <xf numFmtId="0" fontId="0" fillId="0" borderId="0" xfId="0" applyFill="1"/>
    <xf numFmtId="0" fontId="0" fillId="6" borderId="0" xfId="0" applyFill="1"/>
    <xf numFmtId="43" fontId="0" fillId="11" borderId="0" xfId="2" applyFont="1" applyFill="1"/>
    <xf numFmtId="169" fontId="0" fillId="11" borderId="0" xfId="2" applyNumberFormat="1" applyFont="1" applyFill="1"/>
    <xf numFmtId="10" fontId="1" fillId="0" borderId="0" xfId="0" applyNumberFormat="1" applyFont="1" applyFill="1"/>
    <xf numFmtId="0" fontId="1" fillId="0" borderId="0" xfId="0" applyFont="1" applyFill="1"/>
    <xf numFmtId="9" fontId="1" fillId="0" borderId="0" xfId="1" applyFont="1"/>
    <xf numFmtId="0" fontId="0" fillId="0" borderId="0" xfId="0" applyFont="1"/>
    <xf numFmtId="0" fontId="0" fillId="0" borderId="0" xfId="0" applyNumberFormat="1"/>
    <xf numFmtId="0" fontId="0" fillId="11" borderId="0" xfId="0" applyNumberFormat="1" applyFill="1"/>
    <xf numFmtId="165" fontId="0" fillId="0" borderId="0" xfId="1" applyNumberFormat="1" applyFont="1" applyFill="1"/>
    <xf numFmtId="10" fontId="0" fillId="0" borderId="0" xfId="1" applyNumberFormat="1" applyFont="1" applyFill="1"/>
    <xf numFmtId="167" fontId="0" fillId="0" borderId="0" xfId="0" applyNumberFormat="1" applyFill="1"/>
    <xf numFmtId="0" fontId="0" fillId="5" borderId="0" xfId="1" applyNumberFormat="1" applyFont="1" applyFill="1"/>
    <xf numFmtId="1" fontId="0" fillId="5" borderId="0" xfId="0" applyNumberFormat="1" applyFill="1"/>
    <xf numFmtId="168" fontId="0" fillId="5" borderId="0" xfId="0" applyNumberFormat="1" applyFill="1"/>
    <xf numFmtId="0" fontId="17" fillId="0" borderId="0" xfId="4" applyFont="1"/>
    <xf numFmtId="0" fontId="18" fillId="6" borderId="0" xfId="4" applyFont="1" applyFill="1"/>
    <xf numFmtId="0" fontId="18" fillId="0" borderId="0" xfId="4" applyFont="1"/>
    <xf numFmtId="0" fontId="18" fillId="4" borderId="0" xfId="4" applyFont="1" applyFill="1"/>
    <xf numFmtId="0" fontId="18" fillId="7" borderId="0" xfId="4" applyFont="1" applyFill="1"/>
    <xf numFmtId="0" fontId="18" fillId="3" borderId="0" xfId="4" applyFont="1" applyFill="1"/>
    <xf numFmtId="0" fontId="18" fillId="0" borderId="0" xfId="4" applyFont="1" applyFill="1"/>
    <xf numFmtId="0" fontId="0" fillId="0" borderId="0" xfId="0" applyAlignment="1">
      <alignment horizontal="center"/>
    </xf>
    <xf numFmtId="0" fontId="2" fillId="0" borderId="0" xfId="0" applyFont="1" applyAlignment="1">
      <alignment horizontal="left"/>
    </xf>
    <xf numFmtId="0" fontId="1" fillId="2" borderId="7" xfId="0" applyFont="1" applyFill="1" applyBorder="1" applyAlignment="1">
      <alignment horizontal="left"/>
    </xf>
    <xf numFmtId="0" fontId="1" fillId="2" borderId="8" xfId="0" applyFont="1" applyFill="1" applyBorder="1" applyAlignment="1">
      <alignment horizontal="left"/>
    </xf>
  </cellXfs>
  <cellStyles count="6">
    <cellStyle name="Hyperlink" xfId="4" builtinId="8"/>
    <cellStyle name="Komma" xfId="2" builtinId="3"/>
    <cellStyle name="Normal_02-G_XGDP" xfId="3" xr:uid="{6927F386-6B82-446C-B51F-BCFDC5DA9F72}"/>
    <cellStyle name="Normal_22A-BH_RS" xfId="5" xr:uid="{41E02E5B-1428-4CD1-9289-DC6285E2D1E9}"/>
    <cellStyle name="Procent" xfId="1" builtinId="5"/>
    <cellStyle name="Standaard" xfId="0" builtinId="0"/>
  </cellStyles>
  <dxfs count="8">
    <dxf>
      <font>
        <strike val="0"/>
        <outline val="0"/>
        <shadow val="0"/>
        <u val="none"/>
        <vertAlign val="baseline"/>
        <sz val="10"/>
        <color theme="1"/>
        <name val="Arial"/>
        <family val="2"/>
        <scheme val="none"/>
      </font>
      <numFmt numFmtId="3" formatCode="#,##0"/>
    </dxf>
    <dxf>
      <font>
        <strike val="0"/>
        <outline val="0"/>
        <shadow val="0"/>
        <u val="none"/>
        <vertAlign val="baseline"/>
        <sz val="10"/>
        <color theme="1"/>
        <name val="Arial"/>
        <family val="2"/>
        <scheme val="none"/>
      </font>
    </dxf>
    <dxf>
      <font>
        <strike val="0"/>
        <outline val="0"/>
        <shadow val="0"/>
        <u val="none"/>
        <vertAlign val="baseline"/>
        <sz val="10"/>
        <color theme="1"/>
        <name val="Arial"/>
        <family val="2"/>
        <scheme val="none"/>
      </font>
    </dxf>
    <dxf>
      <font>
        <strike val="0"/>
        <outline val="0"/>
        <shadow val="0"/>
        <u val="none"/>
        <vertAlign val="baseline"/>
        <sz val="10"/>
        <color theme="1"/>
        <name val="Arial"/>
        <family val="2"/>
        <scheme val="none"/>
      </font>
    </dxf>
    <dxf>
      <font>
        <strike val="0"/>
        <outline val="0"/>
        <shadow val="0"/>
        <u val="none"/>
        <vertAlign val="baseline"/>
        <sz val="10"/>
        <color theme="1"/>
        <name val="Arial"/>
        <family val="2"/>
        <scheme val="none"/>
      </font>
      <fill>
        <patternFill patternType="solid">
          <fgColor indexed="64"/>
          <bgColor theme="0" tint="-0.34998626667073579"/>
        </patternFill>
      </fill>
      <border diagonalUp="0" diagonalDown="0" outline="0">
        <left style="thin">
          <color indexed="64"/>
        </left>
        <right style="thin">
          <color indexed="64"/>
        </right>
      </border>
    </dxf>
    <dxf>
      <font>
        <strike val="0"/>
        <outline val="0"/>
        <shadow val="0"/>
        <u val="none"/>
        <vertAlign val="baseline"/>
        <sz val="10"/>
        <color theme="1"/>
        <name val="Arial"/>
        <family val="2"/>
        <scheme val="none"/>
      </font>
    </dxf>
    <dxf>
      <border>
        <bottom style="thin">
          <color indexed="64"/>
        </bottom>
      </border>
    </dxf>
    <dxf>
      <font>
        <b/>
        <i val="0"/>
        <strike val="0"/>
        <condense val="0"/>
        <extend val="0"/>
        <outline val="0"/>
        <shadow val="0"/>
        <u val="none"/>
        <vertAlign val="baseline"/>
        <sz val="10"/>
        <color theme="1"/>
        <name val="Arial"/>
        <family val="2"/>
        <scheme val="none"/>
      </font>
      <fill>
        <patternFill patternType="solid">
          <fgColor indexed="64"/>
          <bgColor theme="2" tint="-9.9978637043366805E-2"/>
        </patternFill>
      </fill>
      <border diagonalUp="0" diagonalDown="0" outline="0">
        <left style="thin">
          <color indexed="64"/>
        </left>
        <right style="thin">
          <color indexed="64"/>
        </right>
        <top/>
        <bottom/>
      </border>
    </dxf>
  </dxfs>
  <tableStyles count="0" defaultTableStyle="TableStyleMedium2" defaultPivotStyle="PivotStyleLight16"/>
  <colors>
    <mruColors>
      <color rgb="FFFFA347"/>
      <color rgb="FF636363"/>
      <color rgb="FFF1975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'Figuur 2'!$A$11</c:f>
              <c:strCache>
                <c:ptCount val="1"/>
                <c:pt idx="0">
                  <c:v>ISR</c:v>
                </c:pt>
              </c:strCache>
            </c:strRef>
          </c:tx>
          <c:spPr>
            <a:ln w="28575" cap="rnd">
              <a:solidFill>
                <a:schemeClr val="accent1"/>
              </a:solidFill>
              <a:round/>
            </a:ln>
            <a:effectLst/>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24-0638-4E92-AFF4-EA660CE29E5E}"/>
                </c:ext>
              </c:extLst>
            </c:dLbl>
            <c:dLbl>
              <c:idx val="1"/>
              <c:delete val="1"/>
              <c:extLst>
                <c:ext xmlns:c15="http://schemas.microsoft.com/office/drawing/2012/chart" uri="{CE6537A1-D6FC-4f65-9D91-7224C49458BB}"/>
                <c:ext xmlns:c16="http://schemas.microsoft.com/office/drawing/2014/chart" uri="{C3380CC4-5D6E-409C-BE32-E72D297353CC}">
                  <c16:uniqueId val="{00000023-0638-4E92-AFF4-EA660CE29E5E}"/>
                </c:ext>
              </c:extLst>
            </c:dLbl>
            <c:dLbl>
              <c:idx val="2"/>
              <c:delete val="1"/>
              <c:extLst>
                <c:ext xmlns:c15="http://schemas.microsoft.com/office/drawing/2012/chart" uri="{CE6537A1-D6FC-4f65-9D91-7224C49458BB}"/>
                <c:ext xmlns:c16="http://schemas.microsoft.com/office/drawing/2014/chart" uri="{C3380CC4-5D6E-409C-BE32-E72D297353CC}">
                  <c16:uniqueId val="{00000022-0638-4E92-AFF4-EA660CE29E5E}"/>
                </c:ext>
              </c:extLst>
            </c:dLbl>
            <c:dLbl>
              <c:idx val="3"/>
              <c:delete val="1"/>
              <c:extLst>
                <c:ext xmlns:c15="http://schemas.microsoft.com/office/drawing/2012/chart" uri="{CE6537A1-D6FC-4f65-9D91-7224C49458BB}"/>
                <c:ext xmlns:c16="http://schemas.microsoft.com/office/drawing/2014/chart" uri="{C3380CC4-5D6E-409C-BE32-E72D297353CC}">
                  <c16:uniqueId val="{00000021-0638-4E92-AFF4-EA660CE29E5E}"/>
                </c:ext>
              </c:extLst>
            </c:dLbl>
            <c:dLbl>
              <c:idx val="4"/>
              <c:delete val="1"/>
              <c:extLst>
                <c:ext xmlns:c15="http://schemas.microsoft.com/office/drawing/2012/chart" uri="{CE6537A1-D6FC-4f65-9D91-7224C49458BB}"/>
                <c:ext xmlns:c16="http://schemas.microsoft.com/office/drawing/2014/chart" uri="{C3380CC4-5D6E-409C-BE32-E72D297353CC}">
                  <c16:uniqueId val="{00000020-0638-4E92-AFF4-EA660CE29E5E}"/>
                </c:ext>
              </c:extLst>
            </c:dLbl>
            <c:dLbl>
              <c:idx val="5"/>
              <c:delete val="1"/>
              <c:extLst>
                <c:ext xmlns:c15="http://schemas.microsoft.com/office/drawing/2012/chart" uri="{CE6537A1-D6FC-4f65-9D91-7224C49458BB}"/>
                <c:ext xmlns:c16="http://schemas.microsoft.com/office/drawing/2014/chart" uri="{C3380CC4-5D6E-409C-BE32-E72D297353CC}">
                  <c16:uniqueId val="{0000001F-0638-4E92-AFF4-EA660CE29E5E}"/>
                </c:ext>
              </c:extLst>
            </c:dLbl>
            <c:dLbl>
              <c:idx val="6"/>
              <c:delete val="1"/>
              <c:extLst>
                <c:ext xmlns:c15="http://schemas.microsoft.com/office/drawing/2012/chart" uri="{CE6537A1-D6FC-4f65-9D91-7224C49458BB}"/>
                <c:ext xmlns:c16="http://schemas.microsoft.com/office/drawing/2014/chart" uri="{C3380CC4-5D6E-409C-BE32-E72D297353CC}">
                  <c16:uniqueId val="{0000001E-0638-4E92-AFF4-EA660CE29E5E}"/>
                </c:ext>
              </c:extLst>
            </c:dLbl>
            <c:dLbl>
              <c:idx val="7"/>
              <c:delete val="1"/>
              <c:extLst>
                <c:ext xmlns:c15="http://schemas.microsoft.com/office/drawing/2012/chart" uri="{CE6537A1-D6FC-4f65-9D91-7224C49458BB}"/>
                <c:ext xmlns:c16="http://schemas.microsoft.com/office/drawing/2014/chart" uri="{C3380CC4-5D6E-409C-BE32-E72D297353CC}">
                  <c16:uniqueId val="{0000001D-0638-4E92-AFF4-EA660CE29E5E}"/>
                </c:ext>
              </c:extLst>
            </c:dLbl>
            <c:dLbl>
              <c:idx val="8"/>
              <c:delete val="1"/>
              <c:extLst>
                <c:ext xmlns:c15="http://schemas.microsoft.com/office/drawing/2012/chart" uri="{CE6537A1-D6FC-4f65-9D91-7224C49458BB}"/>
                <c:ext xmlns:c16="http://schemas.microsoft.com/office/drawing/2014/chart" uri="{C3380CC4-5D6E-409C-BE32-E72D297353CC}">
                  <c16:uniqueId val="{0000001C-0638-4E92-AFF4-EA660CE29E5E}"/>
                </c:ext>
              </c:extLst>
            </c:dLbl>
            <c:dLbl>
              <c:idx val="9"/>
              <c:delete val="1"/>
              <c:extLst>
                <c:ext xmlns:c15="http://schemas.microsoft.com/office/drawing/2012/chart" uri="{CE6537A1-D6FC-4f65-9D91-7224C49458BB}"/>
                <c:ext xmlns:c16="http://schemas.microsoft.com/office/drawing/2014/chart" uri="{C3380CC4-5D6E-409C-BE32-E72D297353CC}">
                  <c16:uniqueId val="{0000001B-0638-4E92-AFF4-EA660CE29E5E}"/>
                </c:ext>
              </c:extLst>
            </c:dLbl>
            <c:dLbl>
              <c:idx val="10"/>
              <c:delete val="1"/>
              <c:extLst>
                <c:ext xmlns:c15="http://schemas.microsoft.com/office/drawing/2012/chart" uri="{CE6537A1-D6FC-4f65-9D91-7224C49458BB}"/>
                <c:ext xmlns:c16="http://schemas.microsoft.com/office/drawing/2014/chart" uri="{C3380CC4-5D6E-409C-BE32-E72D297353CC}">
                  <c16:uniqueId val="{0000001A-0638-4E92-AFF4-EA660CE29E5E}"/>
                </c:ext>
              </c:extLst>
            </c:dLbl>
            <c:dLbl>
              <c:idx val="11"/>
              <c:delete val="1"/>
              <c:extLst>
                <c:ext xmlns:c15="http://schemas.microsoft.com/office/drawing/2012/chart" uri="{CE6537A1-D6FC-4f65-9D91-7224C49458BB}"/>
                <c:ext xmlns:c16="http://schemas.microsoft.com/office/drawing/2014/chart" uri="{C3380CC4-5D6E-409C-BE32-E72D297353CC}">
                  <c16:uniqueId val="{00000019-0638-4E92-AFF4-EA660CE29E5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dLblPos val="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'Figuur 2'!$B$10:$N$10</c:f>
              <c:strCache>
                <c:ptCount val="13"/>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strCache>
            </c:strRef>
          </c:cat>
          <c:val>
            <c:numRef>
              <c:f>'Figuur 2'!$B$11:$N$11</c:f>
              <c:numCache>
                <c:formatCode>General</c:formatCode>
                <c:ptCount val="13"/>
                <c:pt idx="0">
                  <c:v>3.8544205010999999</c:v>
                </c:pt>
                <c:pt idx="1">
                  <c:v>3.9261669919000002</c:v>
                </c:pt>
                <c:pt idx="2">
                  <c:v>4.0706291866999997</c:v>
                </c:pt>
                <c:pt idx="3">
                  <c:v>4.1181277321999996</c:v>
                </c:pt>
                <c:pt idx="4">
                  <c:v>4.2085064354000004</c:v>
                </c:pt>
                <c:pt idx="5">
                  <c:v>4.3082104760000002</c:v>
                </c:pt>
                <c:pt idx="6">
                  <c:v>4.6045518776999996</c:v>
                </c:pt>
                <c:pt idx="7">
                  <c:v>4.7565650615999999</c:v>
                </c:pt>
                <c:pt idx="8">
                  <c:v>4.9346925697000001</c:v>
                </c:pt>
                <c:pt idx="9">
                  <c:v>5.3685784115999997</c:v>
                </c:pt>
                <c:pt idx="10">
                  <c:v>5.8184500646000004</c:v>
                </c:pt>
                <c:pt idx="11">
                  <c:v>5.7687831841000001</c:v>
                </c:pt>
                <c:pt idx="12">
                  <c:v>6.0192374897000001</c:v>
                </c:pt>
              </c:numCache>
            </c:numRef>
          </c:val>
          <c:smooth val="0"/>
          <c:extLst>
            <c:ext xmlns:c16="http://schemas.microsoft.com/office/drawing/2014/chart" uri="{C3380CC4-5D6E-409C-BE32-E72D297353CC}">
              <c16:uniqueId val="{00000000-0638-4E92-AFF4-EA660CE29E5E}"/>
            </c:ext>
          </c:extLst>
        </c:ser>
        <c:ser>
          <c:idx val="1"/>
          <c:order val="1"/>
          <c:tx>
            <c:strRef>
              <c:f>'Figuur 2'!$A$12</c:f>
              <c:strCache>
                <c:ptCount val="1"/>
                <c:pt idx="0">
                  <c:v>KOR</c:v>
                </c:pt>
              </c:strCache>
            </c:strRef>
          </c:tx>
          <c:spPr>
            <a:ln w="28575" cap="rnd">
              <a:solidFill>
                <a:schemeClr val="accent2"/>
              </a:solidFill>
              <a:round/>
            </a:ln>
            <a:effectLst/>
          </c:spPr>
          <c:marker>
            <c:symbol val="none"/>
          </c:marker>
          <c:cat>
            <c:strRef>
              <c:f>'Figuur 2'!$B$10:$N$10</c:f>
              <c:strCache>
                <c:ptCount val="13"/>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strCache>
            </c:strRef>
          </c:cat>
          <c:val>
            <c:numRef>
              <c:f>'Figuur 2'!$B$12:$N$12</c:f>
              <c:numCache>
                <c:formatCode>General</c:formatCode>
                <c:ptCount val="13"/>
                <c:pt idx="0">
                  <c:v>3.3157767212999998</c:v>
                </c:pt>
                <c:pt idx="1">
                  <c:v>3.5919852207999998</c:v>
                </c:pt>
                <c:pt idx="2">
                  <c:v>3.850404604</c:v>
                </c:pt>
                <c:pt idx="3">
                  <c:v>3.9512389821</c:v>
                </c:pt>
                <c:pt idx="4">
                  <c:v>4.0778647572000004</c:v>
                </c:pt>
                <c:pt idx="5">
                  <c:v>3.9782002518000001</c:v>
                </c:pt>
                <c:pt idx="6">
                  <c:v>3.9870371806999998</c:v>
                </c:pt>
                <c:pt idx="7">
                  <c:v>4.2920555991000002</c:v>
                </c:pt>
                <c:pt idx="8">
                  <c:v>4.5163338397999997</c:v>
                </c:pt>
                <c:pt idx="9">
                  <c:v>4.6270285805000002</c:v>
                </c:pt>
                <c:pt idx="10">
                  <c:v>4.7957144335999997</c:v>
                </c:pt>
                <c:pt idx="11">
                  <c:v>4.9098796842999999</c:v>
                </c:pt>
                <c:pt idx="12">
                  <c:v>5.2108135952000003</c:v>
                </c:pt>
              </c:numCache>
            </c:numRef>
          </c:val>
          <c:smooth val="0"/>
          <c:extLst>
            <c:ext xmlns:c16="http://schemas.microsoft.com/office/drawing/2014/chart" uri="{C3380CC4-5D6E-409C-BE32-E72D297353CC}">
              <c16:uniqueId val="{00000001-0638-4E92-AFF4-EA660CE29E5E}"/>
            </c:ext>
          </c:extLst>
        </c:ser>
        <c:ser>
          <c:idx val="2"/>
          <c:order val="2"/>
          <c:tx>
            <c:strRef>
              <c:f>'Figuur 2'!$A$13</c:f>
              <c:strCache>
                <c:ptCount val="1"/>
                <c:pt idx="0">
                  <c:v>VS</c:v>
                </c:pt>
              </c:strCache>
            </c:strRef>
          </c:tx>
          <c:spPr>
            <a:ln w="28575" cap="rnd">
              <a:solidFill>
                <a:schemeClr val="accent3"/>
              </a:solidFill>
              <a:round/>
            </a:ln>
            <a:effectLst/>
          </c:spPr>
          <c:marker>
            <c:symbol val="none"/>
          </c:marker>
          <c:cat>
            <c:strRef>
              <c:f>'Figuur 2'!$B$10:$N$10</c:f>
              <c:strCache>
                <c:ptCount val="13"/>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strCache>
            </c:strRef>
          </c:cat>
          <c:val>
            <c:numRef>
              <c:f>'Figuur 2'!$B$13:$N$13</c:f>
              <c:numCache>
                <c:formatCode>General</c:formatCode>
                <c:ptCount val="13"/>
                <c:pt idx="0">
                  <c:v>2.7144380835000002</c:v>
                </c:pt>
                <c:pt idx="1">
                  <c:v>2.7380278070999999</c:v>
                </c:pt>
                <c:pt idx="2">
                  <c:v>2.6727254940999998</c:v>
                </c:pt>
                <c:pt idx="3">
                  <c:v>2.6959157990999998</c:v>
                </c:pt>
                <c:pt idx="4">
                  <c:v>2.7088099832000001</c:v>
                </c:pt>
                <c:pt idx="5">
                  <c:v>2.7732794373999998</c:v>
                </c:pt>
                <c:pt idx="6">
                  <c:v>2.8367639882</c:v>
                </c:pt>
                <c:pt idx="7">
                  <c:v>2.8835715825000001</c:v>
                </c:pt>
                <c:pt idx="8">
                  <c:v>2.9904462108000001</c:v>
                </c:pt>
                <c:pt idx="9">
                  <c:v>3.1470357753</c:v>
                </c:pt>
                <c:pt idx="10">
                  <c:v>3.4246715393999998</c:v>
                </c:pt>
                <c:pt idx="11">
                  <c:v>3.4831309665000001</c:v>
                </c:pt>
                <c:pt idx="12">
                  <c:v>3.5862302938999999</c:v>
                </c:pt>
              </c:numCache>
            </c:numRef>
          </c:val>
          <c:smooth val="0"/>
          <c:extLst>
            <c:ext xmlns:c16="http://schemas.microsoft.com/office/drawing/2014/chart" uri="{C3380CC4-5D6E-409C-BE32-E72D297353CC}">
              <c16:uniqueId val="{00000002-0638-4E92-AFF4-EA660CE29E5E}"/>
            </c:ext>
          </c:extLst>
        </c:ser>
        <c:ser>
          <c:idx val="3"/>
          <c:order val="3"/>
          <c:tx>
            <c:strRef>
              <c:f>'Figuur 2'!$A$14</c:f>
              <c:strCache>
                <c:ptCount val="1"/>
                <c:pt idx="0">
                  <c:v>ZWE</c:v>
                </c:pt>
              </c:strCache>
            </c:strRef>
          </c:tx>
          <c:spPr>
            <a:ln w="28575" cap="rnd">
              <a:solidFill>
                <a:schemeClr val="accent4"/>
              </a:solidFill>
              <a:round/>
            </a:ln>
            <a:effectLst/>
          </c:spPr>
          <c:marker>
            <c:symbol val="none"/>
          </c:marker>
          <c:cat>
            <c:strRef>
              <c:f>'Figuur 2'!$B$10:$N$10</c:f>
              <c:strCache>
                <c:ptCount val="13"/>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strCache>
            </c:strRef>
          </c:cat>
          <c:val>
            <c:numRef>
              <c:f>'Figuur 2'!$B$14:$N$14</c:f>
              <c:numCache>
                <c:formatCode>General</c:formatCode>
                <c:ptCount val="13"/>
                <c:pt idx="0">
                  <c:v>3.1678867780000002</c:v>
                </c:pt>
                <c:pt idx="1">
                  <c:v>3.1870179095000002</c:v>
                </c:pt>
                <c:pt idx="2">
                  <c:v>3.2302490511999999</c:v>
                </c:pt>
                <c:pt idx="3">
                  <c:v>3.260416604</c:v>
                </c:pt>
                <c:pt idx="4">
                  <c:v>3.1018375898000001</c:v>
                </c:pt>
                <c:pt idx="5">
                  <c:v>3.2190345197000001</c:v>
                </c:pt>
                <c:pt idx="6">
                  <c:v>3.2473611171000001</c:v>
                </c:pt>
                <c:pt idx="7">
                  <c:v>3.3627857077000001</c:v>
                </c:pt>
                <c:pt idx="8">
                  <c:v>3.3210612582999999</c:v>
                </c:pt>
                <c:pt idx="9">
                  <c:v>3.3875823107</c:v>
                </c:pt>
                <c:pt idx="10">
                  <c:v>3.4896035317999998</c:v>
                </c:pt>
                <c:pt idx="11">
                  <c:v>3.4021567200999998</c:v>
                </c:pt>
                <c:pt idx="12">
                  <c:v>3.4082219509999998</c:v>
                </c:pt>
              </c:numCache>
            </c:numRef>
          </c:val>
          <c:smooth val="0"/>
          <c:extLst>
            <c:ext xmlns:c16="http://schemas.microsoft.com/office/drawing/2014/chart" uri="{C3380CC4-5D6E-409C-BE32-E72D297353CC}">
              <c16:uniqueId val="{00000003-0638-4E92-AFF4-EA660CE29E5E}"/>
            </c:ext>
          </c:extLst>
        </c:ser>
        <c:ser>
          <c:idx val="4"/>
          <c:order val="4"/>
          <c:tx>
            <c:strRef>
              <c:f>'Figuur 2'!$A$15</c:f>
              <c:strCache>
                <c:ptCount val="1"/>
                <c:pt idx="0">
                  <c:v>BEL</c:v>
                </c:pt>
              </c:strCache>
            </c:strRef>
          </c:tx>
          <c:spPr>
            <a:ln w="28575" cap="rnd">
              <a:solidFill>
                <a:schemeClr val="accent5"/>
              </a:solidFill>
              <a:round/>
            </a:ln>
            <a:effectLst/>
          </c:spPr>
          <c:marker>
            <c:symbol val="none"/>
          </c:marker>
          <c:cat>
            <c:strRef>
              <c:f>'Figuur 2'!$B$10:$N$10</c:f>
              <c:strCache>
                <c:ptCount val="13"/>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strCache>
            </c:strRef>
          </c:cat>
          <c:val>
            <c:numRef>
              <c:f>'Figuur 2'!$B$15:$N$15</c:f>
              <c:numCache>
                <c:formatCode>General</c:formatCode>
                <c:ptCount val="13"/>
                <c:pt idx="0">
                  <c:v>2.0618763943</c:v>
                </c:pt>
                <c:pt idx="1">
                  <c:v>2.1733244177</c:v>
                </c:pt>
                <c:pt idx="2">
                  <c:v>2.2811406339999998</c:v>
                </c:pt>
                <c:pt idx="3">
                  <c:v>2.3307251577999999</c:v>
                </c:pt>
                <c:pt idx="4">
                  <c:v>2.3700163248999999</c:v>
                </c:pt>
                <c:pt idx="5">
                  <c:v>2.4281655881000002</c:v>
                </c:pt>
                <c:pt idx="6">
                  <c:v>2.5233771067999999</c:v>
                </c:pt>
                <c:pt idx="7">
                  <c:v>2.6666617982999998</c:v>
                </c:pt>
                <c:pt idx="8">
                  <c:v>2.8601752240999998</c:v>
                </c:pt>
                <c:pt idx="9">
                  <c:v>3.1566010592999998</c:v>
                </c:pt>
                <c:pt idx="10">
                  <c:v>3.3901868636999999</c:v>
                </c:pt>
                <c:pt idx="11">
                  <c:v>3.3932704453999998</c:v>
                </c:pt>
                <c:pt idx="12">
                  <c:v>3.4064848244000001</c:v>
                </c:pt>
              </c:numCache>
            </c:numRef>
          </c:val>
          <c:smooth val="0"/>
          <c:extLst>
            <c:ext xmlns:c16="http://schemas.microsoft.com/office/drawing/2014/chart" uri="{C3380CC4-5D6E-409C-BE32-E72D297353CC}">
              <c16:uniqueId val="{00000004-0638-4E92-AFF4-EA660CE29E5E}"/>
            </c:ext>
          </c:extLst>
        </c:ser>
        <c:ser>
          <c:idx val="5"/>
          <c:order val="5"/>
          <c:tx>
            <c:strRef>
              <c:f>'Figuur 2'!$A$16</c:f>
              <c:strCache>
                <c:ptCount val="1"/>
                <c:pt idx="0">
                  <c:v>JAP</c:v>
                </c:pt>
              </c:strCache>
            </c:strRef>
          </c:tx>
          <c:spPr>
            <a:ln w="28575" cap="rnd">
              <a:solidFill>
                <a:schemeClr val="accent6"/>
              </a:solidFill>
              <a:round/>
            </a:ln>
            <a:effectLst/>
          </c:spPr>
          <c:marker>
            <c:symbol val="none"/>
          </c:marker>
          <c:cat>
            <c:strRef>
              <c:f>'Figuur 2'!$B$10:$N$10</c:f>
              <c:strCache>
                <c:ptCount val="13"/>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strCache>
            </c:strRef>
          </c:cat>
          <c:val>
            <c:numRef>
              <c:f>'Figuur 2'!$B$16:$N$16</c:f>
              <c:numCache>
                <c:formatCode>General</c:formatCode>
                <c:ptCount val="13"/>
                <c:pt idx="0">
                  <c:v>3.1049513124999999</c:v>
                </c:pt>
                <c:pt idx="1">
                  <c:v>3.2053660184999999</c:v>
                </c:pt>
                <c:pt idx="2">
                  <c:v>3.1737052842</c:v>
                </c:pt>
                <c:pt idx="3">
                  <c:v>3.2789560302999998</c:v>
                </c:pt>
                <c:pt idx="4">
                  <c:v>3.3678751992999998</c:v>
                </c:pt>
                <c:pt idx="5">
                  <c:v>3.2407072958000001</c:v>
                </c:pt>
                <c:pt idx="6">
                  <c:v>3.1066564578000002</c:v>
                </c:pt>
                <c:pt idx="7">
                  <c:v>3.1663561590999998</c:v>
                </c:pt>
                <c:pt idx="8">
                  <c:v>3.2191960155000001</c:v>
                </c:pt>
                <c:pt idx="9">
                  <c:v>3.2182373957000001</c:v>
                </c:pt>
                <c:pt idx="10">
                  <c:v>3.2645758253000001</c:v>
                </c:pt>
                <c:pt idx="11">
                  <c:v>3.2767709295</c:v>
                </c:pt>
                <c:pt idx="12">
                  <c:v>3.4053677072999999</c:v>
                </c:pt>
              </c:numCache>
            </c:numRef>
          </c:val>
          <c:smooth val="0"/>
          <c:extLst>
            <c:ext xmlns:c16="http://schemas.microsoft.com/office/drawing/2014/chart" uri="{C3380CC4-5D6E-409C-BE32-E72D297353CC}">
              <c16:uniqueId val="{00000005-0638-4E92-AFF4-EA660CE29E5E}"/>
            </c:ext>
          </c:extLst>
        </c:ser>
        <c:ser>
          <c:idx val="6"/>
          <c:order val="6"/>
          <c:tx>
            <c:strRef>
              <c:f>'Figuur 2'!$A$17</c:f>
              <c:strCache>
                <c:ptCount val="1"/>
                <c:pt idx="0">
                  <c:v>ZWI</c:v>
                </c:pt>
              </c:strCache>
            </c:strRef>
          </c:tx>
          <c:spPr>
            <a:ln w="28575" cap="rnd">
              <a:solidFill>
                <a:schemeClr val="accent1">
                  <a:lumMod val="60000"/>
                </a:schemeClr>
              </a:solidFill>
              <a:round/>
            </a:ln>
            <a:effectLst/>
          </c:spPr>
          <c:marker>
            <c:symbol val="none"/>
          </c:marker>
          <c:cat>
            <c:strRef>
              <c:f>'Figuur 2'!$B$10:$N$10</c:f>
              <c:strCache>
                <c:ptCount val="13"/>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strCache>
            </c:strRef>
          </c:cat>
          <c:val>
            <c:numRef>
              <c:f>'Figuur 2'!$B$17:$N$17</c:f>
              <c:numCache>
                <c:formatCode>General</c:formatCode>
                <c:ptCount val="13"/>
                <c:pt idx="2">
                  <c:v>2.8745654929</c:v>
                </c:pt>
                <c:pt idx="5">
                  <c:v>3.0783207411000002</c:v>
                </c:pt>
                <c:pt idx="7">
                  <c:v>3.0769761168</c:v>
                </c:pt>
                <c:pt idx="9">
                  <c:v>3.1967991031</c:v>
                </c:pt>
                <c:pt idx="11">
                  <c:v>3.3064505870000001</c:v>
                </c:pt>
              </c:numCache>
            </c:numRef>
          </c:val>
          <c:smooth val="0"/>
          <c:extLst>
            <c:ext xmlns:c16="http://schemas.microsoft.com/office/drawing/2014/chart" uri="{C3380CC4-5D6E-409C-BE32-E72D297353CC}">
              <c16:uniqueId val="{00000006-0638-4E92-AFF4-EA660CE29E5E}"/>
            </c:ext>
          </c:extLst>
        </c:ser>
        <c:ser>
          <c:idx val="7"/>
          <c:order val="7"/>
          <c:tx>
            <c:strRef>
              <c:f>'Figuur 2'!$A$18</c:f>
              <c:strCache>
                <c:ptCount val="1"/>
                <c:pt idx="0">
                  <c:v>DUI</c:v>
                </c:pt>
              </c:strCache>
            </c:strRef>
          </c:tx>
          <c:spPr>
            <a:ln w="28575" cap="rnd">
              <a:solidFill>
                <a:schemeClr val="accent2">
                  <a:lumMod val="60000"/>
                </a:schemeClr>
              </a:solidFill>
              <a:round/>
            </a:ln>
            <a:effectLst/>
          </c:spPr>
          <c:marker>
            <c:symbol val="none"/>
          </c:marker>
          <c:cat>
            <c:strRef>
              <c:f>'Figuur 2'!$B$10:$N$10</c:f>
              <c:strCache>
                <c:ptCount val="13"/>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strCache>
            </c:strRef>
          </c:cat>
          <c:val>
            <c:numRef>
              <c:f>'Figuur 2'!$B$18:$N$18</c:f>
              <c:numCache>
                <c:formatCode>General</c:formatCode>
                <c:ptCount val="13"/>
                <c:pt idx="0">
                  <c:v>2.7302373881999999</c:v>
                </c:pt>
                <c:pt idx="1">
                  <c:v>2.8055462835</c:v>
                </c:pt>
                <c:pt idx="2">
                  <c:v>2.8816555507000001</c:v>
                </c:pt>
                <c:pt idx="3">
                  <c:v>2.8359865474000001</c:v>
                </c:pt>
                <c:pt idx="4">
                  <c:v>2.8778404949</c:v>
                </c:pt>
                <c:pt idx="5">
                  <c:v>2.9337917440000001</c:v>
                </c:pt>
                <c:pt idx="6">
                  <c:v>2.9403891870000001</c:v>
                </c:pt>
                <c:pt idx="7">
                  <c:v>3.0470994992999998</c:v>
                </c:pt>
                <c:pt idx="8">
                  <c:v>3.1101054837</c:v>
                </c:pt>
                <c:pt idx="9">
                  <c:v>3.1670099679999999</c:v>
                </c:pt>
                <c:pt idx="10">
                  <c:v>3.1313579807999998</c:v>
                </c:pt>
                <c:pt idx="11">
                  <c:v>3.1288221813999999</c:v>
                </c:pt>
                <c:pt idx="12">
                  <c:v>3.1323575569000002</c:v>
                </c:pt>
              </c:numCache>
            </c:numRef>
          </c:val>
          <c:smooth val="0"/>
          <c:extLst>
            <c:ext xmlns:c16="http://schemas.microsoft.com/office/drawing/2014/chart" uri="{C3380CC4-5D6E-409C-BE32-E72D297353CC}">
              <c16:uniqueId val="{00000007-0638-4E92-AFF4-EA660CE29E5E}"/>
            </c:ext>
          </c:extLst>
        </c:ser>
        <c:ser>
          <c:idx val="8"/>
          <c:order val="8"/>
          <c:tx>
            <c:strRef>
              <c:f>'Figuur 2'!$A$19</c:f>
              <c:strCache>
                <c:ptCount val="1"/>
                <c:pt idx="0">
                  <c:v>FIN</c:v>
                </c:pt>
              </c:strCache>
            </c:strRef>
          </c:tx>
          <c:spPr>
            <a:ln w="28575" cap="rnd">
              <a:solidFill>
                <a:schemeClr val="accent3">
                  <a:lumMod val="60000"/>
                </a:schemeClr>
              </a:solidFill>
              <a:round/>
            </a:ln>
            <a:effectLst/>
          </c:spPr>
          <c:marker>
            <c:symbol val="none"/>
          </c:marker>
          <c:cat>
            <c:strRef>
              <c:f>'Figuur 2'!$B$10:$N$10</c:f>
              <c:strCache>
                <c:ptCount val="13"/>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strCache>
            </c:strRef>
          </c:cat>
          <c:val>
            <c:numRef>
              <c:f>'Figuur 2'!$B$19:$N$19</c:f>
              <c:numCache>
                <c:formatCode>General</c:formatCode>
                <c:ptCount val="13"/>
                <c:pt idx="0">
                  <c:v>3.7053202616999998</c:v>
                </c:pt>
                <c:pt idx="1">
                  <c:v>3.6180628087</c:v>
                </c:pt>
                <c:pt idx="2">
                  <c:v>3.3983236916999999</c:v>
                </c:pt>
                <c:pt idx="3">
                  <c:v>3.2713720078000001</c:v>
                </c:pt>
                <c:pt idx="4">
                  <c:v>3.1475081804</c:v>
                </c:pt>
                <c:pt idx="5">
                  <c:v>2.8719634790000002</c:v>
                </c:pt>
                <c:pt idx="6">
                  <c:v>2.7244182091</c:v>
                </c:pt>
                <c:pt idx="7">
                  <c:v>2.7278712865000001</c:v>
                </c:pt>
                <c:pt idx="8">
                  <c:v>2.7574937249000002</c:v>
                </c:pt>
                <c:pt idx="9">
                  <c:v>2.7996147721</c:v>
                </c:pt>
                <c:pt idx="10">
                  <c:v>2.9124341492000001</c:v>
                </c:pt>
                <c:pt idx="11">
                  <c:v>2.9885025373</c:v>
                </c:pt>
                <c:pt idx="12">
                  <c:v>2.9646827650000001</c:v>
                </c:pt>
              </c:numCache>
            </c:numRef>
          </c:val>
          <c:smooth val="0"/>
          <c:extLst>
            <c:ext xmlns:c16="http://schemas.microsoft.com/office/drawing/2014/chart" uri="{C3380CC4-5D6E-409C-BE32-E72D297353CC}">
              <c16:uniqueId val="{00000008-0638-4E92-AFF4-EA660CE29E5E}"/>
            </c:ext>
          </c:extLst>
        </c:ser>
        <c:ser>
          <c:idx val="9"/>
          <c:order val="9"/>
          <c:tx>
            <c:strRef>
              <c:f>'Figuur 2'!$A$20</c:f>
              <c:strCache>
                <c:ptCount val="1"/>
                <c:pt idx="0">
                  <c:v>VK</c:v>
                </c:pt>
              </c:strCache>
            </c:strRef>
          </c:tx>
          <c:spPr>
            <a:ln w="28575" cap="rnd">
              <a:solidFill>
                <a:schemeClr val="accent4">
                  <a:lumMod val="60000"/>
                </a:schemeClr>
              </a:solidFill>
              <a:round/>
            </a:ln>
            <a:effectLst/>
          </c:spPr>
          <c:marker>
            <c:symbol val="none"/>
          </c:marker>
          <c:cat>
            <c:strRef>
              <c:f>'Figuur 2'!$B$10:$N$10</c:f>
              <c:strCache>
                <c:ptCount val="13"/>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strCache>
            </c:strRef>
          </c:cat>
          <c:val>
            <c:numRef>
              <c:f>'Figuur 2'!$B$20:$N$20</c:f>
              <c:numCache>
                <c:formatCode>General</c:formatCode>
                <c:ptCount val="13"/>
                <c:pt idx="0">
                  <c:v>1.6388642463</c:v>
                </c:pt>
                <c:pt idx="1">
                  <c:v>1.6468100975</c:v>
                </c:pt>
                <c:pt idx="2">
                  <c:v>1.5758746348999999</c:v>
                </c:pt>
                <c:pt idx="3">
                  <c:v>1.6209572344000001</c:v>
                </c:pt>
                <c:pt idx="4">
                  <c:v>2.2648796196999998</c:v>
                </c:pt>
                <c:pt idx="5">
                  <c:v>2.2756590175999998</c:v>
                </c:pt>
                <c:pt idx="6">
                  <c:v>2.3205164575000001</c:v>
                </c:pt>
                <c:pt idx="7">
                  <c:v>2.3260162633000001</c:v>
                </c:pt>
                <c:pt idx="8">
                  <c:v>2.7112415347000001</c:v>
                </c:pt>
                <c:pt idx="9">
                  <c:v>2.6708034885999998</c:v>
                </c:pt>
                <c:pt idx="10">
                  <c:v>2.9388296659000002</c:v>
                </c:pt>
                <c:pt idx="11">
                  <c:v>2.8971055730000002</c:v>
                </c:pt>
              </c:numCache>
            </c:numRef>
          </c:val>
          <c:smooth val="0"/>
          <c:extLst>
            <c:ext xmlns:c16="http://schemas.microsoft.com/office/drawing/2014/chart" uri="{C3380CC4-5D6E-409C-BE32-E72D297353CC}">
              <c16:uniqueId val="{00000009-0638-4E92-AFF4-EA660CE29E5E}"/>
            </c:ext>
          </c:extLst>
        </c:ser>
        <c:ser>
          <c:idx val="10"/>
          <c:order val="10"/>
          <c:tx>
            <c:strRef>
              <c:f>'Figuur 2'!$A$21</c:f>
              <c:strCache>
                <c:ptCount val="1"/>
                <c:pt idx="0">
                  <c:v>DEN</c:v>
                </c:pt>
              </c:strCache>
            </c:strRef>
          </c:tx>
          <c:spPr>
            <a:ln w="28575" cap="rnd">
              <a:solidFill>
                <a:schemeClr val="accent5">
                  <a:lumMod val="60000"/>
                </a:schemeClr>
              </a:solidFill>
              <a:round/>
            </a:ln>
            <a:effectLst/>
          </c:spPr>
          <c:marker>
            <c:symbol val="none"/>
          </c:marker>
          <c:cat>
            <c:strRef>
              <c:f>'Figuur 2'!$B$10:$N$10</c:f>
              <c:strCache>
                <c:ptCount val="13"/>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strCache>
            </c:strRef>
          </c:cat>
          <c:val>
            <c:numRef>
              <c:f>'Figuur 2'!$B$21:$N$21</c:f>
              <c:numCache>
                <c:formatCode>General</c:formatCode>
                <c:ptCount val="13"/>
                <c:pt idx="0">
                  <c:v>2.9170662764999999</c:v>
                </c:pt>
                <c:pt idx="1">
                  <c:v>2.9446513581999998</c:v>
                </c:pt>
                <c:pt idx="2">
                  <c:v>2.9812471135999998</c:v>
                </c:pt>
                <c:pt idx="3">
                  <c:v>2.9704815359999999</c:v>
                </c:pt>
                <c:pt idx="4">
                  <c:v>2.9140934884999998</c:v>
                </c:pt>
                <c:pt idx="5">
                  <c:v>3.0549664817000002</c:v>
                </c:pt>
                <c:pt idx="6">
                  <c:v>3.0928335625000001</c:v>
                </c:pt>
                <c:pt idx="7">
                  <c:v>2.9312436132999999</c:v>
                </c:pt>
                <c:pt idx="8">
                  <c:v>2.9660284049999999</c:v>
                </c:pt>
                <c:pt idx="9">
                  <c:v>2.8968545375999999</c:v>
                </c:pt>
                <c:pt idx="10">
                  <c:v>2.9725816011999999</c:v>
                </c:pt>
                <c:pt idx="11">
                  <c:v>2.7614218356000002</c:v>
                </c:pt>
                <c:pt idx="12">
                  <c:v>2.8905118073999998</c:v>
                </c:pt>
              </c:numCache>
            </c:numRef>
          </c:val>
          <c:smooth val="0"/>
          <c:extLst>
            <c:ext xmlns:c16="http://schemas.microsoft.com/office/drawing/2014/chart" uri="{C3380CC4-5D6E-409C-BE32-E72D297353CC}">
              <c16:uniqueId val="{0000000A-0638-4E92-AFF4-EA660CE29E5E}"/>
            </c:ext>
          </c:extLst>
        </c:ser>
        <c:ser>
          <c:idx val="11"/>
          <c:order val="11"/>
          <c:tx>
            <c:strRef>
              <c:f>'Figuur 2'!$A$22</c:f>
              <c:strCache>
                <c:ptCount val="1"/>
                <c:pt idx="0">
                  <c:v>Wereldgemiddelde</c:v>
                </c:pt>
              </c:strCache>
            </c:strRef>
          </c:tx>
          <c:spPr>
            <a:ln w="28575" cap="rnd">
              <a:solidFill>
                <a:schemeClr val="accent6">
                  <a:lumMod val="60000"/>
                </a:schemeClr>
              </a:solidFill>
              <a:round/>
            </a:ln>
            <a:effectLst/>
          </c:spPr>
          <c:marker>
            <c:symbol val="none"/>
          </c:marker>
          <c:cat>
            <c:strRef>
              <c:f>'Figuur 2'!$B$10:$N$10</c:f>
              <c:strCache>
                <c:ptCount val="13"/>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strCache>
            </c:strRef>
          </c:cat>
          <c:val>
            <c:numRef>
              <c:f>'Figuur 2'!$B$22:$N$22</c:f>
              <c:numCache>
                <c:formatCode>General</c:formatCode>
                <c:ptCount val="13"/>
                <c:pt idx="0">
                  <c:v>2.0099999999999998</c:v>
                </c:pt>
                <c:pt idx="1">
                  <c:v>1.99</c:v>
                </c:pt>
                <c:pt idx="2">
                  <c:v>2.02</c:v>
                </c:pt>
                <c:pt idx="3">
                  <c:v>1.98</c:v>
                </c:pt>
                <c:pt idx="4">
                  <c:v>2.09</c:v>
                </c:pt>
                <c:pt idx="5">
                  <c:v>2.12</c:v>
                </c:pt>
                <c:pt idx="6">
                  <c:v>2.17</c:v>
                </c:pt>
                <c:pt idx="7">
                  <c:v>2.16</c:v>
                </c:pt>
                <c:pt idx="8">
                  <c:v>2.2400000000000002</c:v>
                </c:pt>
                <c:pt idx="9">
                  <c:v>2.31</c:v>
                </c:pt>
                <c:pt idx="10">
                  <c:v>2.4900000000000002</c:v>
                </c:pt>
                <c:pt idx="11">
                  <c:v>2.71</c:v>
                </c:pt>
              </c:numCache>
            </c:numRef>
          </c:val>
          <c:smooth val="0"/>
          <c:extLst>
            <c:ext xmlns:c16="http://schemas.microsoft.com/office/drawing/2014/chart" uri="{C3380CC4-5D6E-409C-BE32-E72D297353CC}">
              <c16:uniqueId val="{0000000B-0638-4E92-AFF4-EA660CE29E5E}"/>
            </c:ext>
          </c:extLst>
        </c:ser>
        <c:ser>
          <c:idx val="12"/>
          <c:order val="12"/>
          <c:tx>
            <c:strRef>
              <c:f>'Figuur 2'!$A$23</c:f>
              <c:strCache>
                <c:ptCount val="1"/>
                <c:pt idx="0">
                  <c:v>CHI</c:v>
                </c:pt>
              </c:strCache>
            </c:strRef>
          </c:tx>
          <c:spPr>
            <a:ln w="28575" cap="rnd">
              <a:solidFill>
                <a:schemeClr val="accent1">
                  <a:lumMod val="80000"/>
                  <a:lumOff val="20000"/>
                </a:schemeClr>
              </a:solidFill>
              <a:round/>
            </a:ln>
            <a:effectLst/>
          </c:spPr>
          <c:marker>
            <c:symbol val="none"/>
          </c:marker>
          <c:cat>
            <c:strRef>
              <c:f>'Figuur 2'!$B$10:$N$10</c:f>
              <c:strCache>
                <c:ptCount val="13"/>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strCache>
            </c:strRef>
          </c:cat>
          <c:val>
            <c:numRef>
              <c:f>'Figuur 2'!$B$23:$N$23</c:f>
              <c:numCache>
                <c:formatCode>General</c:formatCode>
                <c:ptCount val="13"/>
                <c:pt idx="0">
                  <c:v>1.7137214879</c:v>
                </c:pt>
                <c:pt idx="1">
                  <c:v>1.7803430215</c:v>
                </c:pt>
                <c:pt idx="2">
                  <c:v>1.9121410003999999</c:v>
                </c:pt>
                <c:pt idx="3">
                  <c:v>1.99786394</c:v>
                </c:pt>
                <c:pt idx="4">
                  <c:v>2.0224325602</c:v>
                </c:pt>
                <c:pt idx="5">
                  <c:v>2.0570103702</c:v>
                </c:pt>
                <c:pt idx="6">
                  <c:v>2.1003284198999999</c:v>
                </c:pt>
                <c:pt idx="7">
                  <c:v>2.1160297739999998</c:v>
                </c:pt>
                <c:pt idx="8">
                  <c:v>2.1405780419</c:v>
                </c:pt>
                <c:pt idx="9">
                  <c:v>2.2446260727</c:v>
                </c:pt>
                <c:pt idx="10">
                  <c:v>2.4066600758000001</c:v>
                </c:pt>
                <c:pt idx="11">
                  <c:v>2.4325972162</c:v>
                </c:pt>
              </c:numCache>
            </c:numRef>
          </c:val>
          <c:smooth val="0"/>
          <c:extLst>
            <c:ext xmlns:c16="http://schemas.microsoft.com/office/drawing/2014/chart" uri="{C3380CC4-5D6E-409C-BE32-E72D297353CC}">
              <c16:uniqueId val="{0000000C-0638-4E92-AFF4-EA660CE29E5E}"/>
            </c:ext>
          </c:extLst>
        </c:ser>
        <c:ser>
          <c:idx val="13"/>
          <c:order val="13"/>
          <c:tx>
            <c:strRef>
              <c:f>'Figuur 2'!$A$24</c:f>
              <c:strCache>
                <c:ptCount val="1"/>
                <c:pt idx="0">
                  <c:v>NED</c:v>
                </c:pt>
              </c:strCache>
            </c:strRef>
          </c:tx>
          <c:spPr>
            <a:ln w="28575" cap="rnd">
              <a:solidFill>
                <a:schemeClr val="accent2">
                  <a:lumMod val="80000"/>
                  <a:lumOff val="20000"/>
                </a:schemeClr>
              </a:solidFill>
              <a:round/>
            </a:ln>
            <a:effectLst/>
          </c:spPr>
          <c:marker>
            <c:symbol val="none"/>
          </c:marker>
          <c:cat>
            <c:strRef>
              <c:f>'Figuur 2'!$B$10:$N$10</c:f>
              <c:strCache>
                <c:ptCount val="13"/>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strCache>
            </c:strRef>
          </c:cat>
          <c:val>
            <c:numRef>
              <c:f>'Figuur 2'!$B$24:$N$24</c:f>
              <c:numCache>
                <c:formatCode>General</c:formatCode>
                <c:ptCount val="13"/>
                <c:pt idx="3">
                  <c:v>2.1560632465</c:v>
                </c:pt>
                <c:pt idx="4">
                  <c:v>2.1732979926999998</c:v>
                </c:pt>
                <c:pt idx="5">
                  <c:v>2.1460620746000001</c:v>
                </c:pt>
                <c:pt idx="6">
                  <c:v>2.1508123958000001</c:v>
                </c:pt>
                <c:pt idx="7">
                  <c:v>2.1785662998999999</c:v>
                </c:pt>
                <c:pt idx="8">
                  <c:v>2.1387956128000001</c:v>
                </c:pt>
                <c:pt idx="9">
                  <c:v>2.1843540720000001</c:v>
                </c:pt>
                <c:pt idx="10">
                  <c:v>2.3218208980999999</c:v>
                </c:pt>
                <c:pt idx="11">
                  <c:v>2.2687659016000001</c:v>
                </c:pt>
                <c:pt idx="12">
                  <c:v>2.296222937</c:v>
                </c:pt>
              </c:numCache>
            </c:numRef>
          </c:val>
          <c:smooth val="0"/>
          <c:extLst>
            <c:ext xmlns:c16="http://schemas.microsoft.com/office/drawing/2014/chart" uri="{C3380CC4-5D6E-409C-BE32-E72D297353CC}">
              <c16:uniqueId val="{0000000D-0638-4E92-AFF4-EA660CE29E5E}"/>
            </c:ext>
          </c:extLst>
        </c:ser>
        <c:ser>
          <c:idx val="14"/>
          <c:order val="14"/>
          <c:tx>
            <c:strRef>
              <c:f>'Figuur 2'!$A$25</c:f>
              <c:strCache>
                <c:ptCount val="1"/>
                <c:pt idx="0">
                  <c:v>FRA</c:v>
                </c:pt>
              </c:strCache>
            </c:strRef>
          </c:tx>
          <c:spPr>
            <a:ln w="28575" cap="rnd">
              <a:solidFill>
                <a:schemeClr val="accent3">
                  <a:lumMod val="80000"/>
                  <a:lumOff val="20000"/>
                </a:schemeClr>
              </a:solidFill>
              <a:round/>
            </a:ln>
            <a:effectLst/>
          </c:spPr>
          <c:marker>
            <c:symbol val="none"/>
          </c:marker>
          <c:cat>
            <c:strRef>
              <c:f>'Figuur 2'!$B$10:$N$10</c:f>
              <c:strCache>
                <c:ptCount val="13"/>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strCache>
            </c:strRef>
          </c:cat>
          <c:val>
            <c:numRef>
              <c:f>'Figuur 2'!$B$25:$N$25</c:f>
              <c:numCache>
                <c:formatCode>General</c:formatCode>
                <c:ptCount val="13"/>
                <c:pt idx="0">
                  <c:v>2.1785732192</c:v>
                </c:pt>
                <c:pt idx="1">
                  <c:v>2.1916145258999999</c:v>
                </c:pt>
                <c:pt idx="2">
                  <c:v>2.2270658232999998</c:v>
                </c:pt>
                <c:pt idx="3">
                  <c:v>2.2370251310000002</c:v>
                </c:pt>
                <c:pt idx="4">
                  <c:v>2.27591667</c:v>
                </c:pt>
                <c:pt idx="5">
                  <c:v>2.2270168466000002</c:v>
                </c:pt>
                <c:pt idx="6">
                  <c:v>2.2223838909999998</c:v>
                </c:pt>
                <c:pt idx="7">
                  <c:v>2.1988801354</c:v>
                </c:pt>
                <c:pt idx="8">
                  <c:v>2.1966601024000001</c:v>
                </c:pt>
                <c:pt idx="9">
                  <c:v>2.1917887624999999</c:v>
                </c:pt>
                <c:pt idx="10">
                  <c:v>2.2746373127999999</c:v>
                </c:pt>
                <c:pt idx="11">
                  <c:v>2.2180751986999998</c:v>
                </c:pt>
                <c:pt idx="12">
                  <c:v>2.1755484083000001</c:v>
                </c:pt>
              </c:numCache>
            </c:numRef>
          </c:val>
          <c:smooth val="0"/>
          <c:extLst>
            <c:ext xmlns:c16="http://schemas.microsoft.com/office/drawing/2014/chart" uri="{C3380CC4-5D6E-409C-BE32-E72D297353CC}">
              <c16:uniqueId val="{0000000E-0638-4E92-AFF4-EA660CE29E5E}"/>
            </c:ext>
          </c:extLst>
        </c:ser>
        <c:ser>
          <c:idx val="15"/>
          <c:order val="15"/>
          <c:tx>
            <c:strRef>
              <c:f>'Figuur 2'!$A$26</c:f>
              <c:strCache>
                <c:ptCount val="1"/>
                <c:pt idx="0">
                  <c:v>SIN</c:v>
                </c:pt>
              </c:strCache>
            </c:strRef>
          </c:tx>
          <c:spPr>
            <a:ln w="28575" cap="rnd">
              <a:solidFill>
                <a:schemeClr val="accent4">
                  <a:lumMod val="80000"/>
                  <a:lumOff val="20000"/>
                </a:schemeClr>
              </a:solidFill>
              <a:round/>
            </a:ln>
            <a:effectLst/>
          </c:spPr>
          <c:marker>
            <c:symbol val="none"/>
          </c:marker>
          <c:cat>
            <c:strRef>
              <c:f>'Figuur 2'!$B$10:$N$10</c:f>
              <c:strCache>
                <c:ptCount val="13"/>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strCache>
            </c:strRef>
          </c:cat>
          <c:val>
            <c:numRef>
              <c:f>'Figuur 2'!$B$26:$N$26</c:f>
              <c:numCache>
                <c:formatCode>General</c:formatCode>
                <c:ptCount val="13"/>
                <c:pt idx="0">
                  <c:v>1.9291816230000001</c:v>
                </c:pt>
                <c:pt idx="1">
                  <c:v>2.069548755</c:v>
                </c:pt>
                <c:pt idx="2">
                  <c:v>1.9183340315999999</c:v>
                </c:pt>
                <c:pt idx="3">
                  <c:v>1.9210393735</c:v>
                </c:pt>
                <c:pt idx="4">
                  <c:v>2.082281922</c:v>
                </c:pt>
                <c:pt idx="5">
                  <c:v>2.1744499451000001</c:v>
                </c:pt>
                <c:pt idx="6">
                  <c:v>2.0729126655000001</c:v>
                </c:pt>
                <c:pt idx="7">
                  <c:v>1.8990469250999999</c:v>
                </c:pt>
                <c:pt idx="8">
                  <c:v>1.8095776545</c:v>
                </c:pt>
                <c:pt idx="9">
                  <c:v>1.8850595059999999</c:v>
                </c:pt>
                <c:pt idx="10">
                  <c:v>2.1630497916000002</c:v>
                </c:pt>
              </c:numCache>
            </c:numRef>
          </c:val>
          <c:smooth val="0"/>
          <c:extLst>
            <c:ext xmlns:c16="http://schemas.microsoft.com/office/drawing/2014/chart" uri="{C3380CC4-5D6E-409C-BE32-E72D297353CC}">
              <c16:uniqueId val="{0000000F-0638-4E92-AFF4-EA660CE29E5E}"/>
            </c:ext>
          </c:extLst>
        </c:ser>
        <c:ser>
          <c:idx val="16"/>
          <c:order val="16"/>
          <c:tx>
            <c:strRef>
              <c:f>'Figuur 2'!$A$27</c:f>
              <c:strCache>
                <c:ptCount val="1"/>
                <c:pt idx="0">
                  <c:v>AUS</c:v>
                </c:pt>
              </c:strCache>
            </c:strRef>
          </c:tx>
          <c:spPr>
            <a:ln w="28575" cap="rnd">
              <a:solidFill>
                <a:schemeClr val="accent5">
                  <a:lumMod val="80000"/>
                  <a:lumOff val="20000"/>
                </a:schemeClr>
              </a:solidFill>
              <a:round/>
            </a:ln>
            <a:effectLst/>
          </c:spPr>
          <c:marker>
            <c:symbol val="none"/>
          </c:marker>
          <c:cat>
            <c:strRef>
              <c:f>'Figuur 2'!$B$10:$N$10</c:f>
              <c:strCache>
                <c:ptCount val="13"/>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strCache>
            </c:strRef>
          </c:cat>
          <c:val>
            <c:numRef>
              <c:f>'Figuur 2'!$B$27:$N$27</c:f>
              <c:numCache>
                <c:formatCode>General</c:formatCode>
                <c:ptCount val="13"/>
                <c:pt idx="0">
                  <c:v>2.1791828997999998</c:v>
                </c:pt>
                <c:pt idx="1">
                  <c:v>2.1120670125999998</c:v>
                </c:pt>
                <c:pt idx="3">
                  <c:v>2.0923676076</c:v>
                </c:pt>
                <c:pt idx="5">
                  <c:v>1.8794576765</c:v>
                </c:pt>
                <c:pt idx="7">
                  <c:v>1.7924368727</c:v>
                </c:pt>
                <c:pt idx="9">
                  <c:v>1.7939149389</c:v>
                </c:pt>
                <c:pt idx="11">
                  <c:v>1.6608371003</c:v>
                </c:pt>
              </c:numCache>
            </c:numRef>
          </c:val>
          <c:smooth val="0"/>
          <c:extLst>
            <c:ext xmlns:c16="http://schemas.microsoft.com/office/drawing/2014/chart" uri="{C3380CC4-5D6E-409C-BE32-E72D297353CC}">
              <c16:uniqueId val="{00000010-0638-4E92-AFF4-EA660CE29E5E}"/>
            </c:ext>
          </c:extLst>
        </c:ser>
        <c:ser>
          <c:idx val="17"/>
          <c:order val="17"/>
          <c:tx>
            <c:strRef>
              <c:f>'Figuur 2'!$A$28</c:f>
              <c:strCache>
                <c:ptCount val="1"/>
                <c:pt idx="0">
                  <c:v>NOO</c:v>
                </c:pt>
              </c:strCache>
            </c:strRef>
          </c:tx>
          <c:spPr>
            <a:ln w="28575" cap="rnd">
              <a:solidFill>
                <a:schemeClr val="accent6">
                  <a:lumMod val="80000"/>
                  <a:lumOff val="20000"/>
                </a:schemeClr>
              </a:solidFill>
              <a:round/>
            </a:ln>
            <a:effectLst/>
          </c:spPr>
          <c:marker>
            <c:symbol val="none"/>
          </c:marker>
          <c:cat>
            <c:strRef>
              <c:f>'Figuur 2'!$B$10:$N$10</c:f>
              <c:strCache>
                <c:ptCount val="13"/>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strCache>
            </c:strRef>
          </c:cat>
          <c:val>
            <c:numRef>
              <c:f>'Figuur 2'!$B$28:$N$28</c:f>
              <c:numCache>
                <c:formatCode>General</c:formatCode>
                <c:ptCount val="13"/>
                <c:pt idx="0">
                  <c:v>1.6412030471000001</c:v>
                </c:pt>
                <c:pt idx="1">
                  <c:v>1.6171369455</c:v>
                </c:pt>
                <c:pt idx="2">
                  <c:v>1.6105323286</c:v>
                </c:pt>
                <c:pt idx="3">
                  <c:v>1.6421585362</c:v>
                </c:pt>
                <c:pt idx="4">
                  <c:v>1.7036912166</c:v>
                </c:pt>
                <c:pt idx="5">
                  <c:v>1.9235041530000001</c:v>
                </c:pt>
                <c:pt idx="6">
                  <c:v>2.0328654844999998</c:v>
                </c:pt>
                <c:pt idx="7">
                  <c:v>2.0816748682999999</c:v>
                </c:pt>
                <c:pt idx="8">
                  <c:v>2.0348232013000001</c:v>
                </c:pt>
                <c:pt idx="9">
                  <c:v>2.1359951537000001</c:v>
                </c:pt>
                <c:pt idx="10">
                  <c:v>2.2443627539</c:v>
                </c:pt>
                <c:pt idx="11">
                  <c:v>1.8876381927000001</c:v>
                </c:pt>
                <c:pt idx="12">
                  <c:v>1.5575224194999999</c:v>
                </c:pt>
              </c:numCache>
            </c:numRef>
          </c:val>
          <c:smooth val="0"/>
          <c:extLst>
            <c:ext xmlns:c16="http://schemas.microsoft.com/office/drawing/2014/chart" uri="{C3380CC4-5D6E-409C-BE32-E72D297353CC}">
              <c16:uniqueId val="{00000011-0638-4E92-AFF4-EA660CE29E5E}"/>
            </c:ext>
          </c:extLst>
        </c:ser>
        <c:ser>
          <c:idx val="18"/>
          <c:order val="18"/>
          <c:tx>
            <c:strRef>
              <c:f>'Figuur 2'!$A$29</c:f>
              <c:strCache>
                <c:ptCount val="1"/>
                <c:pt idx="0">
                  <c:v>POL</c:v>
                </c:pt>
              </c:strCache>
            </c:strRef>
          </c:tx>
          <c:spPr>
            <a:ln w="28575" cap="rnd">
              <a:solidFill>
                <a:schemeClr val="accent1">
                  <a:lumMod val="80000"/>
                </a:schemeClr>
              </a:solidFill>
              <a:round/>
            </a:ln>
            <a:effectLst/>
          </c:spPr>
          <c:marker>
            <c:symbol val="none"/>
          </c:marker>
          <c:cat>
            <c:strRef>
              <c:f>'Figuur 2'!$B$10:$N$10</c:f>
              <c:strCache>
                <c:ptCount val="13"/>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strCache>
            </c:strRef>
          </c:cat>
          <c:val>
            <c:numRef>
              <c:f>'Figuur 2'!$B$29:$N$29</c:f>
              <c:numCache>
                <c:formatCode>General</c:formatCode>
                <c:ptCount val="13"/>
                <c:pt idx="0">
                  <c:v>0.72618742189999996</c:v>
                </c:pt>
                <c:pt idx="1">
                  <c:v>0.75221367100000003</c:v>
                </c:pt>
                <c:pt idx="2">
                  <c:v>0.8899704168</c:v>
                </c:pt>
                <c:pt idx="3">
                  <c:v>0.88482730779999996</c:v>
                </c:pt>
                <c:pt idx="4">
                  <c:v>0.95076187030000003</c:v>
                </c:pt>
                <c:pt idx="5">
                  <c:v>1.0042252558</c:v>
                </c:pt>
                <c:pt idx="6">
                  <c:v>0.96821452559999999</c:v>
                </c:pt>
                <c:pt idx="7">
                  <c:v>1.0378536549999999</c:v>
                </c:pt>
                <c:pt idx="8">
                  <c:v>1.2061001285999999</c:v>
                </c:pt>
                <c:pt idx="9">
                  <c:v>1.3233527581</c:v>
                </c:pt>
                <c:pt idx="10">
                  <c:v>1.3860836379000001</c:v>
                </c:pt>
                <c:pt idx="11">
                  <c:v>1.4318329557</c:v>
                </c:pt>
                <c:pt idx="12">
                  <c:v>1.4572929768</c:v>
                </c:pt>
              </c:numCache>
            </c:numRef>
          </c:val>
          <c:smooth val="0"/>
          <c:extLst>
            <c:ext xmlns:c16="http://schemas.microsoft.com/office/drawing/2014/chart" uri="{C3380CC4-5D6E-409C-BE32-E72D297353CC}">
              <c16:uniqueId val="{00000012-0638-4E92-AFF4-EA660CE29E5E}"/>
            </c:ext>
          </c:extLst>
        </c:ser>
        <c:ser>
          <c:idx val="19"/>
          <c:order val="19"/>
          <c:tx>
            <c:strRef>
              <c:f>'Figuur 2'!$A$30</c:f>
              <c:strCache>
                <c:ptCount val="1"/>
                <c:pt idx="0">
                  <c:v>SPA</c:v>
                </c:pt>
              </c:strCache>
            </c:strRef>
          </c:tx>
          <c:spPr>
            <a:ln w="28575" cap="rnd">
              <a:solidFill>
                <a:schemeClr val="accent2">
                  <a:lumMod val="80000"/>
                </a:schemeClr>
              </a:solidFill>
              <a:round/>
            </a:ln>
            <a:effectLst/>
          </c:spPr>
          <c:marker>
            <c:symbol val="none"/>
          </c:marker>
          <c:cat>
            <c:strRef>
              <c:f>'Figuur 2'!$B$10:$N$10</c:f>
              <c:strCache>
                <c:ptCount val="13"/>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strCache>
            </c:strRef>
          </c:cat>
          <c:val>
            <c:numRef>
              <c:f>'Figuur 2'!$B$30:$N$30</c:f>
              <c:numCache>
                <c:formatCode>General</c:formatCode>
                <c:ptCount val="13"/>
                <c:pt idx="0">
                  <c:v>1.3599638858</c:v>
                </c:pt>
                <c:pt idx="1">
                  <c:v>1.3334074037000001</c:v>
                </c:pt>
                <c:pt idx="2">
                  <c:v>1.2987639268</c:v>
                </c:pt>
                <c:pt idx="3">
                  <c:v>1.2748203398</c:v>
                </c:pt>
                <c:pt idx="4">
                  <c:v>1.2415898773</c:v>
                </c:pt>
                <c:pt idx="5">
                  <c:v>1.221788122</c:v>
                </c:pt>
                <c:pt idx="6">
                  <c:v>1.1898566070000001</c:v>
                </c:pt>
                <c:pt idx="7">
                  <c:v>1.2097669575000001</c:v>
                </c:pt>
                <c:pt idx="8">
                  <c:v>1.2415075187</c:v>
                </c:pt>
                <c:pt idx="9">
                  <c:v>1.2502478898</c:v>
                </c:pt>
                <c:pt idx="10">
                  <c:v>1.409102689</c:v>
                </c:pt>
                <c:pt idx="11">
                  <c:v>1.4112239755</c:v>
                </c:pt>
                <c:pt idx="12">
                  <c:v>1.4353152943</c:v>
                </c:pt>
              </c:numCache>
            </c:numRef>
          </c:val>
          <c:smooth val="0"/>
          <c:extLst>
            <c:ext xmlns:c16="http://schemas.microsoft.com/office/drawing/2014/chart" uri="{C3380CC4-5D6E-409C-BE32-E72D297353CC}">
              <c16:uniqueId val="{00000013-0638-4E92-AFF4-EA660CE29E5E}"/>
            </c:ext>
          </c:extLst>
        </c:ser>
        <c:ser>
          <c:idx val="20"/>
          <c:order val="20"/>
          <c:tx>
            <c:strRef>
              <c:f>'Figuur 2'!$A$31</c:f>
              <c:strCache>
                <c:ptCount val="1"/>
                <c:pt idx="0">
                  <c:v>ITA</c:v>
                </c:pt>
              </c:strCache>
            </c:strRef>
          </c:tx>
          <c:spPr>
            <a:ln w="28575" cap="rnd">
              <a:solidFill>
                <a:schemeClr val="accent3">
                  <a:lumMod val="80000"/>
                </a:schemeClr>
              </a:solidFill>
              <a:round/>
            </a:ln>
            <a:effectLst/>
          </c:spPr>
          <c:marker>
            <c:symbol val="none"/>
          </c:marker>
          <c:cat>
            <c:strRef>
              <c:f>'Figuur 2'!$B$10:$N$10</c:f>
              <c:strCache>
                <c:ptCount val="13"/>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strCache>
            </c:strRef>
          </c:cat>
          <c:val>
            <c:numRef>
              <c:f>'Figuur 2'!$B$31:$N$31</c:f>
              <c:numCache>
                <c:formatCode>General</c:formatCode>
                <c:ptCount val="13"/>
                <c:pt idx="0">
                  <c:v>1.2179700180999999</c:v>
                </c:pt>
                <c:pt idx="1">
                  <c:v>1.2015484646000001</c:v>
                </c:pt>
                <c:pt idx="2">
                  <c:v>1.2621904262999999</c:v>
                </c:pt>
                <c:pt idx="3">
                  <c:v>1.3010747534</c:v>
                </c:pt>
                <c:pt idx="4">
                  <c:v>1.3384048205000001</c:v>
                </c:pt>
                <c:pt idx="5">
                  <c:v>1.3385044295999999</c:v>
                </c:pt>
                <c:pt idx="6">
                  <c:v>1.3664224772</c:v>
                </c:pt>
                <c:pt idx="7">
                  <c:v>1.3701340925000001</c:v>
                </c:pt>
                <c:pt idx="8">
                  <c:v>1.4244308654</c:v>
                </c:pt>
                <c:pt idx="9">
                  <c:v>1.4615914577</c:v>
                </c:pt>
                <c:pt idx="10">
                  <c:v>1.5066010940000001</c:v>
                </c:pt>
                <c:pt idx="11">
                  <c:v>1.4265785391000001</c:v>
                </c:pt>
                <c:pt idx="12">
                  <c:v>1.3202802278000001</c:v>
                </c:pt>
              </c:numCache>
            </c:numRef>
          </c:val>
          <c:smooth val="0"/>
          <c:extLst>
            <c:ext xmlns:c16="http://schemas.microsoft.com/office/drawing/2014/chart" uri="{C3380CC4-5D6E-409C-BE32-E72D297353CC}">
              <c16:uniqueId val="{00000014-0638-4E92-AFF4-EA660CE29E5E}"/>
            </c:ext>
          </c:extLst>
        </c:ser>
        <c:ser>
          <c:idx val="21"/>
          <c:order val="21"/>
          <c:tx>
            <c:strRef>
              <c:f>'Figuur 2'!$A$32</c:f>
              <c:strCache>
                <c:ptCount val="1"/>
                <c:pt idx="0">
                  <c:v>IER</c:v>
                </c:pt>
              </c:strCache>
            </c:strRef>
          </c:tx>
          <c:spPr>
            <a:ln w="28575" cap="rnd">
              <a:solidFill>
                <a:schemeClr val="accent4">
                  <a:lumMod val="80000"/>
                </a:schemeClr>
              </a:solidFill>
              <a:round/>
            </a:ln>
            <a:effectLst/>
          </c:spPr>
          <c:marker>
            <c:symbol val="none"/>
          </c:marker>
          <c:cat>
            <c:strRef>
              <c:f>'Figuur 2'!$B$10:$N$10</c:f>
              <c:strCache>
                <c:ptCount val="13"/>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strCache>
            </c:strRef>
          </c:cat>
          <c:val>
            <c:numRef>
              <c:f>'Figuur 2'!$B$32:$N$32</c:f>
              <c:numCache>
                <c:formatCode>General</c:formatCode>
                <c:ptCount val="13"/>
                <c:pt idx="0">
                  <c:v>1.5947683403999999</c:v>
                </c:pt>
                <c:pt idx="1">
                  <c:v>1.5515338888000001</c:v>
                </c:pt>
                <c:pt idx="2">
                  <c:v>1.5602760571000001</c:v>
                </c:pt>
                <c:pt idx="3">
                  <c:v>1.5690828369000001</c:v>
                </c:pt>
                <c:pt idx="4">
                  <c:v>1.5179832583999999</c:v>
                </c:pt>
                <c:pt idx="5">
                  <c:v>1.1797417056999999</c:v>
                </c:pt>
                <c:pt idx="6">
                  <c:v>1.1771626208999999</c:v>
                </c:pt>
                <c:pt idx="7">
                  <c:v>1.2486598021999999</c:v>
                </c:pt>
                <c:pt idx="8">
                  <c:v>1.1069848195000001</c:v>
                </c:pt>
                <c:pt idx="9">
                  <c:v>1.1606809664</c:v>
                </c:pt>
                <c:pt idx="10">
                  <c:v>1.1455087557999999</c:v>
                </c:pt>
                <c:pt idx="11">
                  <c:v>1.1106451914</c:v>
                </c:pt>
                <c:pt idx="12">
                  <c:v>0.96264202060000004</c:v>
                </c:pt>
              </c:numCache>
            </c:numRef>
          </c:val>
          <c:smooth val="0"/>
          <c:extLst>
            <c:ext xmlns:c16="http://schemas.microsoft.com/office/drawing/2014/chart" uri="{C3380CC4-5D6E-409C-BE32-E72D297353CC}">
              <c16:uniqueId val="{00000015-0638-4E92-AFF4-EA660CE29E5E}"/>
            </c:ext>
          </c:extLst>
        </c:ser>
        <c:ser>
          <c:idx val="22"/>
          <c:order val="22"/>
          <c:tx>
            <c:strRef>
              <c:f>'Figuur 2'!$A$33</c:f>
              <c:strCache>
                <c:ptCount val="1"/>
                <c:pt idx="0">
                  <c:v>ZAF</c:v>
                </c:pt>
              </c:strCache>
            </c:strRef>
          </c:tx>
          <c:spPr>
            <a:ln w="28575" cap="rnd">
              <a:solidFill>
                <a:schemeClr val="accent5">
                  <a:lumMod val="80000"/>
                </a:schemeClr>
              </a:solidFill>
              <a:round/>
            </a:ln>
            <a:effectLst/>
          </c:spPr>
          <c:marker>
            <c:symbol val="none"/>
          </c:marker>
          <c:cat>
            <c:strRef>
              <c:f>'Figuur 2'!$B$10:$N$10</c:f>
              <c:strCache>
                <c:ptCount val="13"/>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strCache>
            </c:strRef>
          </c:cat>
          <c:val>
            <c:numRef>
              <c:f>'Figuur 2'!$B$33:$N$33</c:f>
              <c:numCache>
                <c:formatCode>General</c:formatCode>
                <c:ptCount val="13"/>
                <c:pt idx="0">
                  <c:v>0.66283928879999998</c:v>
                </c:pt>
                <c:pt idx="1">
                  <c:v>0.66753481680000004</c:v>
                </c:pt>
                <c:pt idx="2">
                  <c:v>0.6693393607</c:v>
                </c:pt>
                <c:pt idx="3">
                  <c:v>0.66329880050000001</c:v>
                </c:pt>
                <c:pt idx="4">
                  <c:v>0.70986638469999996</c:v>
                </c:pt>
                <c:pt idx="5">
                  <c:v>0.73146795870000003</c:v>
                </c:pt>
                <c:pt idx="6">
                  <c:v>0.74992267859999995</c:v>
                </c:pt>
                <c:pt idx="7">
                  <c:v>0.76256673880000003</c:v>
                </c:pt>
                <c:pt idx="8">
                  <c:v>0.68585982099999998</c:v>
                </c:pt>
                <c:pt idx="9">
                  <c:v>0.61304171029999999</c:v>
                </c:pt>
                <c:pt idx="10">
                  <c:v>0.60239746199999999</c:v>
                </c:pt>
              </c:numCache>
            </c:numRef>
          </c:val>
          <c:smooth val="0"/>
          <c:extLst>
            <c:ext xmlns:c16="http://schemas.microsoft.com/office/drawing/2014/chart" uri="{C3380CC4-5D6E-409C-BE32-E72D297353CC}">
              <c16:uniqueId val="{00000016-0638-4E92-AFF4-EA660CE29E5E}"/>
            </c:ext>
          </c:extLst>
        </c:ser>
        <c:ser>
          <c:idx val="23"/>
          <c:order val="23"/>
          <c:tx>
            <c:strRef>
              <c:f>'Figuur 2'!$A$34</c:f>
              <c:strCache>
                <c:ptCount val="1"/>
                <c:pt idx="0">
                  <c:v>IND</c:v>
                </c:pt>
              </c:strCache>
            </c:strRef>
          </c:tx>
          <c:spPr>
            <a:ln w="28575" cap="rnd">
              <a:solidFill>
                <a:schemeClr val="accent6">
                  <a:lumMod val="80000"/>
                </a:schemeClr>
              </a:solidFill>
              <a:round/>
            </a:ln>
            <a:effectLst/>
          </c:spPr>
          <c:marker>
            <c:symbol val="none"/>
          </c:marker>
          <c:cat>
            <c:strRef>
              <c:f>'Figuur 2'!$B$10:$N$10</c:f>
              <c:strCache>
                <c:ptCount val="13"/>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strCache>
            </c:strRef>
          </c:cat>
          <c:val>
            <c:numRef>
              <c:f>'Figuur 2'!$B$34:$N$34</c:f>
              <c:numCache>
                <c:formatCode>General</c:formatCode>
                <c:ptCount val="13"/>
                <c:pt idx="0">
                  <c:v>0.8</c:v>
                </c:pt>
                <c:pt idx="1">
                  <c:v>0.8</c:v>
                </c:pt>
                <c:pt idx="2">
                  <c:v>0.7</c:v>
                </c:pt>
                <c:pt idx="3">
                  <c:v>0.7</c:v>
                </c:pt>
                <c:pt idx="4">
                  <c:v>0.7</c:v>
                </c:pt>
                <c:pt idx="5">
                  <c:v>0.7</c:v>
                </c:pt>
                <c:pt idx="6">
                  <c:v>0.7</c:v>
                </c:pt>
                <c:pt idx="7">
                  <c:v>0.7</c:v>
                </c:pt>
                <c:pt idx="8">
                  <c:v>0.7</c:v>
                </c:pt>
                <c:pt idx="9">
                  <c:v>0.7</c:v>
                </c:pt>
                <c:pt idx="10" formatCode="0.0">
                  <c:v>0.6</c:v>
                </c:pt>
              </c:numCache>
            </c:numRef>
          </c:val>
          <c:smooth val="0"/>
          <c:extLst>
            <c:ext xmlns:c16="http://schemas.microsoft.com/office/drawing/2014/chart" uri="{C3380CC4-5D6E-409C-BE32-E72D297353CC}">
              <c16:uniqueId val="{00000017-0638-4E92-AFF4-EA660CE29E5E}"/>
            </c:ext>
          </c:extLst>
        </c:ser>
        <c:ser>
          <c:idx val="24"/>
          <c:order val="24"/>
          <c:tx>
            <c:strRef>
              <c:f>'Figuur 2'!$A$35</c:f>
              <c:strCache>
                <c:ptCount val="1"/>
                <c:pt idx="0">
                  <c:v>IDN</c:v>
                </c:pt>
              </c:strCache>
            </c:strRef>
          </c:tx>
          <c:spPr>
            <a:ln w="28575" cap="rnd">
              <a:solidFill>
                <a:schemeClr val="accent1">
                  <a:lumMod val="60000"/>
                  <a:lumOff val="40000"/>
                </a:schemeClr>
              </a:solidFill>
              <a:round/>
            </a:ln>
            <a:effectLst/>
          </c:spPr>
          <c:marker>
            <c:symbol val="none"/>
          </c:marker>
          <c:cat>
            <c:strRef>
              <c:f>'Figuur 2'!$B$10:$N$10</c:f>
              <c:strCache>
                <c:ptCount val="13"/>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strCache>
            </c:strRef>
          </c:cat>
          <c:val>
            <c:numRef>
              <c:f>'Figuur 2'!$B$35:$N$35</c:f>
              <c:numCache>
                <c:formatCode>General</c:formatCode>
                <c:ptCount val="13"/>
                <c:pt idx="3">
                  <c:v>8.4699999999999998E-2</c:v>
                </c:pt>
                <c:pt idx="6">
                  <c:v>0.24535000000000001</c:v>
                </c:pt>
                <c:pt idx="7">
                  <c:v>0.23805000000000001</c:v>
                </c:pt>
                <c:pt idx="8">
                  <c:v>0.22631999999999999</c:v>
                </c:pt>
                <c:pt idx="9">
                  <c:v>0.27128999999999998</c:v>
                </c:pt>
                <c:pt idx="10">
                  <c:v>0.28067999999999999</c:v>
                </c:pt>
              </c:numCache>
            </c:numRef>
          </c:val>
          <c:smooth val="0"/>
          <c:extLst>
            <c:ext xmlns:c16="http://schemas.microsoft.com/office/drawing/2014/chart" uri="{C3380CC4-5D6E-409C-BE32-E72D297353CC}">
              <c16:uniqueId val="{00000018-0638-4E92-AFF4-EA660CE29E5E}"/>
            </c:ext>
          </c:extLst>
        </c:ser>
        <c:dLbls>
          <c:showLegendKey val="0"/>
          <c:showVal val="0"/>
          <c:showCatName val="0"/>
          <c:showSerName val="0"/>
          <c:showPercent val="0"/>
          <c:showBubbleSize val="0"/>
        </c:dLbls>
        <c:smooth val="0"/>
        <c:axId val="858359448"/>
        <c:axId val="858361248"/>
      </c:lineChart>
      <c:catAx>
        <c:axId val="8583594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858361248"/>
        <c:crosses val="autoZero"/>
        <c:auto val="1"/>
        <c:lblAlgn val="ctr"/>
        <c:lblOffset val="100"/>
        <c:noMultiLvlLbl val="0"/>
      </c:catAx>
      <c:valAx>
        <c:axId val="85836124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8583594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N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'Figuur 9 '!$B$59</c:f>
              <c:strCache>
                <c:ptCount val="1"/>
                <c:pt idx="0">
                  <c:v>Aantal studenten meeste recente jaar (linkeras)</c:v>
                </c:pt>
              </c:strCache>
            </c:strRef>
          </c:tx>
          <c:spPr>
            <a:solidFill>
              <a:schemeClr val="accent1"/>
            </a:solidFill>
            <a:ln>
              <a:noFill/>
            </a:ln>
            <a:effectLst/>
          </c:spPr>
          <c:invertIfNegative val="0"/>
          <c:cat>
            <c:strRef>
              <c:f>'Figuur 9 '!$A$60:$A$80</c:f>
              <c:strCache>
                <c:ptCount val="21"/>
                <c:pt idx="0">
                  <c:v>BEL</c:v>
                </c:pt>
                <c:pt idx="1">
                  <c:v>VK</c:v>
                </c:pt>
                <c:pt idx="2">
                  <c:v>DUI</c:v>
                </c:pt>
                <c:pt idx="3">
                  <c:v>VS</c:v>
                </c:pt>
                <c:pt idx="4">
                  <c:v>ZWI</c:v>
                </c:pt>
                <c:pt idx="5">
                  <c:v>DEN</c:v>
                </c:pt>
                <c:pt idx="6">
                  <c:v>FRA</c:v>
                </c:pt>
                <c:pt idx="7">
                  <c:v>CAN</c:v>
                </c:pt>
                <c:pt idx="8">
                  <c:v>AUS</c:v>
                </c:pt>
                <c:pt idx="9">
                  <c:v>ITA</c:v>
                </c:pt>
                <c:pt idx="10">
                  <c:v>IER</c:v>
                </c:pt>
                <c:pt idx="11">
                  <c:v>NOO</c:v>
                </c:pt>
                <c:pt idx="12">
                  <c:v>FIN</c:v>
                </c:pt>
                <c:pt idx="13">
                  <c:v>JAP</c:v>
                </c:pt>
                <c:pt idx="14">
                  <c:v>ZAF</c:v>
                </c:pt>
                <c:pt idx="15">
                  <c:v>ISR</c:v>
                </c:pt>
                <c:pt idx="16">
                  <c:v>BRA</c:v>
                </c:pt>
                <c:pt idx="17">
                  <c:v>IDN</c:v>
                </c:pt>
                <c:pt idx="18">
                  <c:v>KOR</c:v>
                </c:pt>
                <c:pt idx="19">
                  <c:v>POL</c:v>
                </c:pt>
                <c:pt idx="20">
                  <c:v>IND</c:v>
                </c:pt>
              </c:strCache>
            </c:strRef>
          </c:cat>
          <c:val>
            <c:numRef>
              <c:f>'Figuur 9 '!$B$60:$B$80</c:f>
              <c:numCache>
                <c:formatCode>General</c:formatCode>
                <c:ptCount val="21"/>
                <c:pt idx="0">
                  <c:v>4275</c:v>
                </c:pt>
                <c:pt idx="1">
                  <c:v>3669</c:v>
                </c:pt>
                <c:pt idx="2">
                  <c:v>2162</c:v>
                </c:pt>
                <c:pt idx="3">
                  <c:v>2086</c:v>
                </c:pt>
                <c:pt idx="4">
                  <c:v>534</c:v>
                </c:pt>
                <c:pt idx="5">
                  <c:v>489</c:v>
                </c:pt>
                <c:pt idx="6">
                  <c:v>464</c:v>
                </c:pt>
                <c:pt idx="7">
                  <c:v>396</c:v>
                </c:pt>
                <c:pt idx="8">
                  <c:v>350</c:v>
                </c:pt>
                <c:pt idx="9">
                  <c:v>252</c:v>
                </c:pt>
                <c:pt idx="10">
                  <c:v>210</c:v>
                </c:pt>
                <c:pt idx="11">
                  <c:v>198</c:v>
                </c:pt>
                <c:pt idx="12">
                  <c:v>179</c:v>
                </c:pt>
                <c:pt idx="13">
                  <c:v>178</c:v>
                </c:pt>
                <c:pt idx="14">
                  <c:v>85</c:v>
                </c:pt>
                <c:pt idx="15">
                  <c:v>79</c:v>
                </c:pt>
                <c:pt idx="16">
                  <c:v>55</c:v>
                </c:pt>
                <c:pt idx="17">
                  <c:v>45</c:v>
                </c:pt>
                <c:pt idx="18">
                  <c:v>30</c:v>
                </c:pt>
                <c:pt idx="19">
                  <c:v>28</c:v>
                </c:pt>
                <c:pt idx="20">
                  <c:v>15</c:v>
                </c:pt>
              </c:numCache>
            </c:numRef>
          </c:val>
          <c:extLst>
            <c:ext xmlns:c16="http://schemas.microsoft.com/office/drawing/2014/chart" uri="{C3380CC4-5D6E-409C-BE32-E72D297353CC}">
              <c16:uniqueId val="{00000000-A301-4795-9898-30E70F621F02}"/>
            </c:ext>
          </c:extLst>
        </c:ser>
        <c:dLbls>
          <c:showLegendKey val="0"/>
          <c:showVal val="0"/>
          <c:showCatName val="0"/>
          <c:showSerName val="0"/>
          <c:showPercent val="0"/>
          <c:showBubbleSize val="0"/>
        </c:dLbls>
        <c:gapWidth val="219"/>
        <c:overlap val="-27"/>
        <c:axId val="683779112"/>
        <c:axId val="683781272"/>
      </c:barChart>
      <c:lineChart>
        <c:grouping val="standard"/>
        <c:varyColors val="0"/>
        <c:ser>
          <c:idx val="1"/>
          <c:order val="1"/>
          <c:tx>
            <c:strRef>
              <c:f>'Figuur 9 '!$C$59</c:f>
              <c:strCache>
                <c:ptCount val="1"/>
                <c:pt idx="0">
                  <c:v>Gemiddelde jaarlijkse groei (rechteras, %)</c:v>
                </c:pt>
              </c:strCache>
            </c:strRef>
          </c:tx>
          <c:spPr>
            <a:ln w="28575" cap="rnd">
              <a:noFill/>
              <a:round/>
            </a:ln>
            <a:effectLst/>
          </c:spPr>
          <c:marker>
            <c:symbol val="triangle"/>
            <c:size val="8"/>
            <c:spPr>
              <a:solidFill>
                <a:schemeClr val="accent2"/>
              </a:solidFill>
              <a:ln w="9525">
                <a:solidFill>
                  <a:schemeClr val="accent2"/>
                </a:solidFill>
              </a:ln>
              <a:effectLst/>
            </c:spPr>
          </c:marker>
          <c:dPt>
            <c:idx val="6"/>
            <c:marker>
              <c:symbol val="diamond"/>
              <c:size val="8"/>
              <c:spPr>
                <a:solidFill>
                  <a:srgbClr val="FF0000"/>
                </a:solidFill>
                <a:ln w="9525">
                  <a:solidFill>
                    <a:srgbClr val="FF0000"/>
                  </a:solidFill>
                </a:ln>
                <a:effectLst/>
              </c:spPr>
            </c:marker>
            <c:bubble3D val="0"/>
            <c:extLst>
              <c:ext xmlns:c16="http://schemas.microsoft.com/office/drawing/2014/chart" uri="{C3380CC4-5D6E-409C-BE32-E72D297353CC}">
                <c16:uniqueId val="{00000029-A301-4795-9898-30E70F621F02}"/>
              </c:ext>
            </c:extLst>
          </c:dPt>
          <c:dPt>
            <c:idx val="14"/>
            <c:marker>
              <c:symbol val="diamond"/>
              <c:size val="8"/>
              <c:spPr>
                <a:solidFill>
                  <a:srgbClr val="FF0000"/>
                </a:solidFill>
                <a:ln w="9525">
                  <a:solidFill>
                    <a:srgbClr val="FF0000"/>
                  </a:solidFill>
                </a:ln>
                <a:effectLst/>
              </c:spPr>
            </c:marker>
            <c:bubble3D val="0"/>
            <c:extLst>
              <c:ext xmlns:c16="http://schemas.microsoft.com/office/drawing/2014/chart" uri="{C3380CC4-5D6E-409C-BE32-E72D297353CC}">
                <c16:uniqueId val="{0000002A-A301-4795-9898-30E70F621F02}"/>
              </c:ext>
            </c:extLst>
          </c:dPt>
          <c:dPt>
            <c:idx val="17"/>
            <c:marker>
              <c:symbol val="diamond"/>
              <c:size val="8"/>
              <c:spPr>
                <a:solidFill>
                  <a:srgbClr val="FF0000"/>
                </a:solidFill>
                <a:ln w="9525">
                  <a:solidFill>
                    <a:srgbClr val="FF0000"/>
                  </a:solidFill>
                </a:ln>
                <a:effectLst/>
              </c:spPr>
            </c:marker>
            <c:bubble3D val="0"/>
            <c:extLst>
              <c:ext xmlns:c16="http://schemas.microsoft.com/office/drawing/2014/chart" uri="{C3380CC4-5D6E-409C-BE32-E72D297353CC}">
                <c16:uniqueId val="{0000002B-A301-4795-9898-30E70F621F02}"/>
              </c:ext>
            </c:extLst>
          </c:dPt>
          <c:dLbls>
            <c:dLbl>
              <c:idx val="6"/>
              <c:layout>
                <c:manualLayout>
                  <c:x val="-2.5111314092166458E-2"/>
                  <c:y val="4.175430505866421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9-A301-4795-9898-30E70F621F02}"/>
                </c:ext>
              </c:extLst>
            </c:dLbl>
            <c:dLbl>
              <c:idx val="14"/>
              <c:layout>
                <c:manualLayout>
                  <c:x val="-2.9939280693708534E-2"/>
                  <c:y val="4.175430505866421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A-A301-4795-9898-30E70F621F02}"/>
                </c:ext>
              </c:extLst>
            </c:dLbl>
            <c:dLbl>
              <c:idx val="17"/>
              <c:layout>
                <c:manualLayout>
                  <c:x val="-2.5111314092166565E-2"/>
                  <c:y val="4.554757144333487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B-A301-4795-9898-30E70F621F0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'Figuur 9 '!$A$60:$A$80</c:f>
              <c:strCache>
                <c:ptCount val="21"/>
                <c:pt idx="0">
                  <c:v>BEL</c:v>
                </c:pt>
                <c:pt idx="1">
                  <c:v>VK</c:v>
                </c:pt>
                <c:pt idx="2">
                  <c:v>DUI</c:v>
                </c:pt>
                <c:pt idx="3">
                  <c:v>VS</c:v>
                </c:pt>
                <c:pt idx="4">
                  <c:v>ZWI</c:v>
                </c:pt>
                <c:pt idx="5">
                  <c:v>DEN</c:v>
                </c:pt>
                <c:pt idx="6">
                  <c:v>FRA</c:v>
                </c:pt>
                <c:pt idx="7">
                  <c:v>CAN</c:v>
                </c:pt>
                <c:pt idx="8">
                  <c:v>AUS</c:v>
                </c:pt>
                <c:pt idx="9">
                  <c:v>ITA</c:v>
                </c:pt>
                <c:pt idx="10">
                  <c:v>IER</c:v>
                </c:pt>
                <c:pt idx="11">
                  <c:v>NOO</c:v>
                </c:pt>
                <c:pt idx="12">
                  <c:v>FIN</c:v>
                </c:pt>
                <c:pt idx="13">
                  <c:v>JAP</c:v>
                </c:pt>
                <c:pt idx="14">
                  <c:v>ZAF</c:v>
                </c:pt>
                <c:pt idx="15">
                  <c:v>ISR</c:v>
                </c:pt>
                <c:pt idx="16">
                  <c:v>BRA</c:v>
                </c:pt>
                <c:pt idx="17">
                  <c:v>IDN</c:v>
                </c:pt>
                <c:pt idx="18">
                  <c:v>KOR</c:v>
                </c:pt>
                <c:pt idx="19">
                  <c:v>POL</c:v>
                </c:pt>
                <c:pt idx="20">
                  <c:v>IND</c:v>
                </c:pt>
              </c:strCache>
            </c:strRef>
          </c:cat>
          <c:val>
            <c:numRef>
              <c:f>'Figuur 9 '!$C$60:$C$80</c:f>
              <c:numCache>
                <c:formatCode>0%</c:formatCode>
                <c:ptCount val="21"/>
                <c:pt idx="0">
                  <c:v>6.8203872657957687E-2</c:v>
                </c:pt>
                <c:pt idx="1">
                  <c:v>2.779289091214876E-2</c:v>
                </c:pt>
                <c:pt idx="2">
                  <c:v>0.15384609309900776</c:v>
                </c:pt>
                <c:pt idx="3">
                  <c:v>2.0437097715680697E-2</c:v>
                </c:pt>
                <c:pt idx="4">
                  <c:v>3.3025782522044356E-2</c:v>
                </c:pt>
                <c:pt idx="5">
                  <c:v>0.10390675791471016</c:v>
                </c:pt>
                <c:pt idx="6">
                  <c:v>-1.3738398679523534E-2</c:v>
                </c:pt>
                <c:pt idx="7">
                  <c:v>7.9331808271884574E-2</c:v>
                </c:pt>
                <c:pt idx="8">
                  <c:v>3.5968908596374805E-2</c:v>
                </c:pt>
                <c:pt idx="9">
                  <c:v>6.2152049064285064E-2</c:v>
                </c:pt>
                <c:pt idx="10">
                  <c:v>6.6453573571171765E-2</c:v>
                </c:pt>
                <c:pt idx="11">
                  <c:v>1.3052235063439888E-2</c:v>
                </c:pt>
                <c:pt idx="12">
                  <c:v>5.604330914561606E-2</c:v>
                </c:pt>
                <c:pt idx="13">
                  <c:v>6.0260427009175999E-2</c:v>
                </c:pt>
                <c:pt idx="14">
                  <c:v>-0.13767343309886049</c:v>
                </c:pt>
                <c:pt idx="15">
                  <c:v>0.15940577328561867</c:v>
                </c:pt>
                <c:pt idx="16">
                  <c:v>0.13715111143035941</c:v>
                </c:pt>
                <c:pt idx="17">
                  <c:v>-8.6593126886237437E-3</c:v>
                </c:pt>
                <c:pt idx="18">
                  <c:v>0.1437666192984044</c:v>
                </c:pt>
                <c:pt idx="19">
                  <c:v>7.10519479868712E-2</c:v>
                </c:pt>
                <c:pt idx="20">
                  <c:v>0.1437666192984044</c:v>
                </c:pt>
              </c:numCache>
            </c:numRef>
          </c:val>
          <c:smooth val="0"/>
          <c:extLst>
            <c:ext xmlns:c16="http://schemas.microsoft.com/office/drawing/2014/chart" uri="{C3380CC4-5D6E-409C-BE32-E72D297353CC}">
              <c16:uniqueId val="{00000001-A301-4795-9898-30E70F621F02}"/>
            </c:ext>
          </c:extLst>
        </c:ser>
        <c:dLbls>
          <c:showLegendKey val="0"/>
          <c:showVal val="0"/>
          <c:showCatName val="0"/>
          <c:showSerName val="0"/>
          <c:showPercent val="0"/>
          <c:showBubbleSize val="0"/>
        </c:dLbls>
        <c:marker val="1"/>
        <c:smooth val="0"/>
        <c:axId val="795982000"/>
        <c:axId val="795981640"/>
      </c:lineChart>
      <c:catAx>
        <c:axId val="683779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683781272"/>
        <c:crosses val="autoZero"/>
        <c:auto val="1"/>
        <c:lblAlgn val="ctr"/>
        <c:lblOffset val="100"/>
        <c:noMultiLvlLbl val="0"/>
      </c:catAx>
      <c:valAx>
        <c:axId val="68378127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683779112"/>
        <c:crosses val="autoZero"/>
        <c:crossBetween val="between"/>
      </c:valAx>
      <c:valAx>
        <c:axId val="795981640"/>
        <c:scaling>
          <c:orientation val="minMax"/>
          <c:max val="0.15000000000000002"/>
        </c:scaling>
        <c:delete val="0"/>
        <c:axPos val="r"/>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795982000"/>
        <c:crosses val="max"/>
        <c:crossBetween val="between"/>
      </c:valAx>
      <c:catAx>
        <c:axId val="795982000"/>
        <c:scaling>
          <c:orientation val="minMax"/>
        </c:scaling>
        <c:delete val="1"/>
        <c:axPos val="b"/>
        <c:numFmt formatCode="General" sourceLinked="1"/>
        <c:majorTickMark val="out"/>
        <c:minorTickMark val="none"/>
        <c:tickLblPos val="nextTo"/>
        <c:crossAx val="795981640"/>
        <c:crossesAt val="0"/>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NL"/>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'Figuur 13'!$L$35</c:f>
              <c:strCache>
                <c:ptCount val="1"/>
                <c:pt idx="0">
                  <c:v>Aantal co-publicaties (linkeras)</c:v>
                </c:pt>
              </c:strCache>
            </c:strRef>
          </c:tx>
          <c:spPr>
            <a:solidFill>
              <a:schemeClr val="accent1"/>
            </a:solidFill>
            <a:ln>
              <a:noFill/>
            </a:ln>
            <a:effectLst/>
          </c:spPr>
          <c:invertIfNegative val="0"/>
          <c:cat>
            <c:strRef>
              <c:f>'Figuur 13'!$J$36:$J$60</c:f>
              <c:strCache>
                <c:ptCount val="25"/>
                <c:pt idx="0">
                  <c:v>VS</c:v>
                </c:pt>
                <c:pt idx="1">
                  <c:v>VK</c:v>
                </c:pt>
                <c:pt idx="2">
                  <c:v>DUI</c:v>
                </c:pt>
                <c:pt idx="3">
                  <c:v>ITA</c:v>
                </c:pt>
                <c:pt idx="4">
                  <c:v>FRA</c:v>
                </c:pt>
                <c:pt idx="5">
                  <c:v>BEL</c:v>
                </c:pt>
                <c:pt idx="6">
                  <c:v>SPA</c:v>
                </c:pt>
                <c:pt idx="7">
                  <c:v>CHI</c:v>
                </c:pt>
                <c:pt idx="8">
                  <c:v>ZWI</c:v>
                </c:pt>
                <c:pt idx="9">
                  <c:v>AUS</c:v>
                </c:pt>
                <c:pt idx="10">
                  <c:v>CAN</c:v>
                </c:pt>
                <c:pt idx="11">
                  <c:v>ZWE</c:v>
                </c:pt>
                <c:pt idx="12">
                  <c:v>DEN</c:v>
                </c:pt>
                <c:pt idx="13">
                  <c:v>NOO</c:v>
                </c:pt>
                <c:pt idx="14">
                  <c:v>JAP</c:v>
                </c:pt>
                <c:pt idx="15">
                  <c:v>POL</c:v>
                </c:pt>
                <c:pt idx="16">
                  <c:v>BRA</c:v>
                </c:pt>
                <c:pt idx="17">
                  <c:v>FIN</c:v>
                </c:pt>
                <c:pt idx="18">
                  <c:v>ZAF</c:v>
                </c:pt>
                <c:pt idx="19">
                  <c:v>IND</c:v>
                </c:pt>
                <c:pt idx="20">
                  <c:v>IER</c:v>
                </c:pt>
                <c:pt idx="21">
                  <c:v>ISR</c:v>
                </c:pt>
                <c:pt idx="22">
                  <c:v>KOR</c:v>
                </c:pt>
                <c:pt idx="23">
                  <c:v>SIN</c:v>
                </c:pt>
                <c:pt idx="24">
                  <c:v>IDN</c:v>
                </c:pt>
              </c:strCache>
            </c:strRef>
          </c:cat>
          <c:val>
            <c:numRef>
              <c:f>'Figuur 13'!$L$36:$L$60</c:f>
              <c:numCache>
                <c:formatCode>General</c:formatCode>
                <c:ptCount val="25"/>
                <c:pt idx="0">
                  <c:v>12626</c:v>
                </c:pt>
                <c:pt idx="1">
                  <c:v>11483</c:v>
                </c:pt>
                <c:pt idx="2">
                  <c:v>11248</c:v>
                </c:pt>
                <c:pt idx="3">
                  <c:v>7102</c:v>
                </c:pt>
                <c:pt idx="4">
                  <c:v>5945</c:v>
                </c:pt>
                <c:pt idx="5">
                  <c:v>5680</c:v>
                </c:pt>
                <c:pt idx="6">
                  <c:v>5351</c:v>
                </c:pt>
                <c:pt idx="7">
                  <c:v>4960</c:v>
                </c:pt>
                <c:pt idx="8">
                  <c:v>4644</c:v>
                </c:pt>
                <c:pt idx="9">
                  <c:v>4158</c:v>
                </c:pt>
                <c:pt idx="10">
                  <c:v>3973</c:v>
                </c:pt>
                <c:pt idx="11">
                  <c:v>3810</c:v>
                </c:pt>
                <c:pt idx="12">
                  <c:v>3182</c:v>
                </c:pt>
                <c:pt idx="13">
                  <c:v>2260</c:v>
                </c:pt>
                <c:pt idx="14">
                  <c:v>2011</c:v>
                </c:pt>
                <c:pt idx="15">
                  <c:v>1948</c:v>
                </c:pt>
                <c:pt idx="16">
                  <c:v>1841</c:v>
                </c:pt>
                <c:pt idx="17">
                  <c:v>1671</c:v>
                </c:pt>
                <c:pt idx="18">
                  <c:v>1474</c:v>
                </c:pt>
                <c:pt idx="19">
                  <c:v>1464</c:v>
                </c:pt>
                <c:pt idx="20">
                  <c:v>1325</c:v>
                </c:pt>
                <c:pt idx="21">
                  <c:v>1212</c:v>
                </c:pt>
                <c:pt idx="22">
                  <c:v>872</c:v>
                </c:pt>
                <c:pt idx="23">
                  <c:v>839</c:v>
                </c:pt>
                <c:pt idx="24">
                  <c:v>698</c:v>
                </c:pt>
              </c:numCache>
            </c:numRef>
          </c:val>
          <c:extLst>
            <c:ext xmlns:c16="http://schemas.microsoft.com/office/drawing/2014/chart" uri="{C3380CC4-5D6E-409C-BE32-E72D297353CC}">
              <c16:uniqueId val="{00000000-8746-4A68-AF41-6C31006EB5ED}"/>
            </c:ext>
          </c:extLst>
        </c:ser>
        <c:dLbls>
          <c:showLegendKey val="0"/>
          <c:showVal val="0"/>
          <c:showCatName val="0"/>
          <c:showSerName val="0"/>
          <c:showPercent val="0"/>
          <c:showBubbleSize val="0"/>
        </c:dLbls>
        <c:gapWidth val="219"/>
        <c:axId val="1011271712"/>
        <c:axId val="1011261632"/>
      </c:barChart>
      <c:lineChart>
        <c:grouping val="standard"/>
        <c:varyColors val="0"/>
        <c:ser>
          <c:idx val="1"/>
          <c:order val="1"/>
          <c:tx>
            <c:strRef>
              <c:f>'Figuur 13'!$K$35</c:f>
              <c:strCache>
                <c:ptCount val="1"/>
                <c:pt idx="0">
                  <c:v>Gemiddelde jaarlijkse groei (rechteras, %)</c:v>
                </c:pt>
              </c:strCache>
            </c:strRef>
          </c:tx>
          <c:spPr>
            <a:ln w="28575" cap="rnd">
              <a:noFill/>
              <a:round/>
            </a:ln>
            <a:effectLst/>
          </c:spPr>
          <c:marker>
            <c:symbol val="triangle"/>
            <c:size val="5"/>
            <c:spPr>
              <a:solidFill>
                <a:schemeClr val="accent2"/>
              </a:solidFill>
              <a:ln w="9525">
                <a:solidFill>
                  <a:schemeClr val="accent2"/>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nl-NL"/>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'Figuur 13'!$J$36:$J$60</c:f>
              <c:strCache>
                <c:ptCount val="25"/>
                <c:pt idx="0">
                  <c:v>VS</c:v>
                </c:pt>
                <c:pt idx="1">
                  <c:v>VK</c:v>
                </c:pt>
                <c:pt idx="2">
                  <c:v>DUI</c:v>
                </c:pt>
                <c:pt idx="3">
                  <c:v>ITA</c:v>
                </c:pt>
                <c:pt idx="4">
                  <c:v>FRA</c:v>
                </c:pt>
                <c:pt idx="5">
                  <c:v>BEL</c:v>
                </c:pt>
                <c:pt idx="6">
                  <c:v>SPA</c:v>
                </c:pt>
                <c:pt idx="7">
                  <c:v>CHI</c:v>
                </c:pt>
                <c:pt idx="8">
                  <c:v>ZWI</c:v>
                </c:pt>
                <c:pt idx="9">
                  <c:v>AUS</c:v>
                </c:pt>
                <c:pt idx="10">
                  <c:v>CAN</c:v>
                </c:pt>
                <c:pt idx="11">
                  <c:v>ZWE</c:v>
                </c:pt>
                <c:pt idx="12">
                  <c:v>DEN</c:v>
                </c:pt>
                <c:pt idx="13">
                  <c:v>NOO</c:v>
                </c:pt>
                <c:pt idx="14">
                  <c:v>JAP</c:v>
                </c:pt>
                <c:pt idx="15">
                  <c:v>POL</c:v>
                </c:pt>
                <c:pt idx="16">
                  <c:v>BRA</c:v>
                </c:pt>
                <c:pt idx="17">
                  <c:v>FIN</c:v>
                </c:pt>
                <c:pt idx="18">
                  <c:v>ZAF</c:v>
                </c:pt>
                <c:pt idx="19">
                  <c:v>IND</c:v>
                </c:pt>
                <c:pt idx="20">
                  <c:v>IER</c:v>
                </c:pt>
                <c:pt idx="21">
                  <c:v>ISR</c:v>
                </c:pt>
                <c:pt idx="22">
                  <c:v>KOR</c:v>
                </c:pt>
                <c:pt idx="23">
                  <c:v>SIN</c:v>
                </c:pt>
                <c:pt idx="24">
                  <c:v>IDN</c:v>
                </c:pt>
              </c:strCache>
            </c:strRef>
          </c:cat>
          <c:val>
            <c:numRef>
              <c:f>'Figuur 13'!$K$36:$K$60</c:f>
              <c:numCache>
                <c:formatCode>0%</c:formatCode>
                <c:ptCount val="25"/>
                <c:pt idx="0">
                  <c:v>3.6840650559432975E-2</c:v>
                </c:pt>
                <c:pt idx="1">
                  <c:v>4.4365568431599334E-2</c:v>
                </c:pt>
                <c:pt idx="2">
                  <c:v>4.8800919200709503E-2</c:v>
                </c:pt>
                <c:pt idx="3">
                  <c:v>6.3313599067602588E-2</c:v>
                </c:pt>
                <c:pt idx="4">
                  <c:v>3.8926247750428855E-2</c:v>
                </c:pt>
                <c:pt idx="5">
                  <c:v>4.6815861149163585E-2</c:v>
                </c:pt>
                <c:pt idx="6">
                  <c:v>6.3577430546101432E-2</c:v>
                </c:pt>
                <c:pt idx="7">
                  <c:v>0.11835192846676579</c:v>
                </c:pt>
                <c:pt idx="8">
                  <c:v>6.8810924470414481E-2</c:v>
                </c:pt>
                <c:pt idx="9">
                  <c:v>5.3709872252264867E-2</c:v>
                </c:pt>
                <c:pt idx="10">
                  <c:v>6.3874677693350757E-2</c:v>
                </c:pt>
                <c:pt idx="11">
                  <c:v>6.0357568475544632E-2</c:v>
                </c:pt>
                <c:pt idx="12">
                  <c:v>6.5531822542466145E-2</c:v>
                </c:pt>
                <c:pt idx="13">
                  <c:v>5.9715520821615131E-2</c:v>
                </c:pt>
                <c:pt idx="14">
                  <c:v>6.8458223550196706E-2</c:v>
                </c:pt>
                <c:pt idx="15">
                  <c:v>6.3320255948676518E-2</c:v>
                </c:pt>
                <c:pt idx="16">
                  <c:v>6.2911040541470342E-2</c:v>
                </c:pt>
                <c:pt idx="17">
                  <c:v>4.5783296489263714E-2</c:v>
                </c:pt>
                <c:pt idx="18">
                  <c:v>6.8125488934184686E-2</c:v>
                </c:pt>
                <c:pt idx="19">
                  <c:v>0.10789262215418316</c:v>
                </c:pt>
                <c:pt idx="20">
                  <c:v>7.5349676487104444E-2</c:v>
                </c:pt>
                <c:pt idx="21">
                  <c:v>6.8379511791515357E-2</c:v>
                </c:pt>
                <c:pt idx="22">
                  <c:v>8.8646240040969992E-2</c:v>
                </c:pt>
                <c:pt idx="23">
                  <c:v>9.0670313039451944E-2</c:v>
                </c:pt>
                <c:pt idx="24">
                  <c:v>0.12450553371178708</c:v>
                </c:pt>
              </c:numCache>
            </c:numRef>
          </c:val>
          <c:smooth val="0"/>
          <c:extLst>
            <c:ext xmlns:c16="http://schemas.microsoft.com/office/drawing/2014/chart" uri="{C3380CC4-5D6E-409C-BE32-E72D297353CC}">
              <c16:uniqueId val="{00000001-8746-4A68-AF41-6C31006EB5ED}"/>
            </c:ext>
          </c:extLst>
        </c:ser>
        <c:dLbls>
          <c:showLegendKey val="0"/>
          <c:showVal val="0"/>
          <c:showCatName val="0"/>
          <c:showSerName val="0"/>
          <c:showPercent val="0"/>
          <c:showBubbleSize val="0"/>
        </c:dLbls>
        <c:marker val="1"/>
        <c:smooth val="0"/>
        <c:axId val="795663240"/>
        <c:axId val="795666120"/>
      </c:lineChart>
      <c:catAx>
        <c:axId val="1011271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1011261632"/>
        <c:crosses val="autoZero"/>
        <c:auto val="1"/>
        <c:lblAlgn val="ctr"/>
        <c:lblOffset val="100"/>
        <c:noMultiLvlLbl val="0"/>
      </c:catAx>
      <c:valAx>
        <c:axId val="101126163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1011271712"/>
        <c:crosses val="autoZero"/>
        <c:crossBetween val="between"/>
      </c:valAx>
      <c:valAx>
        <c:axId val="795666120"/>
        <c:scaling>
          <c:orientation val="minMax"/>
        </c:scaling>
        <c:delete val="0"/>
        <c:axPos val="r"/>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795663240"/>
        <c:crosses val="max"/>
        <c:crossBetween val="between"/>
      </c:valAx>
      <c:catAx>
        <c:axId val="795663240"/>
        <c:scaling>
          <c:orientation val="minMax"/>
        </c:scaling>
        <c:delete val="1"/>
        <c:axPos val="b"/>
        <c:numFmt formatCode="General" sourceLinked="1"/>
        <c:majorTickMark val="out"/>
        <c:minorTickMark val="none"/>
        <c:tickLblPos val="nextTo"/>
        <c:crossAx val="795666120"/>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N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3</xdr:col>
      <xdr:colOff>386714</xdr:colOff>
      <xdr:row>39</xdr:row>
      <xdr:rowOff>78104</xdr:rowOff>
    </xdr:from>
    <xdr:to>
      <xdr:col>22</xdr:col>
      <xdr:colOff>60959</xdr:colOff>
      <xdr:row>69</xdr:row>
      <xdr:rowOff>7619</xdr:rowOff>
    </xdr:to>
    <xdr:graphicFrame macro="">
      <xdr:nvGraphicFramePr>
        <xdr:cNvPr id="2" name="Chart 1">
          <a:extLst>
            <a:ext uri="{FF2B5EF4-FFF2-40B4-BE49-F238E27FC236}">
              <a16:creationId xmlns:a16="http://schemas.microsoft.com/office/drawing/2014/main" id="{88A13FC2-0794-E8A6-514B-CC96F0B45CC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3</xdr:col>
      <xdr:colOff>144461</xdr:colOff>
      <xdr:row>58</xdr:row>
      <xdr:rowOff>4761</xdr:rowOff>
    </xdr:from>
    <xdr:to>
      <xdr:col>16</xdr:col>
      <xdr:colOff>434974</xdr:colOff>
      <xdr:row>79</xdr:row>
      <xdr:rowOff>12699</xdr:rowOff>
    </xdr:to>
    <xdr:graphicFrame macro="">
      <xdr:nvGraphicFramePr>
        <xdr:cNvPr id="3" name="Chart 2">
          <a:extLst>
            <a:ext uri="{FF2B5EF4-FFF2-40B4-BE49-F238E27FC236}">
              <a16:creationId xmlns:a16="http://schemas.microsoft.com/office/drawing/2014/main" id="{FBED387A-7C32-416C-9CC5-DFE36F634E7E}"/>
            </a:ext>
            <a:ext uri="{147F2762-F138-4A5C-976F-8EAC2B608ADB}">
              <a16:predDERef xmlns:a16="http://schemas.microsoft.com/office/drawing/2014/main" pred="{FC5101A8-A18C-4075-97BC-01D3766CA1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546100</xdr:colOff>
      <xdr:row>66</xdr:row>
      <xdr:rowOff>40368</xdr:rowOff>
    </xdr:from>
    <xdr:to>
      <xdr:col>16</xdr:col>
      <xdr:colOff>76200</xdr:colOff>
      <xdr:row>66</xdr:row>
      <xdr:rowOff>46718</xdr:rowOff>
    </xdr:to>
    <xdr:cxnSp macro="">
      <xdr:nvCxnSpPr>
        <xdr:cNvPr id="6" name="Straight Connector 5">
          <a:extLst>
            <a:ext uri="{FF2B5EF4-FFF2-40B4-BE49-F238E27FC236}">
              <a16:creationId xmlns:a16="http://schemas.microsoft.com/office/drawing/2014/main" id="{F829E95C-E4CE-0331-28BF-2043DDEB16E4}"/>
            </a:ext>
          </a:extLst>
        </xdr:cNvPr>
        <xdr:cNvCxnSpPr/>
      </xdr:nvCxnSpPr>
      <xdr:spPr>
        <a:xfrm flipH="1" flipV="1">
          <a:off x="2383064" y="17260207"/>
          <a:ext cx="7490279" cy="6350"/>
        </a:xfrm>
        <a:prstGeom prst="line">
          <a:avLst/>
        </a:prstGeom>
        <a:ln>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14286</xdr:colOff>
      <xdr:row>61</xdr:row>
      <xdr:rowOff>147637</xdr:rowOff>
    </xdr:from>
    <xdr:to>
      <xdr:col>15</xdr:col>
      <xdr:colOff>9524</xdr:colOff>
      <xdr:row>95</xdr:row>
      <xdr:rowOff>9525</xdr:rowOff>
    </xdr:to>
    <xdr:graphicFrame macro="">
      <xdr:nvGraphicFramePr>
        <xdr:cNvPr id="3" name="Chart 2">
          <a:extLst>
            <a:ext uri="{FF2B5EF4-FFF2-40B4-BE49-F238E27FC236}">
              <a16:creationId xmlns:a16="http://schemas.microsoft.com/office/drawing/2014/main" id="{B6473722-3B55-AC92-787C-C8C907F72DF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438AACC-0C25-41DC-B3E7-909B432E92F5}" name="Table1" displayName="Table1" ref="A5:E30" totalsRowShown="0" headerRowDxfId="7" dataDxfId="5" headerRowBorderDxfId="6">
  <tableColumns count="5">
    <tableColumn id="1" xr3:uid="{68B735FD-7437-4205-891D-076487B4AB81}" name="Samenwerkingsland" dataDxfId="4"/>
    <tableColumn id="2" xr3:uid="{8A35C8CF-BEC3-48AF-B945-5D9E31851F80}" name="Plek 1" dataDxfId="3"/>
    <tableColumn id="3" xr3:uid="{5A2583C4-D301-434D-ADAE-59B79E7F1184}" name="Plek 2" dataDxfId="2"/>
    <tableColumn id="4" xr3:uid="{16ECDA4F-6997-4456-9B03-F47980491F31}" name="Plek 3" dataDxfId="1"/>
    <tableColumn id="5" xr3:uid="{1A27FE8A-A32A-42BB-AA98-ED611E208586}" name="Totaal"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7.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4824B9-8ACB-4B46-B149-0E7E98F65415}">
  <dimension ref="A1:M26"/>
  <sheetViews>
    <sheetView workbookViewId="0">
      <selection activeCell="B17" sqref="B17"/>
    </sheetView>
  </sheetViews>
  <sheetFormatPr defaultRowHeight="12.5" x14ac:dyDescent="0.25"/>
  <cols>
    <col min="1" max="1" width="16" customWidth="1"/>
    <col min="9" max="9" width="13.26953125" customWidth="1"/>
    <col min="10" max="10" width="40.7265625" customWidth="1"/>
  </cols>
  <sheetData>
    <row r="1" spans="1:13" ht="20" x14ac:dyDescent="0.4">
      <c r="A1" s="10" t="s">
        <v>0</v>
      </c>
    </row>
    <row r="2" spans="1:13" s="37" customFormat="1" ht="15.5" x14ac:dyDescent="0.35">
      <c r="A2" s="49" t="s">
        <v>1</v>
      </c>
      <c r="B2" s="35"/>
      <c r="C2" s="35"/>
      <c r="D2" s="35"/>
      <c r="E2" s="35"/>
      <c r="F2" s="35"/>
      <c r="G2" s="35"/>
      <c r="H2" s="35"/>
      <c r="I2" s="35"/>
      <c r="J2" s="35"/>
      <c r="K2" s="36"/>
      <c r="L2" s="35"/>
      <c r="M2" s="36"/>
    </row>
    <row r="3" spans="1:13" s="37" customFormat="1" ht="15.5" x14ac:dyDescent="0.35">
      <c r="A3" s="38"/>
      <c r="M3" s="39"/>
    </row>
    <row r="4" spans="1:13" s="37" customFormat="1" ht="15.5" x14ac:dyDescent="0.35">
      <c r="A4" s="40" t="s">
        <v>2</v>
      </c>
      <c r="B4" s="41" t="s">
        <v>3</v>
      </c>
      <c r="M4" s="39"/>
    </row>
    <row r="5" spans="1:13" s="37" customFormat="1" ht="15.5" x14ac:dyDescent="0.35">
      <c r="A5" s="42" t="s">
        <v>4</v>
      </c>
      <c r="B5" s="41" t="s">
        <v>5</v>
      </c>
      <c r="M5" s="39"/>
    </row>
    <row r="6" spans="1:13" s="37" customFormat="1" ht="15.5" x14ac:dyDescent="0.35">
      <c r="A6" s="43" t="s">
        <v>6</v>
      </c>
      <c r="B6" s="41" t="s">
        <v>7</v>
      </c>
      <c r="M6" s="39"/>
    </row>
    <row r="7" spans="1:13" s="37" customFormat="1" ht="15.5" x14ac:dyDescent="0.35">
      <c r="A7" s="44" t="s">
        <v>8</v>
      </c>
      <c r="B7" s="45" t="s">
        <v>9</v>
      </c>
      <c r="C7" s="46"/>
      <c r="D7" s="46"/>
      <c r="E7" s="46"/>
      <c r="F7" s="46"/>
      <c r="G7" s="46"/>
      <c r="H7" s="46"/>
      <c r="I7" s="46"/>
      <c r="J7" s="46"/>
      <c r="K7" s="46"/>
      <c r="L7" s="46"/>
      <c r="M7" s="47"/>
    </row>
    <row r="8" spans="1:13" s="37" customFormat="1" ht="15.5" x14ac:dyDescent="0.35"/>
    <row r="9" spans="1:13" s="37" customFormat="1" ht="15.5" x14ac:dyDescent="0.35">
      <c r="A9" s="41" t="s">
        <v>10</v>
      </c>
    </row>
    <row r="10" spans="1:13" s="37" customFormat="1" ht="15.5" x14ac:dyDescent="0.35">
      <c r="B10" s="48" t="s">
        <v>11</v>
      </c>
      <c r="K10" s="48" t="s">
        <v>12</v>
      </c>
    </row>
    <row r="11" spans="1:13" s="37" customFormat="1" ht="17.5" x14ac:dyDescent="0.35">
      <c r="A11" s="102" t="s">
        <v>13</v>
      </c>
      <c r="B11" s="103" t="s">
        <v>14</v>
      </c>
      <c r="C11" s="101"/>
      <c r="D11" s="101"/>
      <c r="E11" s="101"/>
      <c r="F11" s="101"/>
      <c r="G11" s="101"/>
      <c r="H11" s="101"/>
      <c r="I11" s="101"/>
      <c r="J11" s="101"/>
      <c r="K11" s="37" t="s">
        <v>15</v>
      </c>
    </row>
    <row r="12" spans="1:13" s="37" customFormat="1" ht="17.5" x14ac:dyDescent="0.35">
      <c r="A12" s="102" t="s">
        <v>16</v>
      </c>
      <c r="B12" s="103" t="s">
        <v>17</v>
      </c>
      <c r="C12" s="101"/>
      <c r="D12" s="101"/>
      <c r="E12" s="101"/>
      <c r="F12" s="101"/>
      <c r="G12" s="101"/>
      <c r="H12" s="101"/>
      <c r="I12" s="101"/>
      <c r="J12" s="101"/>
      <c r="K12" s="37" t="s">
        <v>15</v>
      </c>
    </row>
    <row r="13" spans="1:13" s="37" customFormat="1" ht="17.5" x14ac:dyDescent="0.35">
      <c r="A13" s="102" t="s">
        <v>18</v>
      </c>
      <c r="B13" s="103" t="s">
        <v>19</v>
      </c>
      <c r="C13" s="101"/>
      <c r="D13" s="101"/>
      <c r="E13" s="101"/>
      <c r="F13" s="101"/>
      <c r="G13" s="101"/>
      <c r="H13" s="101"/>
      <c r="I13" s="101"/>
      <c r="J13" s="101"/>
      <c r="K13" s="37" t="s">
        <v>15</v>
      </c>
    </row>
    <row r="14" spans="1:13" s="37" customFormat="1" ht="17.5" x14ac:dyDescent="0.35">
      <c r="A14" s="104" t="s">
        <v>20</v>
      </c>
      <c r="B14" s="103" t="str">
        <f>'Figuur 4'!$A$1</f>
        <v xml:space="preserve">Gemiddelde jaarlijkse groei onderzoeksinzet, naar omvang (in fte) en omvang in fte per 1.000 werkenden </v>
      </c>
      <c r="C14" s="101"/>
      <c r="D14" s="101"/>
      <c r="E14" s="101"/>
      <c r="F14" s="101"/>
      <c r="G14" s="101"/>
      <c r="H14" s="101"/>
      <c r="I14" s="101"/>
      <c r="J14" s="101"/>
      <c r="K14" s="37" t="s">
        <v>15</v>
      </c>
    </row>
    <row r="15" spans="1:13" s="37" customFormat="1" ht="17.5" x14ac:dyDescent="0.35">
      <c r="A15" s="104" t="s">
        <v>284</v>
      </c>
      <c r="B15" s="103" t="s">
        <v>22</v>
      </c>
      <c r="C15" s="101"/>
      <c r="D15" s="101"/>
      <c r="E15" s="101"/>
      <c r="F15" s="101"/>
      <c r="G15" s="101"/>
      <c r="H15" s="101"/>
      <c r="I15" s="101"/>
      <c r="J15" s="101"/>
      <c r="K15" s="37" t="s">
        <v>15</v>
      </c>
    </row>
    <row r="16" spans="1:13" s="37" customFormat="1" ht="17.5" x14ac:dyDescent="0.35">
      <c r="A16" s="104" t="s">
        <v>21</v>
      </c>
      <c r="B16" s="103" t="s">
        <v>24</v>
      </c>
      <c r="C16" s="101"/>
      <c r="D16" s="101"/>
      <c r="E16" s="101"/>
      <c r="F16" s="101"/>
      <c r="G16" s="101"/>
      <c r="H16" s="101"/>
      <c r="I16" s="101"/>
      <c r="J16" s="101"/>
      <c r="K16" s="37" t="s">
        <v>15</v>
      </c>
    </row>
    <row r="17" spans="1:11" s="37" customFormat="1" ht="17.5" x14ac:dyDescent="0.35">
      <c r="A17" s="105" t="s">
        <v>23</v>
      </c>
      <c r="B17" s="103" t="s">
        <v>26</v>
      </c>
      <c r="C17" s="101"/>
      <c r="D17" s="101"/>
      <c r="E17" s="101"/>
      <c r="F17" s="101"/>
      <c r="G17" s="101"/>
      <c r="H17" s="101"/>
      <c r="I17" s="101"/>
      <c r="J17" s="101"/>
      <c r="K17" s="37" t="s">
        <v>27</v>
      </c>
    </row>
    <row r="18" spans="1:11" s="37" customFormat="1" ht="17.5" x14ac:dyDescent="0.35">
      <c r="A18" s="105" t="s">
        <v>25</v>
      </c>
      <c r="B18" s="103" t="s">
        <v>29</v>
      </c>
      <c r="C18" s="101"/>
      <c r="D18" s="101"/>
      <c r="E18" s="101"/>
      <c r="F18" s="101"/>
      <c r="G18" s="101"/>
      <c r="H18" s="101"/>
      <c r="I18" s="101"/>
      <c r="J18" s="101"/>
      <c r="K18" s="37" t="s">
        <v>30</v>
      </c>
    </row>
    <row r="19" spans="1:11" s="37" customFormat="1" ht="17.5" x14ac:dyDescent="0.35">
      <c r="A19" s="105" t="s">
        <v>28</v>
      </c>
      <c r="B19" s="103" t="s">
        <v>32</v>
      </c>
      <c r="C19" s="101"/>
      <c r="D19" s="101"/>
      <c r="E19" s="101"/>
      <c r="F19" s="101"/>
      <c r="G19" s="101"/>
      <c r="H19" s="101"/>
      <c r="I19" s="101"/>
      <c r="J19" s="101"/>
      <c r="K19" s="37" t="s">
        <v>30</v>
      </c>
    </row>
    <row r="20" spans="1:11" s="37" customFormat="1" ht="17.5" x14ac:dyDescent="0.35">
      <c r="A20" s="106" t="s">
        <v>31</v>
      </c>
      <c r="B20" s="103" t="s">
        <v>34</v>
      </c>
      <c r="C20" s="101"/>
      <c r="D20" s="101"/>
      <c r="E20" s="101"/>
      <c r="F20" s="101"/>
      <c r="G20" s="101"/>
      <c r="H20" s="101"/>
      <c r="I20" s="101"/>
      <c r="J20" s="101"/>
      <c r="K20" s="37" t="s">
        <v>35</v>
      </c>
    </row>
    <row r="21" spans="1:11" s="37" customFormat="1" ht="17.5" x14ac:dyDescent="0.35">
      <c r="A21" s="106" t="s">
        <v>33</v>
      </c>
      <c r="B21" s="103" t="s">
        <v>37</v>
      </c>
      <c r="C21" s="101"/>
      <c r="D21" s="101"/>
      <c r="E21" s="101"/>
      <c r="F21" s="101"/>
      <c r="G21" s="101"/>
      <c r="H21" s="101"/>
      <c r="I21" s="101"/>
      <c r="J21" s="101"/>
      <c r="K21" s="37" t="s">
        <v>35</v>
      </c>
    </row>
    <row r="22" spans="1:11" s="37" customFormat="1" ht="17.5" x14ac:dyDescent="0.35">
      <c r="A22" s="106" t="s">
        <v>36</v>
      </c>
      <c r="B22" s="103" t="s">
        <v>39</v>
      </c>
      <c r="C22" s="101"/>
      <c r="D22" s="101"/>
      <c r="E22" s="101"/>
      <c r="F22" s="101"/>
      <c r="G22" s="101"/>
      <c r="H22" s="101"/>
      <c r="I22" s="101"/>
      <c r="J22" s="101"/>
      <c r="K22" s="37" t="s">
        <v>35</v>
      </c>
    </row>
    <row r="23" spans="1:11" s="37" customFormat="1" ht="17.5" x14ac:dyDescent="0.35">
      <c r="A23" s="106" t="s">
        <v>38</v>
      </c>
      <c r="B23" s="103" t="s">
        <v>40</v>
      </c>
      <c r="C23" s="101"/>
      <c r="D23" s="101"/>
      <c r="E23" s="101"/>
      <c r="F23" s="101"/>
      <c r="G23" s="101"/>
      <c r="H23" s="101"/>
      <c r="I23" s="101"/>
      <c r="J23" s="101"/>
      <c r="K23" s="37" t="s">
        <v>46</v>
      </c>
    </row>
    <row r="24" spans="1:11" s="37" customFormat="1" ht="17.5" x14ac:dyDescent="0.35">
      <c r="A24" s="107" t="s">
        <v>41</v>
      </c>
      <c r="B24" s="103" t="s">
        <v>42</v>
      </c>
      <c r="C24" s="101"/>
      <c r="D24" s="101"/>
      <c r="E24" s="101"/>
      <c r="F24" s="101"/>
      <c r="G24" s="101"/>
      <c r="H24" s="101"/>
      <c r="I24" s="101"/>
      <c r="J24" s="101"/>
      <c r="K24" s="37" t="s">
        <v>43</v>
      </c>
    </row>
    <row r="25" spans="1:11" ht="17.5" x14ac:dyDescent="0.35">
      <c r="A25" s="107" t="s">
        <v>44</v>
      </c>
      <c r="B25" s="103" t="s">
        <v>45</v>
      </c>
      <c r="C25" s="101"/>
      <c r="D25" s="101"/>
      <c r="E25" s="101"/>
      <c r="F25" s="101"/>
      <c r="G25" s="101"/>
      <c r="H25" s="101"/>
      <c r="I25" s="101"/>
      <c r="J25" s="101"/>
      <c r="K25" s="37" t="s">
        <v>46</v>
      </c>
    </row>
    <row r="26" spans="1:11" ht="15.5" x14ac:dyDescent="0.35">
      <c r="A26" s="37"/>
      <c r="B26" s="37"/>
      <c r="C26" s="37"/>
      <c r="D26" s="37"/>
      <c r="E26" s="37"/>
      <c r="F26" s="37"/>
      <c r="G26" s="37"/>
      <c r="H26" s="37"/>
      <c r="I26" s="37"/>
      <c r="J26" s="37"/>
    </row>
  </sheetData>
  <phoneticPr fontId="11" type="noConversion"/>
  <hyperlinks>
    <hyperlink ref="A11:J11" location="'Figuur 1'!A1" display="Figuur 1" xr:uid="{45BAB3D8-A143-49F3-A0D6-8C271E17F26F}"/>
    <hyperlink ref="A12:J12" location="'Figuur 2'!A1" display="Figuur 2" xr:uid="{9BC5748C-0865-4FDB-8FC1-512D88D46788}"/>
    <hyperlink ref="A13:J13" location="'Figuur 3 '!A1" display="Figuur 3" xr:uid="{30211D16-92C0-401F-AF22-6F492297BC13}"/>
    <hyperlink ref="A15:J15" location="'Figuur 6'!A1" display="Figuur 6" xr:uid="{C641E65F-3D9F-4A83-AB21-E3943000E838}"/>
    <hyperlink ref="A16:J16" location="'Figuur 7'!A1" display="Figuur 7" xr:uid="{73E40C43-F5DA-46BD-8ECE-A207371D7CDD}"/>
    <hyperlink ref="A17:J17" location="'Figuur 8'!A1" display="Figuur 8" xr:uid="{8C4DA0E3-7EBF-4F8A-B28B-C6EAEC0D60D5}"/>
    <hyperlink ref="A18:J18" location="'Figuur 9'!A1" display="Figuur 9" xr:uid="{0DF68D97-2C37-41AC-8A81-D79E0C19C96C}"/>
    <hyperlink ref="A20:J20" location="'Figuur 11'!A1" display="Figuur 11" xr:uid="{0FE5233F-B715-4E96-8FDD-303A3A918C13}"/>
    <hyperlink ref="A21:J21" location="'Figuur 12'!A1" display="Figuur 12" xr:uid="{5DFF497A-897C-433C-AA83-7E0FCB64F069}"/>
    <hyperlink ref="A22:J22" location="'Figuur 13'!A1" display="Figuur 13" xr:uid="{44235CBB-06ED-4301-98A1-FF979DB1A1F9}"/>
    <hyperlink ref="A23:J23" location="'Figuur 14'!A1" display="Figuur 14" xr:uid="{0B56D922-2548-4046-BBCE-51F70DF46E88}"/>
    <hyperlink ref="A24:J24" location="'Tabel 1 '!A1" display="Tabel 1" xr:uid="{6A98BCD1-CD20-4A94-BE17-D85A7764822F}"/>
    <hyperlink ref="A25:J25" location="'Tabel 2'!A1" display="Tabel 2" xr:uid="{010357B7-C46A-4E8E-93DF-CA16D7AF80E7}"/>
    <hyperlink ref="A14:J14" location="'Figuur 4 '!A1" display="Figuur 4" xr:uid="{6FD66777-8DB2-4793-A504-A16B2E568BE1}"/>
    <hyperlink ref="A11" location="'Figuur 1 '!A1" display="Figuur 1 (data)" xr:uid="{46161324-6B08-416E-B878-9E4D57AB05A0}"/>
    <hyperlink ref="A14" location="'Figuur 4'!A1" display="Figuur 4 (data)" xr:uid="{F34EF9B0-51C3-43BD-95A1-233F9F3837AD}"/>
    <hyperlink ref="A15" location="'Figuur 5'!A1" display="Figuur 5 (data)" xr:uid="{E71048BC-2F64-4336-9280-A3AB8E7FCD70}"/>
    <hyperlink ref="A16" location="'Figuur 6'!A1" display="Figuur 6 (data)" xr:uid="{6385D069-F0A1-49FC-A996-C3E313D2D085}"/>
    <hyperlink ref="A17" location="'Figuur 7'!A1" display="Figuur 7 (data)" xr:uid="{06677C0C-4CC0-463E-A68C-94C158755643}"/>
    <hyperlink ref="A18" location="'Figuur 8 '!A1" display="Figuur 8 (data)" xr:uid="{115C144C-996F-4FE2-9AA2-32050E199FE1}"/>
    <hyperlink ref="A19:J19" location="'Figuur 10'!A1" display="Figuur 10" xr:uid="{3522C78B-6667-4354-912D-D77D1E47851F}"/>
    <hyperlink ref="A19" location="'Figuur 9 '!A1" display="Figuur 9 (data)" xr:uid="{D5593853-6FEE-49C4-9AC8-BA42492A02D1}"/>
    <hyperlink ref="A20" location="'Figuur 10'!A1" display="Figuur 10 (data)" xr:uid="{69D9CB72-9011-48EB-948C-5E6C42B8F5EC}"/>
    <hyperlink ref="A21" location="'Figuur 11'!A1" display="Figuur 11 (data)" xr:uid="{47D78F35-9DB4-4883-B901-A812F3DB6593}"/>
    <hyperlink ref="A22" location="'Figuur 12'!A1" display="Figuur 12 (data)" xr:uid="{A0C0F62F-ECD0-4F08-9FE1-1A467A617CA6}"/>
    <hyperlink ref="A23" location="'Figuur 13'!A1" display="Figuur 13 (data)" xr:uid="{6DC0156E-639A-4815-95EE-A243304F47CF}"/>
    <hyperlink ref="A11:B11" location="'Figuur 1 '!A1" display="Figuur 1 (data)" xr:uid="{E8A684DE-F286-4ADF-B4DA-7AE51447FB46}"/>
    <hyperlink ref="A12:B12" location="'Figuur 2'!A1" display="Figuur 2 (data)" xr:uid="{E1C1E3F4-3353-49A3-B873-B2AD31C41F04}"/>
    <hyperlink ref="A13:B13" location="'Figuur 3 '!A1" display="Figuur 3 (data)" xr:uid="{801765FF-389F-41F4-9F81-7A5CA2230933}"/>
    <hyperlink ref="A14:B14" location="'Figuur 4'!A1" display="Figuur 4 (data)" xr:uid="{0038D76C-EA68-4B87-B2F2-68D5586392B7}"/>
    <hyperlink ref="A15:B15" location="'Figuur 5'!A1" display="Figuur 5 (data)" xr:uid="{BC304F71-8769-45AF-A8CB-12F196518CE6}"/>
    <hyperlink ref="A16:B16" location="'Figuur 6'!A1" display="Figuur 6 (data)" xr:uid="{F77C97BF-3BAD-4D70-A326-75A3FD871790}"/>
    <hyperlink ref="A17:B17" location="'Figuur 7'!A1" display="Figuur 7 (data)" xr:uid="{F26B3E87-CBDA-4108-98FE-FF3A121DF18A}"/>
    <hyperlink ref="A18:B18" location="'Figuur 8 '!A1" display="Figuur 8 (data)" xr:uid="{DF3CF1A0-128A-488F-B5B7-223150E8B2FF}"/>
    <hyperlink ref="A19:B19" location="'Figuur 9 '!A1" display="Figuur 9 (data)" xr:uid="{52B16F03-EBDE-49B9-AC6A-325EC909185B}"/>
    <hyperlink ref="A20:B20" location="'Figuur 10'!A1" display="Figuur 10 (data)" xr:uid="{CC426FF4-4AF3-43B4-8599-B19F418E4B84}"/>
    <hyperlink ref="A21:B21" location="'Figuur 11'!A1" display="Figuur 11 (data)" xr:uid="{3AE4E008-72C1-45B6-A08E-33FEA0C15946}"/>
    <hyperlink ref="A22:B22" location="'Figuur 12'!A1" display="Figuur 12 (data)" xr:uid="{4FFF143B-A0EB-4D23-8C94-1BE602F85D59}"/>
    <hyperlink ref="A23:B23" location="'Figuur 13'!A1" display="Figuur 13 (data)" xr:uid="{6FE42F1D-0EA2-49FB-B783-A11F12EDB3FF}"/>
    <hyperlink ref="A24:B24" location="'Tabel 1 '!A1" display="Tabel 1" xr:uid="{122B3A04-D2C7-4DAB-8836-38C4BA152B55}"/>
    <hyperlink ref="A25:B25" location="'Tabel 2'!A1" display="Tabel 2" xr:uid="{B1A54D6D-24D2-48BB-B000-76E094DCFCB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4D6B7B-7388-4CD1-9C2F-53EE96F84FDF}">
  <sheetPr>
    <tabColor theme="9" tint="0.59999389629810485"/>
  </sheetPr>
  <dimension ref="A1:Z62"/>
  <sheetViews>
    <sheetView zoomScale="130" zoomScaleNormal="130" workbookViewId="0">
      <selection activeCell="A2" sqref="A2"/>
    </sheetView>
  </sheetViews>
  <sheetFormatPr defaultRowHeight="12.5" x14ac:dyDescent="0.25"/>
  <cols>
    <col min="1" max="1" width="11" customWidth="1"/>
    <col min="2" max="2" width="8.26953125" hidden="1" customWidth="1"/>
    <col min="3" max="3" width="9.54296875" hidden="1" customWidth="1"/>
    <col min="4" max="4" width="9.26953125" hidden="1" customWidth="1"/>
    <col min="5" max="5" width="11.26953125" hidden="1" customWidth="1"/>
    <col min="6" max="6" width="9.26953125" hidden="1" customWidth="1"/>
    <col min="7" max="7" width="0" hidden="1" customWidth="1"/>
    <col min="8" max="8" width="11.7265625" hidden="1" customWidth="1"/>
    <col min="9" max="9" width="11" hidden="1" customWidth="1"/>
    <col min="10" max="10" width="9.26953125" hidden="1" customWidth="1"/>
    <col min="11" max="11" width="9.54296875" hidden="1" customWidth="1"/>
    <col min="12" max="12" width="12.1796875" hidden="1" customWidth="1"/>
    <col min="13" max="13" width="12" hidden="1" customWidth="1"/>
    <col min="14" max="17" width="0" hidden="1" customWidth="1"/>
    <col min="19" max="20" width="9.54296875" customWidth="1"/>
    <col min="21" max="21" width="9.26953125" bestFit="1" customWidth="1"/>
    <col min="23" max="23" width="8.7265625" customWidth="1"/>
    <col min="25" max="25" width="10.7265625" bestFit="1" customWidth="1"/>
  </cols>
  <sheetData>
    <row r="1" spans="1:26" ht="18.5" x14ac:dyDescent="0.45">
      <c r="A1" s="1" t="s">
        <v>286</v>
      </c>
    </row>
    <row r="2" spans="1:26" x14ac:dyDescent="0.25">
      <c r="A2" s="52" t="s">
        <v>48</v>
      </c>
    </row>
    <row r="5" spans="1:26" ht="13" x14ac:dyDescent="0.3">
      <c r="B5" s="4">
        <v>2006</v>
      </c>
      <c r="C5" s="4">
        <v>2007</v>
      </c>
      <c r="D5" s="4">
        <v>2008</v>
      </c>
      <c r="E5" s="4">
        <v>2009</v>
      </c>
      <c r="F5" s="4">
        <v>2010</v>
      </c>
      <c r="G5" s="4">
        <v>2011</v>
      </c>
      <c r="H5" s="4">
        <v>2012</v>
      </c>
      <c r="I5" s="4">
        <v>2013</v>
      </c>
      <c r="J5" s="4">
        <v>2014</v>
      </c>
      <c r="K5" s="4">
        <v>2015</v>
      </c>
      <c r="L5" s="4">
        <v>2016</v>
      </c>
      <c r="M5" s="4">
        <v>2017</v>
      </c>
      <c r="N5" s="4">
        <v>2018</v>
      </c>
      <c r="O5" s="4">
        <v>2019</v>
      </c>
      <c r="P5" s="4">
        <v>2020</v>
      </c>
      <c r="Q5" s="4">
        <v>2021</v>
      </c>
      <c r="R5" s="4">
        <v>2022</v>
      </c>
      <c r="S5" s="4">
        <v>2023</v>
      </c>
      <c r="T5" s="4" t="s">
        <v>285</v>
      </c>
    </row>
    <row r="6" spans="1:26" x14ac:dyDescent="0.25">
      <c r="A6" s="92" t="s">
        <v>63</v>
      </c>
      <c r="B6">
        <v>4667</v>
      </c>
      <c r="C6">
        <v>5837</v>
      </c>
      <c r="D6">
        <v>7218</v>
      </c>
      <c r="E6">
        <v>8636</v>
      </c>
      <c r="F6">
        <v>9598</v>
      </c>
      <c r="G6">
        <v>10418</v>
      </c>
      <c r="H6">
        <v>10455</v>
      </c>
      <c r="I6">
        <v>10529</v>
      </c>
      <c r="J6">
        <v>10593</v>
      </c>
      <c r="K6">
        <v>10959</v>
      </c>
      <c r="L6">
        <v>11778</v>
      </c>
      <c r="M6">
        <v>12478</v>
      </c>
      <c r="N6">
        <v>13532</v>
      </c>
      <c r="O6">
        <v>14300</v>
      </c>
      <c r="P6">
        <v>15862</v>
      </c>
      <c r="Q6">
        <v>16151</v>
      </c>
      <c r="R6">
        <v>14969</v>
      </c>
      <c r="S6">
        <v>14257</v>
      </c>
      <c r="T6" s="9">
        <f>S6/B6-1</f>
        <v>2.0548532247696594</v>
      </c>
    </row>
    <row r="7" spans="1:26" x14ac:dyDescent="0.25">
      <c r="A7" s="92" t="s">
        <v>77</v>
      </c>
      <c r="B7">
        <v>254</v>
      </c>
      <c r="C7">
        <v>304</v>
      </c>
      <c r="D7">
        <v>371</v>
      </c>
      <c r="E7">
        <v>450</v>
      </c>
      <c r="F7">
        <v>530</v>
      </c>
      <c r="G7">
        <v>629</v>
      </c>
      <c r="H7">
        <v>796</v>
      </c>
      <c r="I7">
        <v>1035</v>
      </c>
      <c r="J7">
        <v>1414</v>
      </c>
      <c r="K7">
        <v>1941</v>
      </c>
      <c r="L7">
        <v>2558</v>
      </c>
      <c r="M7">
        <v>3122</v>
      </c>
      <c r="N7">
        <v>3720</v>
      </c>
      <c r="O7">
        <v>4359</v>
      </c>
      <c r="P7">
        <v>4879</v>
      </c>
      <c r="Q7">
        <v>5744</v>
      </c>
      <c r="R7">
        <v>6066</v>
      </c>
      <c r="S7">
        <v>6554</v>
      </c>
      <c r="T7" s="9">
        <f t="shared" ref="T7:T28" si="0">S7/B7-1</f>
        <v>24.803149606299211</v>
      </c>
      <c r="Z7" s="9"/>
    </row>
    <row r="8" spans="1:26" x14ac:dyDescent="0.25">
      <c r="A8" s="92" t="s">
        <v>59</v>
      </c>
      <c r="B8">
        <v>1344</v>
      </c>
      <c r="C8">
        <v>1394</v>
      </c>
      <c r="D8">
        <v>1519</v>
      </c>
      <c r="E8">
        <v>1680</v>
      </c>
      <c r="F8">
        <v>1852</v>
      </c>
      <c r="G8">
        <v>2127</v>
      </c>
      <c r="H8">
        <v>2385</v>
      </c>
      <c r="I8">
        <v>2499</v>
      </c>
      <c r="J8">
        <v>2536</v>
      </c>
      <c r="K8">
        <v>2804</v>
      </c>
      <c r="L8">
        <v>3019</v>
      </c>
      <c r="M8">
        <v>3233</v>
      </c>
      <c r="N8">
        <v>3415</v>
      </c>
      <c r="O8">
        <v>3745</v>
      </c>
      <c r="P8">
        <v>4140</v>
      </c>
      <c r="Q8">
        <v>4667</v>
      </c>
      <c r="R8">
        <v>5004</v>
      </c>
      <c r="S8">
        <v>5616</v>
      </c>
      <c r="T8" s="9">
        <f t="shared" si="0"/>
        <v>3.1785714285714288</v>
      </c>
      <c r="Z8" s="9"/>
    </row>
    <row r="9" spans="1:26" x14ac:dyDescent="0.25">
      <c r="A9" s="92" t="s">
        <v>87</v>
      </c>
      <c r="B9">
        <v>332</v>
      </c>
      <c r="C9">
        <v>352</v>
      </c>
      <c r="D9">
        <v>392</v>
      </c>
      <c r="E9">
        <v>433</v>
      </c>
      <c r="F9">
        <v>473</v>
      </c>
      <c r="G9">
        <v>525</v>
      </c>
      <c r="H9">
        <v>505</v>
      </c>
      <c r="I9">
        <v>543</v>
      </c>
      <c r="J9">
        <v>605</v>
      </c>
      <c r="K9">
        <v>691</v>
      </c>
      <c r="L9">
        <v>761</v>
      </c>
      <c r="M9">
        <v>922</v>
      </c>
      <c r="N9">
        <v>1143</v>
      </c>
      <c r="O9">
        <v>1360</v>
      </c>
      <c r="P9">
        <v>1786</v>
      </c>
      <c r="Q9">
        <v>2685</v>
      </c>
      <c r="R9">
        <v>3528</v>
      </c>
      <c r="S9">
        <v>4318</v>
      </c>
      <c r="T9" s="9">
        <f t="shared" si="0"/>
        <v>12.006024096385541</v>
      </c>
      <c r="Z9" s="9"/>
    </row>
    <row r="10" spans="1:26" x14ac:dyDescent="0.25">
      <c r="A10" s="92" t="s">
        <v>67</v>
      </c>
      <c r="B10">
        <v>186</v>
      </c>
      <c r="C10">
        <v>198</v>
      </c>
      <c r="D10">
        <v>250</v>
      </c>
      <c r="E10">
        <v>288</v>
      </c>
      <c r="F10">
        <v>336</v>
      </c>
      <c r="G10">
        <v>384</v>
      </c>
      <c r="H10">
        <v>450</v>
      </c>
      <c r="I10">
        <v>516</v>
      </c>
      <c r="J10">
        <v>656</v>
      </c>
      <c r="K10">
        <v>856</v>
      </c>
      <c r="L10">
        <v>1108</v>
      </c>
      <c r="M10">
        <v>1428</v>
      </c>
      <c r="N10">
        <v>1803</v>
      </c>
      <c r="O10">
        <v>2059</v>
      </c>
      <c r="P10">
        <v>2533</v>
      </c>
      <c r="Q10">
        <v>3104</v>
      </c>
      <c r="R10">
        <v>3453</v>
      </c>
      <c r="S10">
        <v>3725</v>
      </c>
      <c r="T10" s="9">
        <f t="shared" si="0"/>
        <v>19.026881720430108</v>
      </c>
      <c r="Z10" s="9"/>
    </row>
    <row r="11" spans="1:26" x14ac:dyDescent="0.25">
      <c r="A11" s="92" t="s">
        <v>53</v>
      </c>
      <c r="B11">
        <v>1090</v>
      </c>
      <c r="C11">
        <v>1119</v>
      </c>
      <c r="D11">
        <v>1146</v>
      </c>
      <c r="E11">
        <v>1222</v>
      </c>
      <c r="F11">
        <v>1258</v>
      </c>
      <c r="G11">
        <v>1345</v>
      </c>
      <c r="H11">
        <v>1393</v>
      </c>
      <c r="I11">
        <v>1567</v>
      </c>
      <c r="J11">
        <v>1669</v>
      </c>
      <c r="K11">
        <v>1822</v>
      </c>
      <c r="L11">
        <v>2102</v>
      </c>
      <c r="M11">
        <v>2332</v>
      </c>
      <c r="N11">
        <v>2610</v>
      </c>
      <c r="O11">
        <v>2880</v>
      </c>
      <c r="P11">
        <v>3284</v>
      </c>
      <c r="Q11">
        <v>3464</v>
      </c>
      <c r="R11">
        <v>3421</v>
      </c>
      <c r="S11">
        <v>3516</v>
      </c>
      <c r="T11" s="9">
        <f t="shared" si="0"/>
        <v>2.2256880733944953</v>
      </c>
      <c r="Z11" s="9"/>
    </row>
    <row r="12" spans="1:26" x14ac:dyDescent="0.25">
      <c r="A12" s="92" t="s">
        <v>73</v>
      </c>
      <c r="B12">
        <v>143</v>
      </c>
      <c r="C12">
        <v>189</v>
      </c>
      <c r="D12">
        <v>241</v>
      </c>
      <c r="E12">
        <v>327</v>
      </c>
      <c r="F12">
        <v>409</v>
      </c>
      <c r="G12">
        <v>447</v>
      </c>
      <c r="H12">
        <v>486</v>
      </c>
      <c r="I12">
        <v>606</v>
      </c>
      <c r="J12">
        <v>820</v>
      </c>
      <c r="K12">
        <v>1157</v>
      </c>
      <c r="L12">
        <v>1340</v>
      </c>
      <c r="M12">
        <v>1694</v>
      </c>
      <c r="N12">
        <v>2237</v>
      </c>
      <c r="O12">
        <v>2752</v>
      </c>
      <c r="P12">
        <v>2749</v>
      </c>
      <c r="Q12">
        <v>2919</v>
      </c>
      <c r="R12">
        <v>3087</v>
      </c>
      <c r="S12">
        <v>3098</v>
      </c>
      <c r="T12" s="9">
        <f t="shared" si="0"/>
        <v>20.664335664335663</v>
      </c>
      <c r="Z12" s="9"/>
    </row>
    <row r="13" spans="1:26" x14ac:dyDescent="0.25">
      <c r="A13" s="92" t="s">
        <v>95</v>
      </c>
      <c r="B13">
        <v>237</v>
      </c>
      <c r="C13">
        <v>272</v>
      </c>
      <c r="D13">
        <v>271</v>
      </c>
      <c r="E13">
        <v>292</v>
      </c>
      <c r="F13">
        <v>307</v>
      </c>
      <c r="G13">
        <v>376</v>
      </c>
      <c r="H13">
        <v>362</v>
      </c>
      <c r="I13">
        <v>364</v>
      </c>
      <c r="J13">
        <v>390</v>
      </c>
      <c r="K13">
        <v>460</v>
      </c>
      <c r="L13">
        <v>605</v>
      </c>
      <c r="M13">
        <v>844</v>
      </c>
      <c r="N13">
        <v>1002</v>
      </c>
      <c r="O13">
        <v>1124</v>
      </c>
      <c r="P13">
        <v>1245</v>
      </c>
      <c r="Q13">
        <v>1484</v>
      </c>
      <c r="R13">
        <v>1512</v>
      </c>
      <c r="S13">
        <v>1621</v>
      </c>
      <c r="T13" s="9">
        <f t="shared" si="0"/>
        <v>5.8396624472573837</v>
      </c>
      <c r="Z13" s="9"/>
    </row>
    <row r="14" spans="1:26" x14ac:dyDescent="0.25">
      <c r="A14" s="92" t="s">
        <v>69</v>
      </c>
      <c r="B14">
        <v>368</v>
      </c>
      <c r="C14">
        <v>441</v>
      </c>
      <c r="D14">
        <v>501</v>
      </c>
      <c r="E14">
        <v>461</v>
      </c>
      <c r="F14">
        <v>471</v>
      </c>
      <c r="G14">
        <v>544</v>
      </c>
      <c r="H14">
        <v>540</v>
      </c>
      <c r="I14">
        <v>560</v>
      </c>
      <c r="J14">
        <v>666</v>
      </c>
      <c r="K14">
        <v>871</v>
      </c>
      <c r="L14">
        <v>1145</v>
      </c>
      <c r="M14">
        <v>1103</v>
      </c>
      <c r="N14">
        <v>976</v>
      </c>
      <c r="O14">
        <v>948</v>
      </c>
      <c r="P14">
        <v>1001</v>
      </c>
      <c r="Q14">
        <v>1038</v>
      </c>
      <c r="R14">
        <v>1240</v>
      </c>
      <c r="S14">
        <v>1394</v>
      </c>
      <c r="T14" s="9">
        <f t="shared" si="0"/>
        <v>2.7880434782608696</v>
      </c>
      <c r="Z14" s="9"/>
    </row>
    <row r="15" spans="1:26" x14ac:dyDescent="0.25">
      <c r="A15" s="92" t="s">
        <v>71</v>
      </c>
      <c r="B15">
        <v>53</v>
      </c>
      <c r="C15">
        <v>54</v>
      </c>
      <c r="D15">
        <v>72</v>
      </c>
      <c r="E15">
        <v>87</v>
      </c>
      <c r="F15">
        <v>87</v>
      </c>
      <c r="G15">
        <v>112</v>
      </c>
      <c r="H15">
        <v>134</v>
      </c>
      <c r="I15">
        <v>165</v>
      </c>
      <c r="J15">
        <v>233</v>
      </c>
      <c r="K15">
        <v>299</v>
      </c>
      <c r="L15">
        <v>407</v>
      </c>
      <c r="M15">
        <v>560</v>
      </c>
      <c r="N15">
        <v>709</v>
      </c>
      <c r="O15">
        <v>871</v>
      </c>
      <c r="P15">
        <v>1113</v>
      </c>
      <c r="Q15">
        <v>1461</v>
      </c>
      <c r="R15">
        <v>1420</v>
      </c>
      <c r="S15">
        <v>1373</v>
      </c>
      <c r="T15" s="9">
        <f t="shared" si="0"/>
        <v>24.90566037735849</v>
      </c>
      <c r="Z15" s="9"/>
    </row>
    <row r="16" spans="1:26" x14ac:dyDescent="0.25">
      <c r="A16" s="92" t="s">
        <v>93</v>
      </c>
      <c r="B16">
        <v>199</v>
      </c>
      <c r="C16">
        <v>227</v>
      </c>
      <c r="D16">
        <v>250</v>
      </c>
      <c r="E16">
        <v>310</v>
      </c>
      <c r="F16">
        <v>396</v>
      </c>
      <c r="G16">
        <v>563</v>
      </c>
      <c r="H16">
        <v>888</v>
      </c>
      <c r="I16">
        <v>1225</v>
      </c>
      <c r="J16">
        <v>1396</v>
      </c>
      <c r="K16">
        <v>1658</v>
      </c>
      <c r="L16">
        <v>2018</v>
      </c>
      <c r="M16">
        <v>2247</v>
      </c>
      <c r="N16">
        <v>2458</v>
      </c>
      <c r="O16">
        <v>2329</v>
      </c>
      <c r="P16">
        <v>2394</v>
      </c>
      <c r="Q16">
        <v>1741</v>
      </c>
      <c r="R16">
        <v>1365</v>
      </c>
      <c r="S16">
        <v>1110</v>
      </c>
      <c r="T16" s="9">
        <f t="shared" si="0"/>
        <v>4.5778894472361813</v>
      </c>
      <c r="Z16" s="9"/>
    </row>
    <row r="17" spans="1:26" x14ac:dyDescent="0.25">
      <c r="A17" s="92" t="s">
        <v>65</v>
      </c>
      <c r="B17">
        <v>81</v>
      </c>
      <c r="C17">
        <v>81</v>
      </c>
      <c r="D17">
        <v>88</v>
      </c>
      <c r="E17">
        <v>117</v>
      </c>
      <c r="F17">
        <v>146</v>
      </c>
      <c r="G17">
        <v>170</v>
      </c>
      <c r="H17">
        <v>192</v>
      </c>
      <c r="I17">
        <v>252</v>
      </c>
      <c r="J17">
        <v>293</v>
      </c>
      <c r="K17">
        <v>374</v>
      </c>
      <c r="L17">
        <v>463</v>
      </c>
      <c r="M17">
        <v>620</v>
      </c>
      <c r="N17">
        <v>797</v>
      </c>
      <c r="O17">
        <v>928</v>
      </c>
      <c r="P17">
        <v>1015</v>
      </c>
      <c r="Q17">
        <v>1085</v>
      </c>
      <c r="R17">
        <v>1122</v>
      </c>
      <c r="S17">
        <v>1060</v>
      </c>
      <c r="T17" s="9">
        <f t="shared" si="0"/>
        <v>12.086419753086419</v>
      </c>
      <c r="Z17" s="9"/>
    </row>
    <row r="18" spans="1:26" x14ac:dyDescent="0.25">
      <c r="A18" s="92" t="s">
        <v>81</v>
      </c>
      <c r="B18">
        <v>44</v>
      </c>
      <c r="C18">
        <v>51</v>
      </c>
      <c r="D18">
        <v>57</v>
      </c>
      <c r="E18">
        <v>73</v>
      </c>
      <c r="F18">
        <v>74</v>
      </c>
      <c r="G18">
        <v>80</v>
      </c>
      <c r="H18">
        <v>97</v>
      </c>
      <c r="I18">
        <v>116</v>
      </c>
      <c r="J18">
        <v>145</v>
      </c>
      <c r="K18">
        <v>205</v>
      </c>
      <c r="L18">
        <v>313</v>
      </c>
      <c r="M18">
        <v>376</v>
      </c>
      <c r="N18">
        <v>503</v>
      </c>
      <c r="O18">
        <v>579</v>
      </c>
      <c r="P18">
        <v>628</v>
      </c>
      <c r="Q18">
        <v>605</v>
      </c>
      <c r="R18">
        <v>634</v>
      </c>
      <c r="S18">
        <v>621</v>
      </c>
      <c r="T18" s="9">
        <f t="shared" si="0"/>
        <v>13.113636363636363</v>
      </c>
      <c r="Z18" s="9"/>
    </row>
    <row r="19" spans="1:26" x14ac:dyDescent="0.25">
      <c r="A19" s="92" t="s">
        <v>101</v>
      </c>
      <c r="B19">
        <v>53</v>
      </c>
      <c r="C19">
        <v>64</v>
      </c>
      <c r="D19">
        <v>48</v>
      </c>
      <c r="E19">
        <v>65</v>
      </c>
      <c r="F19">
        <v>103</v>
      </c>
      <c r="G19">
        <v>120</v>
      </c>
      <c r="H19">
        <v>127</v>
      </c>
      <c r="I19">
        <v>139</v>
      </c>
      <c r="J19">
        <v>165</v>
      </c>
      <c r="K19">
        <v>188</v>
      </c>
      <c r="L19">
        <v>231</v>
      </c>
      <c r="M19">
        <v>285</v>
      </c>
      <c r="N19">
        <v>338</v>
      </c>
      <c r="O19">
        <v>410</v>
      </c>
      <c r="P19">
        <v>501</v>
      </c>
      <c r="Q19">
        <v>586</v>
      </c>
      <c r="R19">
        <v>583</v>
      </c>
      <c r="S19">
        <v>586</v>
      </c>
      <c r="T19" s="9">
        <f t="shared" si="0"/>
        <v>10.056603773584905</v>
      </c>
      <c r="Z19" s="9"/>
    </row>
    <row r="20" spans="1:26" x14ac:dyDescent="0.25">
      <c r="A20" s="92" t="s">
        <v>85</v>
      </c>
      <c r="B20">
        <v>83</v>
      </c>
      <c r="C20">
        <v>87</v>
      </c>
      <c r="D20">
        <v>94</v>
      </c>
      <c r="E20">
        <v>90</v>
      </c>
      <c r="F20">
        <v>116</v>
      </c>
      <c r="G20">
        <v>103</v>
      </c>
      <c r="H20">
        <v>113</v>
      </c>
      <c r="I20">
        <v>140</v>
      </c>
      <c r="J20">
        <v>145</v>
      </c>
      <c r="K20">
        <v>156</v>
      </c>
      <c r="L20">
        <v>225</v>
      </c>
      <c r="M20">
        <v>312</v>
      </c>
      <c r="N20">
        <v>353</v>
      </c>
      <c r="O20">
        <v>341</v>
      </c>
      <c r="P20">
        <v>370</v>
      </c>
      <c r="Q20">
        <v>410</v>
      </c>
      <c r="R20">
        <v>376</v>
      </c>
      <c r="S20">
        <v>395</v>
      </c>
      <c r="T20" s="9">
        <f t="shared" si="0"/>
        <v>3.7590361445783129</v>
      </c>
      <c r="Z20" s="9"/>
    </row>
    <row r="21" spans="1:26" x14ac:dyDescent="0.25">
      <c r="A21" s="92" t="s">
        <v>61</v>
      </c>
      <c r="B21">
        <v>48</v>
      </c>
      <c r="C21">
        <v>53</v>
      </c>
      <c r="D21">
        <v>43</v>
      </c>
      <c r="E21">
        <v>52</v>
      </c>
      <c r="F21">
        <v>62</v>
      </c>
      <c r="G21">
        <v>72</v>
      </c>
      <c r="H21">
        <v>74</v>
      </c>
      <c r="I21">
        <v>95</v>
      </c>
      <c r="J21">
        <v>93</v>
      </c>
      <c r="K21">
        <v>109</v>
      </c>
      <c r="L21">
        <v>147</v>
      </c>
      <c r="M21">
        <v>192</v>
      </c>
      <c r="N21">
        <v>237</v>
      </c>
      <c r="O21">
        <v>265</v>
      </c>
      <c r="P21">
        <v>324</v>
      </c>
      <c r="Q21">
        <v>375</v>
      </c>
      <c r="R21">
        <v>364</v>
      </c>
      <c r="S21">
        <v>381</v>
      </c>
      <c r="T21" s="9">
        <f t="shared" si="0"/>
        <v>6.9375</v>
      </c>
      <c r="Z21" s="9"/>
    </row>
    <row r="22" spans="1:26" x14ac:dyDescent="0.25">
      <c r="A22" s="92" t="s">
        <v>79</v>
      </c>
      <c r="B22">
        <v>43</v>
      </c>
      <c r="C22">
        <v>41</v>
      </c>
      <c r="D22">
        <v>43</v>
      </c>
      <c r="E22">
        <v>43</v>
      </c>
      <c r="F22">
        <v>29</v>
      </c>
      <c r="G22">
        <v>25</v>
      </c>
      <c r="H22">
        <v>32</v>
      </c>
      <c r="I22">
        <v>32</v>
      </c>
      <c r="J22">
        <v>45</v>
      </c>
      <c r="K22">
        <v>54</v>
      </c>
      <c r="L22">
        <v>74</v>
      </c>
      <c r="M22">
        <v>93</v>
      </c>
      <c r="N22">
        <v>130</v>
      </c>
      <c r="O22">
        <v>152</v>
      </c>
      <c r="P22">
        <v>189</v>
      </c>
      <c r="Q22">
        <v>223</v>
      </c>
      <c r="R22">
        <v>257</v>
      </c>
      <c r="S22">
        <v>290</v>
      </c>
      <c r="T22" s="9">
        <f t="shared" si="0"/>
        <v>5.7441860465116283</v>
      </c>
      <c r="Z22" s="9"/>
    </row>
    <row r="23" spans="1:26" x14ac:dyDescent="0.25">
      <c r="A23" s="92" t="s">
        <v>57</v>
      </c>
      <c r="B23">
        <v>76</v>
      </c>
      <c r="C23">
        <v>81</v>
      </c>
      <c r="D23">
        <v>88</v>
      </c>
      <c r="E23">
        <v>92</v>
      </c>
      <c r="F23">
        <v>100</v>
      </c>
      <c r="G23">
        <v>110</v>
      </c>
      <c r="H23">
        <v>100</v>
      </c>
      <c r="I23">
        <v>109</v>
      </c>
      <c r="J23">
        <v>120</v>
      </c>
      <c r="K23">
        <v>145</v>
      </c>
      <c r="L23">
        <v>154</v>
      </c>
      <c r="M23">
        <v>179</v>
      </c>
      <c r="N23">
        <v>210</v>
      </c>
      <c r="O23">
        <v>233</v>
      </c>
      <c r="P23">
        <v>242</v>
      </c>
      <c r="Q23">
        <v>290</v>
      </c>
      <c r="R23">
        <v>284</v>
      </c>
      <c r="S23">
        <v>270</v>
      </c>
      <c r="T23" s="9">
        <f t="shared" si="0"/>
        <v>2.5526315789473686</v>
      </c>
      <c r="Z23" s="9"/>
    </row>
    <row r="24" spans="1:26" x14ac:dyDescent="0.25">
      <c r="A24" s="92" t="s">
        <v>55</v>
      </c>
      <c r="B24">
        <v>41</v>
      </c>
      <c r="C24">
        <v>54</v>
      </c>
      <c r="D24">
        <v>51</v>
      </c>
      <c r="E24">
        <v>51</v>
      </c>
      <c r="F24">
        <v>59</v>
      </c>
      <c r="G24">
        <v>59</v>
      </c>
      <c r="H24">
        <v>57</v>
      </c>
      <c r="I24">
        <v>50</v>
      </c>
      <c r="J24">
        <v>109</v>
      </c>
      <c r="K24">
        <v>149</v>
      </c>
      <c r="L24">
        <v>160</v>
      </c>
      <c r="M24">
        <v>171</v>
      </c>
      <c r="N24">
        <v>186</v>
      </c>
      <c r="O24">
        <v>200</v>
      </c>
      <c r="P24">
        <v>209</v>
      </c>
      <c r="Q24">
        <v>244</v>
      </c>
      <c r="R24">
        <v>256</v>
      </c>
      <c r="S24">
        <v>252</v>
      </c>
      <c r="T24" s="9">
        <f t="shared" si="0"/>
        <v>5.1463414634146343</v>
      </c>
      <c r="U24" s="3"/>
      <c r="V24" s="3"/>
      <c r="W24" s="3"/>
      <c r="Y24" s="15"/>
    </row>
    <row r="25" spans="1:26" x14ac:dyDescent="0.25">
      <c r="A25" s="92" t="s">
        <v>97</v>
      </c>
      <c r="B25">
        <v>27</v>
      </c>
      <c r="C25">
        <v>34</v>
      </c>
      <c r="D25">
        <v>39</v>
      </c>
      <c r="E25">
        <v>26</v>
      </c>
      <c r="F25">
        <v>35</v>
      </c>
      <c r="G25">
        <v>39</v>
      </c>
      <c r="H25">
        <v>45</v>
      </c>
      <c r="I25">
        <v>46</v>
      </c>
      <c r="J25">
        <v>48</v>
      </c>
      <c r="K25">
        <v>52</v>
      </c>
      <c r="L25">
        <v>59</v>
      </c>
      <c r="M25">
        <v>74</v>
      </c>
      <c r="N25">
        <v>108</v>
      </c>
      <c r="O25">
        <v>136</v>
      </c>
      <c r="P25">
        <v>148</v>
      </c>
      <c r="Q25">
        <v>196</v>
      </c>
      <c r="R25">
        <v>215</v>
      </c>
      <c r="S25">
        <v>216</v>
      </c>
      <c r="T25" s="9">
        <f t="shared" si="0"/>
        <v>7</v>
      </c>
      <c r="U25" s="3"/>
      <c r="V25" s="3"/>
      <c r="W25" s="3"/>
      <c r="Y25" s="15"/>
    </row>
    <row r="26" spans="1:26" x14ac:dyDescent="0.25">
      <c r="A26" s="92" t="s">
        <v>89</v>
      </c>
      <c r="D26">
        <v>20</v>
      </c>
      <c r="E26">
        <v>20</v>
      </c>
      <c r="F26">
        <v>27</v>
      </c>
      <c r="G26">
        <v>25</v>
      </c>
      <c r="H26">
        <v>25</v>
      </c>
      <c r="I26">
        <v>36</v>
      </c>
      <c r="J26">
        <v>34</v>
      </c>
      <c r="K26">
        <v>41</v>
      </c>
      <c r="L26">
        <v>45</v>
      </c>
      <c r="M26">
        <v>56</v>
      </c>
      <c r="N26">
        <v>66</v>
      </c>
      <c r="O26">
        <v>77</v>
      </c>
      <c r="P26">
        <v>97</v>
      </c>
      <c r="Q26">
        <v>110</v>
      </c>
      <c r="R26">
        <v>115</v>
      </c>
      <c r="S26">
        <v>112</v>
      </c>
      <c r="T26" s="9">
        <f>S26/D26-1</f>
        <v>4.5999999999999996</v>
      </c>
      <c r="U26" s="2">
        <v>2008</v>
      </c>
      <c r="V26" s="3"/>
      <c r="W26" s="3"/>
      <c r="Y26" s="15"/>
    </row>
    <row r="27" spans="1:26" x14ac:dyDescent="0.25">
      <c r="A27" s="92" t="s">
        <v>51</v>
      </c>
      <c r="B27">
        <v>16</v>
      </c>
      <c r="C27">
        <v>18</v>
      </c>
      <c r="D27">
        <v>13</v>
      </c>
      <c r="E27">
        <v>17</v>
      </c>
      <c r="F27">
        <v>16</v>
      </c>
      <c r="G27">
        <v>17</v>
      </c>
      <c r="H27">
        <v>28</v>
      </c>
      <c r="I27">
        <v>37</v>
      </c>
      <c r="J27">
        <v>48</v>
      </c>
      <c r="K27">
        <v>42</v>
      </c>
      <c r="L27">
        <v>61</v>
      </c>
      <c r="M27">
        <v>57</v>
      </c>
      <c r="N27">
        <v>78</v>
      </c>
      <c r="O27">
        <v>75</v>
      </c>
      <c r="P27">
        <v>75</v>
      </c>
      <c r="Q27">
        <v>68</v>
      </c>
      <c r="R27">
        <v>74</v>
      </c>
      <c r="S27">
        <v>99</v>
      </c>
      <c r="T27" s="9">
        <f t="shared" si="0"/>
        <v>5.1875</v>
      </c>
      <c r="V27" s="3"/>
      <c r="W27" s="3"/>
      <c r="Y27" s="15"/>
    </row>
    <row r="28" spans="1:26" x14ac:dyDescent="0.25">
      <c r="A28" s="92" t="s">
        <v>75</v>
      </c>
      <c r="B28">
        <v>43</v>
      </c>
      <c r="C28">
        <v>35</v>
      </c>
      <c r="D28">
        <v>38</v>
      </c>
      <c r="E28">
        <v>39</v>
      </c>
      <c r="F28">
        <v>32</v>
      </c>
      <c r="G28">
        <v>31</v>
      </c>
      <c r="H28">
        <v>25</v>
      </c>
      <c r="I28">
        <v>25</v>
      </c>
      <c r="J28">
        <v>21</v>
      </c>
      <c r="K28">
        <v>20</v>
      </c>
      <c r="L28">
        <v>21</v>
      </c>
      <c r="M28">
        <v>21</v>
      </c>
      <c r="N28">
        <v>31</v>
      </c>
      <c r="O28">
        <v>33</v>
      </c>
      <c r="P28">
        <v>38</v>
      </c>
      <c r="Q28">
        <v>44</v>
      </c>
      <c r="R28">
        <v>53</v>
      </c>
      <c r="S28">
        <v>75</v>
      </c>
      <c r="T28" s="9">
        <f t="shared" si="0"/>
        <v>0.7441860465116279</v>
      </c>
      <c r="U28" s="3"/>
      <c r="V28" s="3"/>
      <c r="W28" s="3"/>
      <c r="Y28" s="15"/>
    </row>
    <row r="29" spans="1:26" x14ac:dyDescent="0.25">
      <c r="A29" s="92" t="s">
        <v>103</v>
      </c>
      <c r="B29">
        <f>SUM(B6:B28)</f>
        <v>9428</v>
      </c>
      <c r="C29">
        <f t="shared" ref="C29:S29" si="1">SUM(C6:C28)</f>
        <v>10986</v>
      </c>
      <c r="D29">
        <f t="shared" si="1"/>
        <v>12853</v>
      </c>
      <c r="E29">
        <f t="shared" si="1"/>
        <v>14871</v>
      </c>
      <c r="F29">
        <f t="shared" si="1"/>
        <v>16516</v>
      </c>
      <c r="G29">
        <f t="shared" si="1"/>
        <v>18321</v>
      </c>
      <c r="H29">
        <f t="shared" si="1"/>
        <v>19309</v>
      </c>
      <c r="I29">
        <f t="shared" si="1"/>
        <v>20686</v>
      </c>
      <c r="J29">
        <f t="shared" si="1"/>
        <v>22244</v>
      </c>
      <c r="K29">
        <f t="shared" si="1"/>
        <v>25053</v>
      </c>
      <c r="L29">
        <f t="shared" si="1"/>
        <v>28794</v>
      </c>
      <c r="M29">
        <f t="shared" si="1"/>
        <v>32399</v>
      </c>
      <c r="N29">
        <f t="shared" si="1"/>
        <v>36642</v>
      </c>
      <c r="O29">
        <f t="shared" si="1"/>
        <v>40156</v>
      </c>
      <c r="P29">
        <f t="shared" si="1"/>
        <v>44822</v>
      </c>
      <c r="Q29">
        <f t="shared" si="1"/>
        <v>48694</v>
      </c>
      <c r="R29">
        <f t="shared" si="1"/>
        <v>49398</v>
      </c>
      <c r="S29">
        <f t="shared" si="1"/>
        <v>50939</v>
      </c>
      <c r="T29" s="9"/>
      <c r="U29" s="3"/>
      <c r="V29" s="3"/>
      <c r="W29" s="3"/>
      <c r="Y29" s="15"/>
    </row>
    <row r="30" spans="1:26" x14ac:dyDescent="0.25">
      <c r="B30" s="3"/>
      <c r="C30" s="3"/>
      <c r="D30" s="3"/>
      <c r="E30" s="3"/>
      <c r="F30" s="3"/>
      <c r="G30" s="3"/>
      <c r="H30" s="3"/>
      <c r="I30" s="3"/>
      <c r="J30" s="3"/>
      <c r="K30" s="3"/>
      <c r="L30" s="3"/>
      <c r="M30" s="3"/>
      <c r="N30" s="3"/>
      <c r="O30" s="3"/>
      <c r="P30" s="3"/>
      <c r="Q30" s="3"/>
      <c r="R30" s="3"/>
      <c r="S30" s="93">
        <v>90360</v>
      </c>
      <c r="T30" s="3"/>
      <c r="U30" s="3"/>
      <c r="V30" s="3"/>
      <c r="W30" s="3"/>
      <c r="Y30" s="15"/>
    </row>
    <row r="31" spans="1:26" x14ac:dyDescent="0.25">
      <c r="A31" t="s">
        <v>172</v>
      </c>
      <c r="S31">
        <f>S29/S30</f>
        <v>0.56373395307658258</v>
      </c>
    </row>
    <row r="32" spans="1:26" x14ac:dyDescent="0.25">
      <c r="A32" t="s">
        <v>173</v>
      </c>
      <c r="U32" s="9"/>
      <c r="Y32" s="9"/>
    </row>
    <row r="33" spans="1:26" x14ac:dyDescent="0.25">
      <c r="Z33" s="9"/>
    </row>
    <row r="36" spans="1:26" x14ac:dyDescent="0.25">
      <c r="D36" s="3"/>
      <c r="E36" s="3"/>
    </row>
    <row r="37" spans="1:26" ht="13" x14ac:dyDescent="0.3">
      <c r="A37" s="4" t="s">
        <v>174</v>
      </c>
      <c r="D37" s="3"/>
      <c r="E37" s="89"/>
      <c r="F37" s="90"/>
      <c r="G37" s="90" t="s">
        <v>288</v>
      </c>
      <c r="H37" s="90"/>
      <c r="I37" s="90"/>
      <c r="J37" s="90"/>
      <c r="K37" s="90"/>
    </row>
    <row r="38" spans="1:26" x14ac:dyDescent="0.25">
      <c r="A38" s="92" t="s">
        <v>71</v>
      </c>
      <c r="B38" s="9">
        <v>24.90566037735849</v>
      </c>
      <c r="C38">
        <v>1</v>
      </c>
      <c r="D38" s="93"/>
      <c r="E38" s="78"/>
      <c r="F38" s="79"/>
      <c r="G38" s="79" t="s">
        <v>106</v>
      </c>
      <c r="H38" s="80" t="s">
        <v>107</v>
      </c>
      <c r="I38" s="79" t="s">
        <v>108</v>
      </c>
      <c r="J38" s="79"/>
      <c r="K38" s="79" t="s">
        <v>109</v>
      </c>
      <c r="O38" s="9"/>
    </row>
    <row r="39" spans="1:26" x14ac:dyDescent="0.25">
      <c r="A39" s="92" t="s">
        <v>77</v>
      </c>
      <c r="B39" s="9">
        <v>24.803149606299211</v>
      </c>
      <c r="C39">
        <v>2</v>
      </c>
      <c r="D39" s="93"/>
      <c r="E39" s="78"/>
      <c r="F39" s="79" t="s">
        <v>63</v>
      </c>
      <c r="G39" s="79">
        <v>4667</v>
      </c>
      <c r="H39" s="81">
        <v>14257</v>
      </c>
      <c r="I39" s="79">
        <f>H39/G39</f>
        <v>3.0548532247696594</v>
      </c>
      <c r="J39" s="79">
        <f>I39^(1/17)</f>
        <v>1.0678957153979916</v>
      </c>
      <c r="K39" s="80">
        <f>J39-1</f>
        <v>6.7895715397991552E-2</v>
      </c>
      <c r="O39" s="9"/>
    </row>
    <row r="40" spans="1:26" x14ac:dyDescent="0.25">
      <c r="A40" s="92" t="s">
        <v>73</v>
      </c>
      <c r="B40" s="9">
        <v>20.664335664335663</v>
      </c>
      <c r="C40">
        <v>3</v>
      </c>
      <c r="D40" s="93"/>
      <c r="E40" s="78"/>
      <c r="F40" s="79" t="s">
        <v>77</v>
      </c>
      <c r="G40" s="79">
        <v>254</v>
      </c>
      <c r="H40" s="81">
        <v>6554</v>
      </c>
      <c r="I40" s="79">
        <f t="shared" ref="I40:I61" si="2">H40/G40</f>
        <v>25.803149606299211</v>
      </c>
      <c r="J40" s="79">
        <f t="shared" ref="J40:J61" si="3">I40^(1/17)</f>
        <v>1.2107084451465007</v>
      </c>
      <c r="K40" s="80">
        <f t="shared" ref="K40:K61" si="4">J40-1</f>
        <v>0.21070844514650067</v>
      </c>
      <c r="O40" s="9"/>
    </row>
    <row r="41" spans="1:26" x14ac:dyDescent="0.25">
      <c r="A41" s="92" t="s">
        <v>67</v>
      </c>
      <c r="B41" s="9">
        <v>19.026881720430108</v>
      </c>
      <c r="C41">
        <v>4</v>
      </c>
      <c r="D41" s="93"/>
      <c r="E41" s="78"/>
      <c r="F41" s="79" t="s">
        <v>59</v>
      </c>
      <c r="G41" s="79">
        <v>1344</v>
      </c>
      <c r="H41" s="81">
        <v>5616</v>
      </c>
      <c r="I41" s="79">
        <f t="shared" si="2"/>
        <v>4.1785714285714288</v>
      </c>
      <c r="J41" s="79">
        <f t="shared" si="3"/>
        <v>1.0877549012913197</v>
      </c>
      <c r="K41" s="80">
        <f t="shared" si="4"/>
        <v>8.7754901291319687E-2</v>
      </c>
      <c r="O41" s="9"/>
    </row>
    <row r="42" spans="1:26" x14ac:dyDescent="0.25">
      <c r="A42" s="92" t="s">
        <v>81</v>
      </c>
      <c r="B42" s="9">
        <v>13.113636363636363</v>
      </c>
      <c r="C42">
        <v>5</v>
      </c>
      <c r="D42" s="93"/>
      <c r="E42" s="78"/>
      <c r="F42" s="79" t="s">
        <v>87</v>
      </c>
      <c r="G42" s="79">
        <v>332</v>
      </c>
      <c r="H42" s="81">
        <v>4318</v>
      </c>
      <c r="I42" s="79">
        <f t="shared" si="2"/>
        <v>13.006024096385541</v>
      </c>
      <c r="J42" s="79">
        <f t="shared" si="3"/>
        <v>1.1628880695124486</v>
      </c>
      <c r="K42" s="80">
        <f t="shared" si="4"/>
        <v>0.16288806951244861</v>
      </c>
      <c r="O42" s="9"/>
    </row>
    <row r="43" spans="1:26" x14ac:dyDescent="0.25">
      <c r="A43" s="92" t="s">
        <v>65</v>
      </c>
      <c r="B43" s="9">
        <v>12.086419753086419</v>
      </c>
      <c r="C43">
        <v>7</v>
      </c>
      <c r="D43" s="93"/>
      <c r="E43" s="78"/>
      <c r="F43" s="79" t="s">
        <v>67</v>
      </c>
      <c r="G43" s="79">
        <v>186</v>
      </c>
      <c r="H43" s="81">
        <v>3725</v>
      </c>
      <c r="I43" s="79">
        <f t="shared" si="2"/>
        <v>20.026881720430108</v>
      </c>
      <c r="J43" s="79">
        <f t="shared" si="3"/>
        <v>1.1927941216952593</v>
      </c>
      <c r="K43" s="80">
        <f t="shared" si="4"/>
        <v>0.19279412169525934</v>
      </c>
      <c r="O43" s="9"/>
    </row>
    <row r="44" spans="1:26" x14ac:dyDescent="0.25">
      <c r="A44" s="92" t="s">
        <v>87</v>
      </c>
      <c r="B44" s="9">
        <v>12.006024096385541</v>
      </c>
      <c r="C44">
        <v>8</v>
      </c>
      <c r="D44" s="93"/>
      <c r="E44" s="78"/>
      <c r="F44" s="79" t="s">
        <v>53</v>
      </c>
      <c r="G44" s="79">
        <v>1090</v>
      </c>
      <c r="H44" s="81">
        <v>3516</v>
      </c>
      <c r="I44" s="79">
        <f t="shared" si="2"/>
        <v>3.2256880733944953</v>
      </c>
      <c r="J44" s="79">
        <f t="shared" si="3"/>
        <v>1.0713193838183823</v>
      </c>
      <c r="K44" s="80">
        <f t="shared" si="4"/>
        <v>7.131938381838232E-2</v>
      </c>
      <c r="O44" s="9"/>
    </row>
    <row r="45" spans="1:26" x14ac:dyDescent="0.25">
      <c r="A45" s="92" t="s">
        <v>101</v>
      </c>
      <c r="B45" s="9">
        <v>10.056603773584905</v>
      </c>
      <c r="C45">
        <v>9</v>
      </c>
      <c r="D45" s="93"/>
      <c r="E45" s="78"/>
      <c r="F45" s="79" t="s">
        <v>73</v>
      </c>
      <c r="G45" s="79">
        <v>143</v>
      </c>
      <c r="H45" s="81">
        <v>3098</v>
      </c>
      <c r="I45" s="79">
        <f t="shared" si="2"/>
        <v>21.664335664335663</v>
      </c>
      <c r="J45" s="79">
        <f t="shared" si="3"/>
        <v>1.1983212406696486</v>
      </c>
      <c r="K45" s="80">
        <f t="shared" si="4"/>
        <v>0.19832124066964862</v>
      </c>
      <c r="O45" s="9"/>
    </row>
    <row r="46" spans="1:26" x14ac:dyDescent="0.25">
      <c r="A46" s="92" t="s">
        <v>97</v>
      </c>
      <c r="B46" s="9">
        <v>7</v>
      </c>
      <c r="C46">
        <v>10</v>
      </c>
      <c r="D46" s="93"/>
      <c r="E46" s="78"/>
      <c r="F46" s="79" t="s">
        <v>95</v>
      </c>
      <c r="G46" s="79">
        <v>237</v>
      </c>
      <c r="H46" s="81">
        <v>1621</v>
      </c>
      <c r="I46" s="79">
        <f t="shared" si="2"/>
        <v>6.8396624472573837</v>
      </c>
      <c r="J46" s="79">
        <f t="shared" si="3"/>
        <v>1.1197464297691635</v>
      </c>
      <c r="K46" s="80">
        <f t="shared" si="4"/>
        <v>0.1197464297691635</v>
      </c>
      <c r="O46" s="9"/>
    </row>
    <row r="47" spans="1:26" x14ac:dyDescent="0.25">
      <c r="A47" s="92" t="s">
        <v>61</v>
      </c>
      <c r="B47" s="9">
        <v>6.9375</v>
      </c>
      <c r="C47">
        <v>11</v>
      </c>
      <c r="D47" s="93"/>
      <c r="E47" s="78"/>
      <c r="F47" s="79" t="s">
        <v>69</v>
      </c>
      <c r="G47" s="79">
        <v>368</v>
      </c>
      <c r="H47" s="81">
        <v>1394</v>
      </c>
      <c r="I47" s="79">
        <f t="shared" si="2"/>
        <v>3.7880434782608696</v>
      </c>
      <c r="J47" s="79">
        <f t="shared" si="3"/>
        <v>1.0814947340089607</v>
      </c>
      <c r="K47" s="80">
        <f t="shared" si="4"/>
        <v>8.1494734008960679E-2</v>
      </c>
      <c r="O47" s="9"/>
    </row>
    <row r="48" spans="1:26" x14ac:dyDescent="0.25">
      <c r="A48" s="92" t="s">
        <v>95</v>
      </c>
      <c r="B48" s="9">
        <v>5.8396624472573837</v>
      </c>
      <c r="C48">
        <v>12</v>
      </c>
      <c r="D48" s="93"/>
      <c r="E48" s="78"/>
      <c r="F48" s="79" t="s">
        <v>71</v>
      </c>
      <c r="G48" s="79">
        <v>53</v>
      </c>
      <c r="H48" s="81">
        <v>1373</v>
      </c>
      <c r="I48" s="79">
        <f t="shared" si="2"/>
        <v>25.90566037735849</v>
      </c>
      <c r="J48" s="79">
        <f t="shared" si="3"/>
        <v>1.2109908530316706</v>
      </c>
      <c r="K48" s="80">
        <f t="shared" si="4"/>
        <v>0.21099085303167064</v>
      </c>
      <c r="O48" s="9"/>
    </row>
    <row r="49" spans="1:15" x14ac:dyDescent="0.25">
      <c r="A49" s="92" t="s">
        <v>79</v>
      </c>
      <c r="B49" s="9">
        <v>5.7441860465116283</v>
      </c>
      <c r="C49">
        <v>13</v>
      </c>
      <c r="D49" s="93"/>
      <c r="E49" s="78"/>
      <c r="F49" s="79" t="s">
        <v>93</v>
      </c>
      <c r="G49" s="79">
        <v>199</v>
      </c>
      <c r="H49" s="81">
        <v>1110</v>
      </c>
      <c r="I49" s="79">
        <f t="shared" si="2"/>
        <v>5.5778894472361813</v>
      </c>
      <c r="J49" s="79">
        <f t="shared" si="3"/>
        <v>1.1063944645201547</v>
      </c>
      <c r="K49" s="80">
        <f t="shared" si="4"/>
        <v>0.10639446452015466</v>
      </c>
      <c r="O49" s="9"/>
    </row>
    <row r="50" spans="1:15" x14ac:dyDescent="0.25">
      <c r="A50" s="92" t="s">
        <v>51</v>
      </c>
      <c r="B50" s="9">
        <v>5.1875</v>
      </c>
      <c r="C50">
        <v>14</v>
      </c>
      <c r="D50" s="93"/>
      <c r="E50" s="78"/>
      <c r="F50" s="79" t="s">
        <v>65</v>
      </c>
      <c r="G50" s="79">
        <v>81</v>
      </c>
      <c r="H50" s="81">
        <v>1060</v>
      </c>
      <c r="I50" s="79">
        <f t="shared" si="2"/>
        <v>13.086419753086419</v>
      </c>
      <c r="J50" s="79">
        <f t="shared" si="3"/>
        <v>1.1633096853438085</v>
      </c>
      <c r="K50" s="80">
        <f t="shared" si="4"/>
        <v>0.16330968534380852</v>
      </c>
      <c r="O50" s="9"/>
    </row>
    <row r="51" spans="1:15" x14ac:dyDescent="0.25">
      <c r="A51" s="92" t="s">
        <v>55</v>
      </c>
      <c r="B51" s="9">
        <v>5.1463414634146343</v>
      </c>
      <c r="C51">
        <v>15</v>
      </c>
      <c r="D51" s="93"/>
      <c r="E51" s="78"/>
      <c r="F51" s="79" t="s">
        <v>81</v>
      </c>
      <c r="G51" s="79">
        <v>44</v>
      </c>
      <c r="H51" s="81">
        <v>621</v>
      </c>
      <c r="I51" s="79">
        <f t="shared" si="2"/>
        <v>14.113636363636363</v>
      </c>
      <c r="J51" s="79">
        <f t="shared" si="3"/>
        <v>1.1684922035926173</v>
      </c>
      <c r="K51" s="80">
        <f t="shared" si="4"/>
        <v>0.1684922035926173</v>
      </c>
      <c r="O51" s="9"/>
    </row>
    <row r="52" spans="1:15" x14ac:dyDescent="0.25">
      <c r="A52" s="92" t="s">
        <v>287</v>
      </c>
      <c r="B52" s="9">
        <v>4.5999999999999996</v>
      </c>
      <c r="C52">
        <v>16</v>
      </c>
      <c r="D52" s="93"/>
      <c r="E52" s="78"/>
      <c r="F52" s="79" t="s">
        <v>101</v>
      </c>
      <c r="G52" s="79">
        <v>53</v>
      </c>
      <c r="H52" s="81">
        <v>586</v>
      </c>
      <c r="I52" s="79">
        <f t="shared" si="2"/>
        <v>11.056603773584905</v>
      </c>
      <c r="J52" s="79">
        <f t="shared" si="3"/>
        <v>1.1518329936133169</v>
      </c>
      <c r="K52" s="80">
        <f t="shared" si="4"/>
        <v>0.15183299361331692</v>
      </c>
      <c r="O52" s="9"/>
    </row>
    <row r="53" spans="1:15" x14ac:dyDescent="0.25">
      <c r="A53" s="92" t="s">
        <v>93</v>
      </c>
      <c r="B53" s="9">
        <v>4.5778894472361813</v>
      </c>
      <c r="C53">
        <v>17</v>
      </c>
      <c r="D53" s="93"/>
      <c r="E53" s="78"/>
      <c r="F53" s="79" t="s">
        <v>85</v>
      </c>
      <c r="G53" s="79">
        <v>83</v>
      </c>
      <c r="H53" s="81">
        <v>395</v>
      </c>
      <c r="I53" s="79">
        <f t="shared" si="2"/>
        <v>4.7590361445783129</v>
      </c>
      <c r="J53" s="79">
        <f t="shared" si="3"/>
        <v>1.0961097958270805</v>
      </c>
      <c r="K53" s="80">
        <f t="shared" si="4"/>
        <v>9.6109795827080458E-2</v>
      </c>
      <c r="O53" s="9"/>
    </row>
    <row r="54" spans="1:15" x14ac:dyDescent="0.25">
      <c r="A54" s="92" t="s">
        <v>85</v>
      </c>
      <c r="B54" s="9">
        <v>3.7590361445783129</v>
      </c>
      <c r="C54">
        <v>18</v>
      </c>
      <c r="D54" s="93"/>
      <c r="E54" s="78"/>
      <c r="F54" s="79" t="s">
        <v>61</v>
      </c>
      <c r="G54" s="79">
        <v>48</v>
      </c>
      <c r="H54" s="81">
        <v>381</v>
      </c>
      <c r="I54" s="79">
        <f t="shared" si="2"/>
        <v>7.9375</v>
      </c>
      <c r="J54" s="79">
        <f t="shared" si="3"/>
        <v>1.1295945096491902</v>
      </c>
      <c r="K54" s="80">
        <f t="shared" si="4"/>
        <v>0.12959450964919017</v>
      </c>
      <c r="O54" s="9"/>
    </row>
    <row r="55" spans="1:15" x14ac:dyDescent="0.25">
      <c r="A55" s="92" t="s">
        <v>59</v>
      </c>
      <c r="B55" s="9">
        <v>3.1785714285714288</v>
      </c>
      <c r="C55">
        <v>19</v>
      </c>
      <c r="D55" s="93"/>
      <c r="E55" s="78"/>
      <c r="F55" s="79" t="s">
        <v>79</v>
      </c>
      <c r="G55" s="79">
        <v>43</v>
      </c>
      <c r="H55" s="81">
        <v>290</v>
      </c>
      <c r="I55" s="79">
        <f t="shared" si="2"/>
        <v>6.7441860465116283</v>
      </c>
      <c r="J55" s="79">
        <f t="shared" si="3"/>
        <v>1.1188208761742362</v>
      </c>
      <c r="K55" s="80">
        <f t="shared" si="4"/>
        <v>0.1188208761742362</v>
      </c>
      <c r="O55" s="9"/>
    </row>
    <row r="56" spans="1:15" x14ac:dyDescent="0.25">
      <c r="A56" s="92" t="s">
        <v>69</v>
      </c>
      <c r="B56" s="9">
        <v>2.7880434782608696</v>
      </c>
      <c r="C56">
        <v>20</v>
      </c>
      <c r="D56" s="93"/>
      <c r="E56" s="78"/>
      <c r="F56" s="79" t="s">
        <v>57</v>
      </c>
      <c r="G56" s="79">
        <v>76</v>
      </c>
      <c r="H56" s="81">
        <v>270</v>
      </c>
      <c r="I56" s="79">
        <f t="shared" si="2"/>
        <v>3.5526315789473686</v>
      </c>
      <c r="J56" s="79">
        <f t="shared" si="3"/>
        <v>1.0774206727930205</v>
      </c>
      <c r="K56" s="80">
        <f t="shared" si="4"/>
        <v>7.7420672793020451E-2</v>
      </c>
      <c r="O56" s="9"/>
    </row>
    <row r="57" spans="1:15" x14ac:dyDescent="0.25">
      <c r="A57" s="92" t="s">
        <v>57</v>
      </c>
      <c r="B57" s="9">
        <v>2.5526315789473686</v>
      </c>
      <c r="C57">
        <v>21</v>
      </c>
      <c r="D57" s="93"/>
      <c r="E57" s="78"/>
      <c r="F57" s="79" t="s">
        <v>55</v>
      </c>
      <c r="G57" s="79">
        <v>41</v>
      </c>
      <c r="H57" s="81">
        <v>252</v>
      </c>
      <c r="I57" s="79">
        <f t="shared" si="2"/>
        <v>6.1463414634146343</v>
      </c>
      <c r="J57" s="79">
        <f t="shared" si="3"/>
        <v>1.1127285129573108</v>
      </c>
      <c r="K57" s="80">
        <f t="shared" si="4"/>
        <v>0.11272851295731079</v>
      </c>
      <c r="O57" s="9"/>
    </row>
    <row r="58" spans="1:15" x14ac:dyDescent="0.25">
      <c r="A58" s="92" t="s">
        <v>53</v>
      </c>
      <c r="B58" s="9">
        <v>2.2256880733944953</v>
      </c>
      <c r="C58">
        <v>22</v>
      </c>
      <c r="D58" s="93"/>
      <c r="E58" s="78"/>
      <c r="F58" s="79" t="s">
        <v>97</v>
      </c>
      <c r="G58" s="79">
        <v>27</v>
      </c>
      <c r="H58" s="81">
        <v>216</v>
      </c>
      <c r="I58" s="79">
        <f t="shared" si="2"/>
        <v>8</v>
      </c>
      <c r="J58" s="79">
        <f t="shared" si="3"/>
        <v>1.1301157834293298</v>
      </c>
      <c r="K58" s="80">
        <f t="shared" si="4"/>
        <v>0.13011578342932983</v>
      </c>
      <c r="O58" s="9"/>
    </row>
    <row r="59" spans="1:15" x14ac:dyDescent="0.25">
      <c r="A59" s="92" t="s">
        <v>63</v>
      </c>
      <c r="B59" s="9">
        <v>2.0548532247696594</v>
      </c>
      <c r="C59">
        <v>23</v>
      </c>
      <c r="D59" s="93"/>
      <c r="E59" s="94">
        <v>2008</v>
      </c>
      <c r="F59" s="79" t="s">
        <v>89</v>
      </c>
      <c r="G59" s="79">
        <f>D26</f>
        <v>20</v>
      </c>
      <c r="H59" s="81">
        <v>112</v>
      </c>
      <c r="I59" s="79">
        <f t="shared" si="2"/>
        <v>5.6</v>
      </c>
      <c r="J59" s="79">
        <f t="shared" si="3"/>
        <v>1.1066519673221298</v>
      </c>
      <c r="K59" s="80">
        <f t="shared" si="4"/>
        <v>0.10665196732212978</v>
      </c>
      <c r="O59" s="9"/>
    </row>
    <row r="60" spans="1:15" x14ac:dyDescent="0.25">
      <c r="A60" s="92" t="s">
        <v>75</v>
      </c>
      <c r="B60" s="9">
        <v>0.7441860465116279</v>
      </c>
      <c r="C60">
        <v>24</v>
      </c>
      <c r="D60" s="93"/>
      <c r="E60" s="79"/>
      <c r="F60" s="79" t="s">
        <v>51</v>
      </c>
      <c r="G60" s="79">
        <v>16</v>
      </c>
      <c r="H60" s="81">
        <v>99</v>
      </c>
      <c r="I60" s="79">
        <f t="shared" si="2"/>
        <v>6.1875</v>
      </c>
      <c r="J60" s="79">
        <f t="shared" si="3"/>
        <v>1.1131654498538648</v>
      </c>
      <c r="K60" s="80">
        <f t="shared" si="4"/>
        <v>0.11316544985386479</v>
      </c>
      <c r="O60" s="9"/>
    </row>
    <row r="61" spans="1:15" x14ac:dyDescent="0.25">
      <c r="E61" s="79"/>
      <c r="F61" s="79" t="s">
        <v>75</v>
      </c>
      <c r="G61" s="79">
        <v>43</v>
      </c>
      <c r="H61" s="81">
        <v>75</v>
      </c>
      <c r="I61" s="79">
        <f t="shared" si="2"/>
        <v>1.7441860465116279</v>
      </c>
      <c r="J61" s="79">
        <f t="shared" si="3"/>
        <v>1.0332641029180658</v>
      </c>
      <c r="K61" s="80">
        <f t="shared" si="4"/>
        <v>3.3264102918065808E-2</v>
      </c>
      <c r="O61" s="9"/>
    </row>
    <row r="62" spans="1:15" x14ac:dyDescent="0.25">
      <c r="E62" s="79"/>
      <c r="F62" s="79"/>
      <c r="G62" s="79"/>
      <c r="H62" s="79"/>
      <c r="I62" s="79"/>
      <c r="J62" s="79"/>
      <c r="K62" s="80"/>
    </row>
  </sheetData>
  <sortState xmlns:xlrd2="http://schemas.microsoft.com/office/spreadsheetml/2017/richdata2" ref="A38:B60">
    <sortCondition descending="1" ref="B38:B60"/>
    <sortCondition descending="1" ref="A38:A60"/>
  </sortState>
  <hyperlinks>
    <hyperlink ref="A2" location="Overzicht!A1" display="Terug naar tabblad Overzicht" xr:uid="{B084CEA4-F418-4123-A681-4996FD7DBCD5}"/>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16BD99-E5EB-46F1-B890-B40EE4B34E0F}">
  <sheetPr>
    <tabColor theme="9" tint="0.59999389629810485"/>
  </sheetPr>
  <dimension ref="A1:X80"/>
  <sheetViews>
    <sheetView zoomScale="140" zoomScaleNormal="140" workbookViewId="0">
      <selection activeCell="A2" sqref="A2"/>
    </sheetView>
  </sheetViews>
  <sheetFormatPr defaultColWidth="9.1796875" defaultRowHeight="12.5" x14ac:dyDescent="0.25"/>
  <cols>
    <col min="6" max="6" width="26.54296875" customWidth="1"/>
    <col min="23" max="23" width="10.54296875" bestFit="1" customWidth="1"/>
  </cols>
  <sheetData>
    <row r="1" spans="1:24" ht="18.5" x14ac:dyDescent="0.45">
      <c r="A1" s="1" t="s">
        <v>32</v>
      </c>
    </row>
    <row r="2" spans="1:24" x14ac:dyDescent="0.25">
      <c r="A2" s="52" t="s">
        <v>48</v>
      </c>
    </row>
    <row r="5" spans="1:24" x14ac:dyDescent="0.25">
      <c r="B5" t="s">
        <v>79</v>
      </c>
      <c r="C5" t="s">
        <v>81</v>
      </c>
      <c r="D5" t="s">
        <v>69</v>
      </c>
      <c r="E5" t="s">
        <v>75</v>
      </c>
      <c r="F5" t="s">
        <v>101</v>
      </c>
      <c r="G5" t="s">
        <v>55</v>
      </c>
      <c r="H5" t="s">
        <v>63</v>
      </c>
      <c r="I5" t="s">
        <v>67</v>
      </c>
      <c r="J5" t="s">
        <v>73</v>
      </c>
      <c r="K5" t="s">
        <v>93</v>
      </c>
      <c r="L5" t="s">
        <v>95</v>
      </c>
      <c r="M5" t="s">
        <v>97</v>
      </c>
      <c r="N5" t="s">
        <v>59</v>
      </c>
      <c r="O5" t="s">
        <v>51</v>
      </c>
      <c r="P5" t="s">
        <v>53</v>
      </c>
      <c r="Q5" t="s">
        <v>57</v>
      </c>
      <c r="R5" t="s">
        <v>61</v>
      </c>
      <c r="S5" t="s">
        <v>65</v>
      </c>
      <c r="T5" t="s">
        <v>71</v>
      </c>
      <c r="U5" t="s">
        <v>77</v>
      </c>
      <c r="V5" t="s">
        <v>160</v>
      </c>
      <c r="W5" t="s">
        <v>87</v>
      </c>
      <c r="X5" t="s">
        <v>85</v>
      </c>
    </row>
    <row r="6" spans="1:24" x14ac:dyDescent="0.25">
      <c r="A6">
        <v>2005</v>
      </c>
      <c r="B6">
        <v>74</v>
      </c>
      <c r="C6">
        <v>4</v>
      </c>
      <c r="D6">
        <v>0</v>
      </c>
      <c r="E6">
        <v>0</v>
      </c>
      <c r="F6">
        <v>328</v>
      </c>
      <c r="G6">
        <v>8</v>
      </c>
      <c r="I6">
        <v>571</v>
      </c>
      <c r="J6">
        <v>2</v>
      </c>
      <c r="K6">
        <v>2432</v>
      </c>
      <c r="L6">
        <v>1540</v>
      </c>
      <c r="N6" t="s">
        <v>154</v>
      </c>
      <c r="O6">
        <v>206</v>
      </c>
      <c r="P6">
        <v>1589</v>
      </c>
      <c r="Q6">
        <v>126</v>
      </c>
      <c r="R6">
        <v>111</v>
      </c>
      <c r="S6">
        <v>79</v>
      </c>
      <c r="T6">
        <v>80</v>
      </c>
      <c r="U6">
        <v>102</v>
      </c>
      <c r="V6" t="s">
        <v>154</v>
      </c>
      <c r="W6">
        <v>10</v>
      </c>
      <c r="X6">
        <v>163</v>
      </c>
    </row>
    <row r="7" spans="1:24" x14ac:dyDescent="0.25">
      <c r="B7">
        <v>64</v>
      </c>
      <c r="C7">
        <v>3</v>
      </c>
      <c r="D7">
        <v>0</v>
      </c>
      <c r="E7">
        <v>0</v>
      </c>
      <c r="F7">
        <v>173</v>
      </c>
      <c r="G7">
        <v>13</v>
      </c>
      <c r="I7">
        <v>603</v>
      </c>
      <c r="J7">
        <v>1</v>
      </c>
      <c r="K7">
        <v>2680</v>
      </c>
      <c r="L7">
        <v>1581</v>
      </c>
      <c r="N7" t="s">
        <v>154</v>
      </c>
      <c r="O7">
        <v>223</v>
      </c>
      <c r="P7">
        <v>1843</v>
      </c>
      <c r="Q7">
        <v>129</v>
      </c>
      <c r="R7">
        <v>126</v>
      </c>
      <c r="S7">
        <v>83</v>
      </c>
      <c r="T7">
        <v>79</v>
      </c>
      <c r="U7">
        <v>31</v>
      </c>
      <c r="V7" t="s">
        <v>154</v>
      </c>
      <c r="W7">
        <v>10</v>
      </c>
      <c r="X7">
        <v>155</v>
      </c>
    </row>
    <row r="8" spans="1:24" x14ac:dyDescent="0.25">
      <c r="A8">
        <v>2007</v>
      </c>
      <c r="B8">
        <v>75</v>
      </c>
      <c r="C8">
        <v>3</v>
      </c>
      <c r="D8">
        <v>0</v>
      </c>
      <c r="E8">
        <v>0</v>
      </c>
      <c r="F8">
        <v>163</v>
      </c>
      <c r="G8">
        <v>17</v>
      </c>
      <c r="I8">
        <v>626</v>
      </c>
      <c r="J8">
        <v>2</v>
      </c>
      <c r="K8">
        <v>2811</v>
      </c>
      <c r="L8">
        <v>1621</v>
      </c>
      <c r="N8" t="s">
        <v>154</v>
      </c>
      <c r="O8">
        <v>261</v>
      </c>
      <c r="P8">
        <v>2089</v>
      </c>
      <c r="Q8">
        <v>152</v>
      </c>
      <c r="R8">
        <v>116</v>
      </c>
      <c r="S8">
        <v>86</v>
      </c>
      <c r="T8">
        <v>91</v>
      </c>
      <c r="U8">
        <v>114</v>
      </c>
      <c r="V8" t="s">
        <v>154</v>
      </c>
      <c r="W8">
        <v>10</v>
      </c>
      <c r="X8">
        <v>156</v>
      </c>
    </row>
    <row r="9" spans="1:24" x14ac:dyDescent="0.25">
      <c r="B9">
        <v>80</v>
      </c>
      <c r="C9">
        <v>3</v>
      </c>
      <c r="D9">
        <v>0</v>
      </c>
      <c r="E9">
        <v>0</v>
      </c>
      <c r="F9">
        <v>160</v>
      </c>
      <c r="G9">
        <v>22</v>
      </c>
      <c r="I9">
        <v>652</v>
      </c>
      <c r="J9">
        <v>3</v>
      </c>
      <c r="K9">
        <v>3024</v>
      </c>
      <c r="L9">
        <v>1662</v>
      </c>
      <c r="N9" t="s">
        <v>154</v>
      </c>
      <c r="O9">
        <v>249</v>
      </c>
      <c r="P9">
        <v>2142</v>
      </c>
      <c r="Q9">
        <v>144</v>
      </c>
      <c r="R9">
        <v>23</v>
      </c>
      <c r="S9">
        <v>80</v>
      </c>
      <c r="T9">
        <v>62</v>
      </c>
      <c r="U9">
        <v>118</v>
      </c>
      <c r="V9" t="s">
        <v>154</v>
      </c>
      <c r="W9">
        <v>11</v>
      </c>
      <c r="X9">
        <v>211</v>
      </c>
    </row>
    <row r="10" spans="1:24" x14ac:dyDescent="0.25">
      <c r="A10">
        <v>2009</v>
      </c>
      <c r="B10">
        <v>84</v>
      </c>
      <c r="C10">
        <v>6</v>
      </c>
      <c r="D10">
        <v>0</v>
      </c>
      <c r="E10">
        <v>0</v>
      </c>
      <c r="F10">
        <v>217</v>
      </c>
      <c r="G10">
        <v>27</v>
      </c>
      <c r="I10">
        <v>673</v>
      </c>
      <c r="J10">
        <v>3</v>
      </c>
      <c r="K10">
        <v>3201</v>
      </c>
      <c r="L10">
        <v>1702</v>
      </c>
      <c r="N10" t="s">
        <v>154</v>
      </c>
      <c r="O10">
        <v>280</v>
      </c>
      <c r="P10">
        <v>2195</v>
      </c>
      <c r="Q10">
        <v>165</v>
      </c>
      <c r="R10">
        <v>118</v>
      </c>
      <c r="S10">
        <v>87</v>
      </c>
      <c r="T10">
        <v>70</v>
      </c>
      <c r="U10">
        <v>126</v>
      </c>
      <c r="V10" t="s">
        <v>154</v>
      </c>
      <c r="W10" s="77">
        <v>20.17424100186</v>
      </c>
      <c r="X10">
        <v>223</v>
      </c>
    </row>
    <row r="11" spans="1:24" x14ac:dyDescent="0.25">
      <c r="B11">
        <v>118</v>
      </c>
      <c r="C11">
        <v>16</v>
      </c>
      <c r="D11">
        <v>0</v>
      </c>
      <c r="E11">
        <v>18</v>
      </c>
      <c r="F11">
        <v>243</v>
      </c>
      <c r="G11">
        <v>20</v>
      </c>
      <c r="I11">
        <v>712</v>
      </c>
      <c r="J11">
        <v>4</v>
      </c>
      <c r="K11">
        <v>3208</v>
      </c>
      <c r="L11">
        <v>1743</v>
      </c>
      <c r="N11" t="s">
        <v>154</v>
      </c>
      <c r="O11">
        <v>314</v>
      </c>
      <c r="P11">
        <v>3117</v>
      </c>
      <c r="Q11">
        <v>201</v>
      </c>
      <c r="R11">
        <v>162</v>
      </c>
      <c r="S11">
        <v>81</v>
      </c>
      <c r="T11">
        <v>84</v>
      </c>
      <c r="U11">
        <v>96</v>
      </c>
      <c r="V11" t="s">
        <v>154</v>
      </c>
      <c r="W11">
        <v>37</v>
      </c>
      <c r="X11">
        <v>237</v>
      </c>
    </row>
    <row r="12" spans="1:24" x14ac:dyDescent="0.25">
      <c r="A12">
        <v>2011</v>
      </c>
      <c r="B12">
        <v>105</v>
      </c>
      <c r="C12">
        <v>9</v>
      </c>
      <c r="D12">
        <v>0</v>
      </c>
      <c r="E12">
        <v>20</v>
      </c>
      <c r="F12">
        <v>280</v>
      </c>
      <c r="G12">
        <v>29</v>
      </c>
      <c r="I12">
        <v>865</v>
      </c>
      <c r="J12">
        <v>5</v>
      </c>
      <c r="K12">
        <v>3306</v>
      </c>
      <c r="L12">
        <v>1783</v>
      </c>
      <c r="N12" t="s">
        <v>154</v>
      </c>
      <c r="O12">
        <v>284</v>
      </c>
      <c r="P12">
        <v>3657</v>
      </c>
      <c r="Q12">
        <v>168</v>
      </c>
      <c r="R12">
        <v>184</v>
      </c>
      <c r="S12">
        <v>84</v>
      </c>
      <c r="T12">
        <v>95</v>
      </c>
      <c r="U12">
        <v>126</v>
      </c>
      <c r="V12" t="s">
        <v>154</v>
      </c>
      <c r="W12">
        <v>46</v>
      </c>
      <c r="X12">
        <v>296</v>
      </c>
    </row>
    <row r="13" spans="1:24" x14ac:dyDescent="0.25">
      <c r="B13">
        <v>89</v>
      </c>
      <c r="C13">
        <v>7</v>
      </c>
      <c r="D13">
        <v>0</v>
      </c>
      <c r="E13">
        <v>33</v>
      </c>
      <c r="F13">
        <v>268</v>
      </c>
      <c r="G13">
        <v>22</v>
      </c>
      <c r="I13">
        <v>926</v>
      </c>
      <c r="J13">
        <v>8</v>
      </c>
      <c r="K13">
        <v>3446</v>
      </c>
      <c r="L13">
        <v>1824</v>
      </c>
      <c r="M13">
        <v>278</v>
      </c>
      <c r="N13" t="s">
        <v>154</v>
      </c>
      <c r="O13">
        <v>242</v>
      </c>
      <c r="P13">
        <v>4236</v>
      </c>
      <c r="Q13">
        <v>96</v>
      </c>
      <c r="R13">
        <v>216</v>
      </c>
      <c r="S13">
        <v>96</v>
      </c>
      <c r="T13">
        <v>91</v>
      </c>
      <c r="U13">
        <v>158</v>
      </c>
      <c r="V13" t="s">
        <v>154</v>
      </c>
      <c r="W13">
        <v>30</v>
      </c>
      <c r="X13">
        <v>318</v>
      </c>
    </row>
    <row r="14" spans="1:24" x14ac:dyDescent="0.25">
      <c r="A14">
        <v>2013</v>
      </c>
      <c r="B14">
        <v>127</v>
      </c>
      <c r="C14">
        <v>18</v>
      </c>
      <c r="D14">
        <v>0</v>
      </c>
      <c r="E14">
        <v>77</v>
      </c>
      <c r="F14" s="85"/>
      <c r="G14">
        <v>27</v>
      </c>
      <c r="H14">
        <v>794</v>
      </c>
      <c r="I14">
        <v>498</v>
      </c>
      <c r="J14">
        <v>10</v>
      </c>
      <c r="K14">
        <v>3285</v>
      </c>
      <c r="L14">
        <v>1864</v>
      </c>
      <c r="M14">
        <v>188</v>
      </c>
      <c r="N14" t="s">
        <v>154</v>
      </c>
      <c r="O14">
        <v>255</v>
      </c>
      <c r="P14">
        <v>3450</v>
      </c>
      <c r="Q14">
        <v>249</v>
      </c>
      <c r="R14">
        <v>361</v>
      </c>
      <c r="S14">
        <v>101</v>
      </c>
      <c r="T14">
        <v>107</v>
      </c>
      <c r="U14">
        <v>171</v>
      </c>
      <c r="V14" t="s">
        <v>154</v>
      </c>
      <c r="W14">
        <v>13</v>
      </c>
      <c r="X14">
        <v>86</v>
      </c>
    </row>
    <row r="15" spans="1:24" x14ac:dyDescent="0.25">
      <c r="B15">
        <v>109</v>
      </c>
      <c r="C15">
        <v>22</v>
      </c>
      <c r="D15">
        <v>0</v>
      </c>
      <c r="E15">
        <v>79</v>
      </c>
      <c r="F15">
        <v>310</v>
      </c>
      <c r="G15">
        <v>32</v>
      </c>
      <c r="H15">
        <v>910</v>
      </c>
      <c r="I15">
        <v>568</v>
      </c>
      <c r="J15">
        <v>7</v>
      </c>
      <c r="K15">
        <v>3326</v>
      </c>
      <c r="L15">
        <v>1972</v>
      </c>
      <c r="M15">
        <v>215</v>
      </c>
      <c r="N15" t="s">
        <v>154</v>
      </c>
      <c r="O15">
        <v>250</v>
      </c>
      <c r="P15">
        <v>3800</v>
      </c>
      <c r="Q15">
        <v>225</v>
      </c>
      <c r="R15">
        <v>400</v>
      </c>
      <c r="S15">
        <v>111</v>
      </c>
      <c r="T15">
        <v>128</v>
      </c>
      <c r="U15">
        <v>152</v>
      </c>
      <c r="V15" t="s">
        <v>154</v>
      </c>
      <c r="W15">
        <v>37</v>
      </c>
      <c r="X15">
        <v>81</v>
      </c>
    </row>
    <row r="16" spans="1:24" x14ac:dyDescent="0.25">
      <c r="A16">
        <v>2015</v>
      </c>
      <c r="B16">
        <v>121</v>
      </c>
      <c r="C16">
        <v>29</v>
      </c>
      <c r="D16">
        <v>47</v>
      </c>
      <c r="E16">
        <v>79</v>
      </c>
      <c r="F16">
        <v>351</v>
      </c>
      <c r="G16">
        <v>44</v>
      </c>
      <c r="H16">
        <v>1184</v>
      </c>
      <c r="I16">
        <v>599</v>
      </c>
      <c r="J16">
        <v>13</v>
      </c>
      <c r="K16">
        <v>3360</v>
      </c>
      <c r="L16">
        <v>1844</v>
      </c>
      <c r="M16">
        <v>221</v>
      </c>
      <c r="N16" t="s">
        <v>154</v>
      </c>
      <c r="O16">
        <v>257</v>
      </c>
      <c r="P16">
        <v>3601</v>
      </c>
      <c r="Q16">
        <v>249</v>
      </c>
      <c r="R16">
        <v>421</v>
      </c>
      <c r="S16">
        <v>132</v>
      </c>
      <c r="T16">
        <v>137</v>
      </c>
      <c r="U16">
        <v>190</v>
      </c>
      <c r="V16" t="s">
        <v>154</v>
      </c>
      <c r="W16">
        <v>45</v>
      </c>
      <c r="X16">
        <v>88</v>
      </c>
    </row>
    <row r="17" spans="1:24" x14ac:dyDescent="0.25">
      <c r="B17">
        <v>126</v>
      </c>
      <c r="C17">
        <v>34</v>
      </c>
      <c r="D17">
        <v>48</v>
      </c>
      <c r="E17">
        <v>79</v>
      </c>
      <c r="F17">
        <v>375</v>
      </c>
      <c r="G17">
        <v>51</v>
      </c>
      <c r="H17">
        <v>1319</v>
      </c>
      <c r="I17">
        <v>655</v>
      </c>
      <c r="J17">
        <v>12</v>
      </c>
      <c r="K17">
        <v>3457</v>
      </c>
      <c r="L17">
        <v>1972</v>
      </c>
      <c r="M17">
        <v>213</v>
      </c>
      <c r="N17" t="s">
        <v>154</v>
      </c>
      <c r="O17">
        <v>332</v>
      </c>
      <c r="P17">
        <v>4438</v>
      </c>
      <c r="Q17">
        <v>285</v>
      </c>
      <c r="R17">
        <v>481</v>
      </c>
      <c r="S17">
        <v>136</v>
      </c>
      <c r="T17">
        <v>149</v>
      </c>
      <c r="U17">
        <v>207</v>
      </c>
      <c r="V17" t="s">
        <v>154</v>
      </c>
      <c r="W17">
        <v>77</v>
      </c>
      <c r="X17">
        <v>120</v>
      </c>
    </row>
    <row r="18" spans="1:24" x14ac:dyDescent="0.25">
      <c r="A18">
        <v>2017</v>
      </c>
      <c r="B18">
        <v>147</v>
      </c>
      <c r="C18">
        <v>38</v>
      </c>
      <c r="D18">
        <v>47</v>
      </c>
      <c r="E18">
        <v>79</v>
      </c>
      <c r="F18">
        <v>414</v>
      </c>
      <c r="G18">
        <v>57</v>
      </c>
      <c r="H18">
        <v>1377</v>
      </c>
      <c r="I18">
        <v>713</v>
      </c>
      <c r="J18">
        <v>10</v>
      </c>
      <c r="K18">
        <v>3522</v>
      </c>
      <c r="L18">
        <v>2069</v>
      </c>
      <c r="M18">
        <v>211</v>
      </c>
      <c r="N18" t="s">
        <v>154</v>
      </c>
      <c r="O18">
        <v>336</v>
      </c>
      <c r="P18">
        <v>5066</v>
      </c>
      <c r="Q18">
        <v>318</v>
      </c>
      <c r="R18">
        <v>484</v>
      </c>
      <c r="S18">
        <v>152</v>
      </c>
      <c r="T18">
        <v>145</v>
      </c>
      <c r="U18">
        <v>215</v>
      </c>
      <c r="V18" t="s">
        <v>154</v>
      </c>
      <c r="W18">
        <v>51</v>
      </c>
      <c r="X18">
        <v>119</v>
      </c>
    </row>
    <row r="19" spans="1:24" x14ac:dyDescent="0.25">
      <c r="B19">
        <v>184</v>
      </c>
      <c r="C19">
        <v>32</v>
      </c>
      <c r="D19">
        <v>45</v>
      </c>
      <c r="E19">
        <v>79</v>
      </c>
      <c r="F19">
        <v>460</v>
      </c>
      <c r="G19">
        <v>54</v>
      </c>
      <c r="H19">
        <v>1900</v>
      </c>
      <c r="I19">
        <v>445</v>
      </c>
      <c r="J19">
        <v>8</v>
      </c>
      <c r="K19">
        <v>3607</v>
      </c>
      <c r="L19">
        <v>2138</v>
      </c>
      <c r="M19">
        <v>211</v>
      </c>
      <c r="N19" t="s">
        <v>154</v>
      </c>
      <c r="O19">
        <v>332</v>
      </c>
      <c r="P19">
        <v>3125</v>
      </c>
      <c r="Q19">
        <v>334</v>
      </c>
      <c r="R19">
        <v>497</v>
      </c>
      <c r="S19">
        <v>159</v>
      </c>
      <c r="T19">
        <v>139</v>
      </c>
      <c r="U19">
        <v>270</v>
      </c>
      <c r="V19" t="s">
        <v>154</v>
      </c>
      <c r="W19">
        <v>41</v>
      </c>
      <c r="X19">
        <v>226</v>
      </c>
    </row>
    <row r="20" spans="1:24" x14ac:dyDescent="0.25">
      <c r="A20">
        <v>2019</v>
      </c>
      <c r="B20">
        <v>178</v>
      </c>
      <c r="C20">
        <v>36</v>
      </c>
      <c r="D20">
        <v>45</v>
      </c>
      <c r="E20">
        <v>79</v>
      </c>
      <c r="F20">
        <v>484</v>
      </c>
      <c r="G20">
        <v>54</v>
      </c>
      <c r="H20">
        <v>1796</v>
      </c>
      <c r="I20">
        <v>480</v>
      </c>
      <c r="J20">
        <v>11</v>
      </c>
      <c r="K20">
        <v>3822</v>
      </c>
      <c r="L20">
        <v>2176</v>
      </c>
      <c r="M20">
        <v>181</v>
      </c>
      <c r="N20" t="s">
        <v>154</v>
      </c>
      <c r="O20">
        <v>360</v>
      </c>
      <c r="P20">
        <v>5110</v>
      </c>
      <c r="Q20">
        <v>387</v>
      </c>
      <c r="R20">
        <v>491</v>
      </c>
      <c r="S20">
        <v>185</v>
      </c>
      <c r="T20">
        <v>200</v>
      </c>
      <c r="U20">
        <v>233</v>
      </c>
      <c r="V20" t="s">
        <v>154</v>
      </c>
      <c r="W20">
        <v>39</v>
      </c>
      <c r="X20">
        <v>144</v>
      </c>
    </row>
    <row r="21" spans="1:24" x14ac:dyDescent="0.25">
      <c r="B21">
        <v>178</v>
      </c>
      <c r="C21">
        <v>30</v>
      </c>
      <c r="D21">
        <v>45</v>
      </c>
      <c r="E21">
        <v>79</v>
      </c>
      <c r="F21">
        <v>534</v>
      </c>
      <c r="G21">
        <v>55</v>
      </c>
      <c r="H21">
        <v>2162</v>
      </c>
      <c r="I21">
        <v>464</v>
      </c>
      <c r="J21">
        <v>15</v>
      </c>
      <c r="K21">
        <v>3669</v>
      </c>
      <c r="L21">
        <v>2086</v>
      </c>
      <c r="M21">
        <v>85</v>
      </c>
      <c r="N21" t="s">
        <v>154</v>
      </c>
      <c r="O21">
        <v>350</v>
      </c>
      <c r="P21">
        <v>4275</v>
      </c>
      <c r="Q21">
        <v>396</v>
      </c>
      <c r="R21">
        <v>489</v>
      </c>
      <c r="S21">
        <v>179</v>
      </c>
      <c r="T21">
        <v>210</v>
      </c>
      <c r="U21">
        <v>252</v>
      </c>
      <c r="V21" t="s">
        <v>154</v>
      </c>
      <c r="W21">
        <v>28</v>
      </c>
      <c r="X21">
        <v>198</v>
      </c>
    </row>
    <row r="22" spans="1:24" x14ac:dyDescent="0.25">
      <c r="B22" s="9">
        <f>B21/B6-1</f>
        <v>1.4054054054054053</v>
      </c>
      <c r="C22" s="9">
        <f t="shared" ref="C22:X22" si="0">C21/C6-1</f>
        <v>6.5</v>
      </c>
      <c r="D22" s="9">
        <f>D21/D17-1</f>
        <v>-6.25E-2</v>
      </c>
      <c r="E22" s="9">
        <f>E21/E11-1</f>
        <v>3.3888888888888893</v>
      </c>
      <c r="F22" s="9">
        <f t="shared" si="0"/>
        <v>0.62804878048780477</v>
      </c>
      <c r="G22" s="9">
        <f t="shared" si="0"/>
        <v>5.875</v>
      </c>
      <c r="H22" s="9">
        <f>H21/H14-1</f>
        <v>1.7229219143576828</v>
      </c>
      <c r="I22" s="9">
        <f t="shared" si="0"/>
        <v>-0.18739054290718038</v>
      </c>
      <c r="J22" s="9">
        <f t="shared" si="0"/>
        <v>6.5</v>
      </c>
      <c r="K22" s="9">
        <f t="shared" si="0"/>
        <v>0.50863486842105265</v>
      </c>
      <c r="L22" s="9">
        <f t="shared" si="0"/>
        <v>0.3545454545454545</v>
      </c>
      <c r="M22" s="9">
        <f>M21/M13-1</f>
        <v>-0.69424460431654678</v>
      </c>
      <c r="N22" s="9" t="e">
        <f t="shared" si="0"/>
        <v>#VALUE!</v>
      </c>
      <c r="O22" s="9">
        <f t="shared" si="0"/>
        <v>0.69902912621359214</v>
      </c>
      <c r="P22" s="9">
        <f t="shared" si="0"/>
        <v>1.6903713027061045</v>
      </c>
      <c r="Q22" s="9">
        <f t="shared" si="0"/>
        <v>2.1428571428571428</v>
      </c>
      <c r="R22" s="9">
        <f t="shared" si="0"/>
        <v>3.4054054054054053</v>
      </c>
      <c r="S22" s="9">
        <f t="shared" si="0"/>
        <v>1.2658227848101267</v>
      </c>
      <c r="T22" s="9">
        <f t="shared" si="0"/>
        <v>1.625</v>
      </c>
      <c r="U22" s="9">
        <f t="shared" si="0"/>
        <v>1.4705882352941178</v>
      </c>
      <c r="V22" s="9" t="e">
        <f t="shared" si="0"/>
        <v>#VALUE!</v>
      </c>
      <c r="W22" s="9">
        <f t="shared" si="0"/>
        <v>1.7999999999999998</v>
      </c>
      <c r="X22" s="9">
        <f t="shared" si="0"/>
        <v>0.21472392638036819</v>
      </c>
    </row>
    <row r="23" spans="1:24" x14ac:dyDescent="0.25">
      <c r="A23" t="s">
        <v>175</v>
      </c>
      <c r="B23" s="3"/>
      <c r="C23" s="3"/>
      <c r="D23" s="3"/>
      <c r="E23" s="3"/>
      <c r="F23" s="3"/>
      <c r="G23" s="3"/>
      <c r="H23" s="3"/>
      <c r="I23" s="3"/>
      <c r="J23" s="3"/>
      <c r="K23" s="3"/>
      <c r="L23" s="3"/>
      <c r="M23" s="3"/>
      <c r="N23" s="3"/>
      <c r="O23" s="3"/>
      <c r="P23" s="3"/>
      <c r="Q23" s="3"/>
      <c r="R23" s="3"/>
      <c r="S23" s="3"/>
      <c r="T23" s="3"/>
      <c r="U23" s="3"/>
      <c r="V23" s="3"/>
      <c r="W23" s="3"/>
      <c r="X23" s="3"/>
    </row>
    <row r="24" spans="1:24" x14ac:dyDescent="0.25">
      <c r="A24" t="s">
        <v>176</v>
      </c>
      <c r="B24" s="3"/>
      <c r="C24" s="3"/>
      <c r="D24" s="3"/>
      <c r="E24" s="3"/>
      <c r="F24" s="3"/>
    </row>
    <row r="25" spans="1:24" x14ac:dyDescent="0.25">
      <c r="F25" s="21"/>
    </row>
    <row r="27" spans="1:24" x14ac:dyDescent="0.25">
      <c r="B27" s="9"/>
    </row>
    <row r="28" spans="1:24" ht="13" x14ac:dyDescent="0.3">
      <c r="B28" s="91" t="s">
        <v>283</v>
      </c>
      <c r="K28" s="9"/>
    </row>
    <row r="29" spans="1:24" x14ac:dyDescent="0.25">
      <c r="A29" s="79"/>
      <c r="B29" s="80" t="s">
        <v>106</v>
      </c>
      <c r="C29" s="79" t="s">
        <v>107</v>
      </c>
      <c r="D29" s="79" t="s">
        <v>108</v>
      </c>
      <c r="E29" s="79"/>
      <c r="F29" s="79" t="s">
        <v>109</v>
      </c>
      <c r="G29" s="79" t="s">
        <v>289</v>
      </c>
    </row>
    <row r="30" spans="1:24" x14ac:dyDescent="0.25">
      <c r="A30" s="79" t="s">
        <v>79</v>
      </c>
      <c r="B30" s="81">
        <v>74</v>
      </c>
      <c r="C30" s="79">
        <v>178</v>
      </c>
      <c r="D30" s="79">
        <f>C30/B30</f>
        <v>2.4054054054054053</v>
      </c>
      <c r="E30" s="79">
        <f>D30^(1/15)</f>
        <v>1.060260427009176</v>
      </c>
      <c r="F30" s="80">
        <f>E30-1</f>
        <v>6.0260427009175999E-2</v>
      </c>
      <c r="G30" s="79"/>
      <c r="L30">
        <f>K30^(1/12)</f>
        <v>0</v>
      </c>
    </row>
    <row r="31" spans="1:24" x14ac:dyDescent="0.25">
      <c r="A31" s="79" t="s">
        <v>81</v>
      </c>
      <c r="B31" s="81">
        <v>4</v>
      </c>
      <c r="C31" s="79">
        <v>30</v>
      </c>
      <c r="D31" s="79">
        <f t="shared" ref="D31:D50" si="1">C31/B31</f>
        <v>7.5</v>
      </c>
      <c r="E31" s="79">
        <f t="shared" ref="E31:E50" si="2">D31^(1/15)</f>
        <v>1.1437666192984044</v>
      </c>
      <c r="F31" s="80">
        <f t="shared" ref="F31:F50" si="3">E31-1</f>
        <v>0.1437666192984044</v>
      </c>
      <c r="G31" s="79"/>
    </row>
    <row r="32" spans="1:24" x14ac:dyDescent="0.25">
      <c r="A32" s="79" t="s">
        <v>69</v>
      </c>
      <c r="B32" s="81">
        <v>47</v>
      </c>
      <c r="C32" s="79">
        <v>45</v>
      </c>
      <c r="D32" s="79">
        <f t="shared" si="1"/>
        <v>0.95744680851063835</v>
      </c>
      <c r="E32" s="79">
        <f>D32^(1/5)</f>
        <v>0.99134068731137626</v>
      </c>
      <c r="F32" s="80">
        <f t="shared" si="3"/>
        <v>-8.6593126886237437E-3</v>
      </c>
      <c r="G32" s="79" t="s">
        <v>177</v>
      </c>
    </row>
    <row r="33" spans="1:9" x14ac:dyDescent="0.25">
      <c r="A33" s="79" t="s">
        <v>75</v>
      </c>
      <c r="B33" s="81">
        <v>18</v>
      </c>
      <c r="C33" s="79">
        <v>79</v>
      </c>
      <c r="D33" s="79">
        <f t="shared" si="1"/>
        <v>4.3888888888888893</v>
      </c>
      <c r="E33" s="79">
        <f>D33^(1/10)</f>
        <v>1.1594057732856187</v>
      </c>
      <c r="F33" s="80">
        <f t="shared" si="3"/>
        <v>0.15940577328561867</v>
      </c>
      <c r="G33" s="79" t="s">
        <v>178</v>
      </c>
    </row>
    <row r="34" spans="1:9" x14ac:dyDescent="0.25">
      <c r="A34" s="79" t="s">
        <v>101</v>
      </c>
      <c r="B34" s="81">
        <v>328</v>
      </c>
      <c r="C34" s="79">
        <v>534</v>
      </c>
      <c r="D34" s="79">
        <f t="shared" si="1"/>
        <v>1.6280487804878048</v>
      </c>
      <c r="E34" s="79">
        <f t="shared" si="2"/>
        <v>1.0330257825220444</v>
      </c>
      <c r="F34" s="80">
        <f t="shared" si="3"/>
        <v>3.3025782522044356E-2</v>
      </c>
      <c r="G34" s="79"/>
      <c r="I34" s="9"/>
    </row>
    <row r="35" spans="1:9" x14ac:dyDescent="0.25">
      <c r="A35" s="79" t="s">
        <v>55</v>
      </c>
      <c r="B35" s="81">
        <v>8</v>
      </c>
      <c r="C35" s="79">
        <v>55</v>
      </c>
      <c r="D35" s="79">
        <f t="shared" si="1"/>
        <v>6.875</v>
      </c>
      <c r="E35" s="79">
        <f t="shared" si="2"/>
        <v>1.1371511114303594</v>
      </c>
      <c r="F35" s="80">
        <f t="shared" si="3"/>
        <v>0.13715111143035941</v>
      </c>
      <c r="G35" s="79"/>
    </row>
    <row r="36" spans="1:9" x14ac:dyDescent="0.25">
      <c r="A36" s="79" t="s">
        <v>63</v>
      </c>
      <c r="B36" s="81">
        <v>794</v>
      </c>
      <c r="C36" s="79">
        <v>2162</v>
      </c>
      <c r="D36" s="79">
        <f t="shared" si="1"/>
        <v>2.7229219143576828</v>
      </c>
      <c r="E36" s="79">
        <f>D36^(1/7)</f>
        <v>1.1538460930990078</v>
      </c>
      <c r="F36" s="80">
        <f t="shared" si="3"/>
        <v>0.15384609309900776</v>
      </c>
      <c r="G36" s="79" t="s">
        <v>179</v>
      </c>
    </row>
    <row r="37" spans="1:9" x14ac:dyDescent="0.25">
      <c r="A37" s="79" t="s">
        <v>67</v>
      </c>
      <c r="B37" s="81">
        <v>571</v>
      </c>
      <c r="C37" s="79">
        <v>464</v>
      </c>
      <c r="D37" s="79">
        <f t="shared" si="1"/>
        <v>0.81260945709281962</v>
      </c>
      <c r="E37" s="79">
        <f t="shared" si="2"/>
        <v>0.98626160132047647</v>
      </c>
      <c r="F37" s="80">
        <f t="shared" si="3"/>
        <v>-1.3738398679523534E-2</v>
      </c>
      <c r="G37" s="79"/>
    </row>
    <row r="38" spans="1:9" x14ac:dyDescent="0.25">
      <c r="A38" s="79" t="s">
        <v>73</v>
      </c>
      <c r="B38" s="81">
        <v>2</v>
      </c>
      <c r="C38" s="79">
        <v>15</v>
      </c>
      <c r="D38" s="79">
        <f t="shared" si="1"/>
        <v>7.5</v>
      </c>
      <c r="E38" s="79">
        <f t="shared" si="2"/>
        <v>1.1437666192984044</v>
      </c>
      <c r="F38" s="80">
        <f t="shared" si="3"/>
        <v>0.1437666192984044</v>
      </c>
      <c r="G38" s="79"/>
    </row>
    <row r="39" spans="1:9" x14ac:dyDescent="0.25">
      <c r="A39" s="79" t="s">
        <v>93</v>
      </c>
      <c r="B39" s="81">
        <v>2432</v>
      </c>
      <c r="C39" s="81">
        <v>3669</v>
      </c>
      <c r="D39" s="79">
        <f t="shared" si="1"/>
        <v>1.5086348684210527</v>
      </c>
      <c r="E39" s="79">
        <f t="shared" si="2"/>
        <v>1.0277928909121488</v>
      </c>
      <c r="F39" s="80">
        <f t="shared" si="3"/>
        <v>2.779289091214876E-2</v>
      </c>
      <c r="G39" s="79"/>
    </row>
    <row r="40" spans="1:9" x14ac:dyDescent="0.25">
      <c r="A40" s="79" t="s">
        <v>95</v>
      </c>
      <c r="B40" s="81">
        <v>1540</v>
      </c>
      <c r="C40" s="81">
        <v>2086</v>
      </c>
      <c r="D40" s="79">
        <f t="shared" si="1"/>
        <v>1.3545454545454545</v>
      </c>
      <c r="E40" s="79">
        <f t="shared" si="2"/>
        <v>1.0204370977156807</v>
      </c>
      <c r="F40" s="80">
        <f t="shared" si="3"/>
        <v>2.0437097715680697E-2</v>
      </c>
      <c r="G40" s="79"/>
    </row>
    <row r="41" spans="1:9" x14ac:dyDescent="0.25">
      <c r="A41" s="79" t="s">
        <v>97</v>
      </c>
      <c r="B41" s="81">
        <v>278</v>
      </c>
      <c r="C41" s="81">
        <v>85</v>
      </c>
      <c r="D41" s="79">
        <f t="shared" si="1"/>
        <v>0.30575539568345322</v>
      </c>
      <c r="E41" s="79">
        <f>D41^(1/8)</f>
        <v>0.86232656690113951</v>
      </c>
      <c r="F41" s="80">
        <f t="shared" si="3"/>
        <v>-0.13767343309886049</v>
      </c>
      <c r="G41" s="79" t="s">
        <v>180</v>
      </c>
    </row>
    <row r="42" spans="1:9" x14ac:dyDescent="0.25">
      <c r="A42" s="79" t="s">
        <v>51</v>
      </c>
      <c r="B42" s="81">
        <v>206</v>
      </c>
      <c r="C42" s="81">
        <v>350</v>
      </c>
      <c r="D42" s="79">
        <f t="shared" si="1"/>
        <v>1.6990291262135921</v>
      </c>
      <c r="E42" s="79">
        <f t="shared" si="2"/>
        <v>1.0359689085963748</v>
      </c>
      <c r="F42" s="80">
        <f t="shared" si="3"/>
        <v>3.5968908596374805E-2</v>
      </c>
      <c r="G42" s="79"/>
    </row>
    <row r="43" spans="1:9" x14ac:dyDescent="0.25">
      <c r="A43" s="79" t="s">
        <v>53</v>
      </c>
      <c r="B43" s="81">
        <v>1589</v>
      </c>
      <c r="C43" s="81">
        <v>4275</v>
      </c>
      <c r="D43" s="79">
        <f t="shared" si="1"/>
        <v>2.6903713027061045</v>
      </c>
      <c r="E43" s="79">
        <f t="shared" si="2"/>
        <v>1.0682038726579577</v>
      </c>
      <c r="F43" s="80">
        <f t="shared" si="3"/>
        <v>6.8203872657957687E-2</v>
      </c>
      <c r="G43" s="79"/>
    </row>
    <row r="44" spans="1:9" x14ac:dyDescent="0.25">
      <c r="A44" s="79" t="s">
        <v>57</v>
      </c>
      <c r="B44" s="81">
        <v>126</v>
      </c>
      <c r="C44" s="81">
        <v>396</v>
      </c>
      <c r="D44" s="79">
        <f t="shared" si="1"/>
        <v>3.1428571428571428</v>
      </c>
      <c r="E44" s="79">
        <f t="shared" si="2"/>
        <v>1.0793318082718846</v>
      </c>
      <c r="F44" s="80">
        <f t="shared" si="3"/>
        <v>7.9331808271884574E-2</v>
      </c>
      <c r="G44" s="79"/>
    </row>
    <row r="45" spans="1:9" x14ac:dyDescent="0.25">
      <c r="A45" s="79" t="s">
        <v>61</v>
      </c>
      <c r="B45" s="81">
        <v>111</v>
      </c>
      <c r="C45" s="81">
        <v>489</v>
      </c>
      <c r="D45" s="79">
        <f t="shared" si="1"/>
        <v>4.4054054054054053</v>
      </c>
      <c r="E45" s="79">
        <f t="shared" si="2"/>
        <v>1.1039067579147102</v>
      </c>
      <c r="F45" s="80">
        <f t="shared" si="3"/>
        <v>0.10390675791471016</v>
      </c>
      <c r="G45" s="79"/>
    </row>
    <row r="46" spans="1:9" x14ac:dyDescent="0.25">
      <c r="A46" s="79" t="s">
        <v>65</v>
      </c>
      <c r="B46" s="81">
        <v>79</v>
      </c>
      <c r="C46" s="81">
        <v>179</v>
      </c>
      <c r="D46" s="79">
        <f t="shared" si="1"/>
        <v>2.2658227848101267</v>
      </c>
      <c r="E46" s="79">
        <f t="shared" si="2"/>
        <v>1.0560433091456161</v>
      </c>
      <c r="F46" s="80">
        <f t="shared" si="3"/>
        <v>5.604330914561606E-2</v>
      </c>
      <c r="G46" s="79"/>
    </row>
    <row r="47" spans="1:9" x14ac:dyDescent="0.25">
      <c r="A47" s="79" t="s">
        <v>71</v>
      </c>
      <c r="B47" s="81">
        <v>80</v>
      </c>
      <c r="C47" s="81">
        <v>210</v>
      </c>
      <c r="D47" s="79">
        <f t="shared" si="1"/>
        <v>2.625</v>
      </c>
      <c r="E47" s="79">
        <f t="shared" si="2"/>
        <v>1.0664535735711718</v>
      </c>
      <c r="F47" s="80">
        <f t="shared" si="3"/>
        <v>6.6453573571171765E-2</v>
      </c>
      <c r="G47" s="79"/>
    </row>
    <row r="48" spans="1:9" x14ac:dyDescent="0.25">
      <c r="A48" s="79" t="s">
        <v>77</v>
      </c>
      <c r="B48" s="81">
        <v>102</v>
      </c>
      <c r="C48" s="81">
        <v>252</v>
      </c>
      <c r="D48" s="79">
        <f t="shared" si="1"/>
        <v>2.4705882352941178</v>
      </c>
      <c r="E48" s="79">
        <f t="shared" si="2"/>
        <v>1.0621520490642851</v>
      </c>
      <c r="F48" s="80">
        <f t="shared" si="3"/>
        <v>6.2152049064285064E-2</v>
      </c>
      <c r="G48" s="79"/>
    </row>
    <row r="49" spans="1:22" x14ac:dyDescent="0.25">
      <c r="A49" s="79" t="s">
        <v>87</v>
      </c>
      <c r="B49" s="79">
        <v>10</v>
      </c>
      <c r="C49" s="81">
        <v>28</v>
      </c>
      <c r="D49" s="79">
        <f t="shared" si="1"/>
        <v>2.8</v>
      </c>
      <c r="E49" s="79">
        <f t="shared" si="2"/>
        <v>1.0710519479868712</v>
      </c>
      <c r="F49" s="80">
        <f t="shared" si="3"/>
        <v>7.10519479868712E-2</v>
      </c>
      <c r="G49" s="79"/>
    </row>
    <row r="50" spans="1:22" x14ac:dyDescent="0.25">
      <c r="A50" s="79" t="s">
        <v>85</v>
      </c>
      <c r="B50" s="79">
        <v>163</v>
      </c>
      <c r="C50" s="81">
        <v>198</v>
      </c>
      <c r="D50" s="79">
        <f t="shared" si="1"/>
        <v>1.2147239263803682</v>
      </c>
      <c r="E50" s="79">
        <f t="shared" si="2"/>
        <v>1.0130522350634399</v>
      </c>
      <c r="F50" s="80">
        <f t="shared" si="3"/>
        <v>1.3052235063439888E-2</v>
      </c>
      <c r="G50" s="79"/>
    </row>
    <row r="51" spans="1:22" x14ac:dyDescent="0.25">
      <c r="C51" s="15"/>
      <c r="F51" s="9"/>
    </row>
    <row r="52" spans="1:22" x14ac:dyDescent="0.25">
      <c r="C52" s="15"/>
      <c r="F52" s="9"/>
    </row>
    <row r="53" spans="1:22" x14ac:dyDescent="0.25">
      <c r="C53" s="15"/>
      <c r="F53" s="9"/>
    </row>
    <row r="54" spans="1:22" x14ac:dyDescent="0.25">
      <c r="B54" t="s">
        <v>53</v>
      </c>
      <c r="C54" t="s">
        <v>93</v>
      </c>
      <c r="D54" t="s">
        <v>63</v>
      </c>
      <c r="E54" t="s">
        <v>95</v>
      </c>
      <c r="F54" t="s">
        <v>101</v>
      </c>
      <c r="G54" t="s">
        <v>61</v>
      </c>
      <c r="H54" t="s">
        <v>67</v>
      </c>
      <c r="I54" t="s">
        <v>57</v>
      </c>
      <c r="J54" t="s">
        <v>51</v>
      </c>
      <c r="K54" t="s">
        <v>77</v>
      </c>
      <c r="L54" t="s">
        <v>71</v>
      </c>
      <c r="M54" t="s">
        <v>85</v>
      </c>
      <c r="N54" t="s">
        <v>65</v>
      </c>
      <c r="O54" t="s">
        <v>79</v>
      </c>
      <c r="P54" t="s">
        <v>97</v>
      </c>
      <c r="Q54" t="s">
        <v>75</v>
      </c>
      <c r="R54" t="s">
        <v>55</v>
      </c>
      <c r="S54" t="s">
        <v>69</v>
      </c>
      <c r="T54" t="s">
        <v>81</v>
      </c>
      <c r="U54" t="s">
        <v>87</v>
      </c>
      <c r="V54" t="s">
        <v>73</v>
      </c>
    </row>
    <row r="55" spans="1:22" x14ac:dyDescent="0.25">
      <c r="A55" s="21" t="s">
        <v>181</v>
      </c>
      <c r="B55">
        <v>6.8203872657957687</v>
      </c>
      <c r="C55">
        <v>2.779289091214876</v>
      </c>
      <c r="D55">
        <v>15.384609309900776</v>
      </c>
      <c r="E55">
        <v>2.0437097715680697</v>
      </c>
      <c r="F55">
        <v>3.3025782522044356</v>
      </c>
      <c r="G55">
        <v>10.390675791471015</v>
      </c>
      <c r="H55">
        <v>-1.3738398679523534</v>
      </c>
      <c r="I55">
        <v>7.9331808271884574</v>
      </c>
      <c r="J55">
        <v>3.5968908596374805</v>
      </c>
      <c r="K55">
        <v>6.2152049064285064</v>
      </c>
      <c r="L55">
        <v>6.6453573571171765</v>
      </c>
      <c r="M55">
        <v>1.3052235063439888</v>
      </c>
      <c r="N55">
        <v>5.604330914561606</v>
      </c>
      <c r="O55">
        <v>6.0260427009175999</v>
      </c>
      <c r="P55">
        <v>-13.767343309886048</v>
      </c>
      <c r="Q55">
        <v>15.940577328561867</v>
      </c>
      <c r="R55">
        <v>13.715111143035941</v>
      </c>
      <c r="S55">
        <v>-0.86593126886237437</v>
      </c>
      <c r="T55">
        <v>14.37666192984044</v>
      </c>
      <c r="U55">
        <v>7.10519479868712</v>
      </c>
      <c r="V55">
        <v>14.37666192984044</v>
      </c>
    </row>
    <row r="56" spans="1:22" x14ac:dyDescent="0.25">
      <c r="A56" t="s">
        <v>107</v>
      </c>
      <c r="B56">
        <v>4275</v>
      </c>
      <c r="C56">
        <v>3669</v>
      </c>
      <c r="D56">
        <v>2162</v>
      </c>
      <c r="E56">
        <v>2086</v>
      </c>
      <c r="F56">
        <v>534</v>
      </c>
      <c r="G56">
        <v>489</v>
      </c>
      <c r="H56">
        <v>464</v>
      </c>
      <c r="I56">
        <v>396</v>
      </c>
      <c r="J56">
        <v>350</v>
      </c>
      <c r="K56">
        <v>252</v>
      </c>
      <c r="L56">
        <v>210</v>
      </c>
      <c r="M56">
        <v>198</v>
      </c>
      <c r="N56">
        <v>179</v>
      </c>
      <c r="O56">
        <v>178</v>
      </c>
      <c r="P56">
        <v>85</v>
      </c>
      <c r="Q56">
        <v>79</v>
      </c>
      <c r="R56">
        <v>55</v>
      </c>
      <c r="S56">
        <v>45</v>
      </c>
      <c r="T56">
        <v>30</v>
      </c>
      <c r="U56">
        <v>28</v>
      </c>
      <c r="V56">
        <v>15</v>
      </c>
    </row>
    <row r="59" spans="1:22" x14ac:dyDescent="0.25">
      <c r="B59" t="s">
        <v>182</v>
      </c>
      <c r="C59" s="21" t="s">
        <v>183</v>
      </c>
    </row>
    <row r="60" spans="1:22" x14ac:dyDescent="0.25">
      <c r="A60" t="s">
        <v>53</v>
      </c>
      <c r="B60">
        <v>4275</v>
      </c>
      <c r="C60" s="9">
        <v>6.8203872657957687E-2</v>
      </c>
    </row>
    <row r="61" spans="1:22" x14ac:dyDescent="0.25">
      <c r="A61" t="s">
        <v>93</v>
      </c>
      <c r="B61">
        <v>3669</v>
      </c>
      <c r="C61" s="9">
        <v>2.779289091214876E-2</v>
      </c>
    </row>
    <row r="62" spans="1:22" x14ac:dyDescent="0.25">
      <c r="A62" t="s">
        <v>63</v>
      </c>
      <c r="B62">
        <v>2162</v>
      </c>
      <c r="C62" s="9">
        <v>0.15384609309900776</v>
      </c>
    </row>
    <row r="63" spans="1:22" x14ac:dyDescent="0.25">
      <c r="A63" t="s">
        <v>95</v>
      </c>
      <c r="B63">
        <v>2086</v>
      </c>
      <c r="C63" s="9">
        <v>2.0437097715680697E-2</v>
      </c>
    </row>
    <row r="64" spans="1:22" x14ac:dyDescent="0.25">
      <c r="A64" t="s">
        <v>101</v>
      </c>
      <c r="B64">
        <v>534</v>
      </c>
      <c r="C64" s="9">
        <v>3.3025782522044356E-2</v>
      </c>
    </row>
    <row r="65" spans="1:3" x14ac:dyDescent="0.25">
      <c r="A65" t="s">
        <v>61</v>
      </c>
      <c r="B65">
        <v>489</v>
      </c>
      <c r="C65" s="9">
        <v>0.10390675791471016</v>
      </c>
    </row>
    <row r="66" spans="1:3" x14ac:dyDescent="0.25">
      <c r="A66" t="s">
        <v>67</v>
      </c>
      <c r="B66">
        <v>464</v>
      </c>
      <c r="C66" s="9">
        <v>-1.3738398679523534E-2</v>
      </c>
    </row>
    <row r="67" spans="1:3" x14ac:dyDescent="0.25">
      <c r="A67" t="s">
        <v>57</v>
      </c>
      <c r="B67">
        <v>396</v>
      </c>
      <c r="C67" s="9">
        <v>7.9331808271884574E-2</v>
      </c>
    </row>
    <row r="68" spans="1:3" x14ac:dyDescent="0.25">
      <c r="A68" t="s">
        <v>51</v>
      </c>
      <c r="B68">
        <v>350</v>
      </c>
      <c r="C68" s="9">
        <v>3.5968908596374805E-2</v>
      </c>
    </row>
    <row r="69" spans="1:3" x14ac:dyDescent="0.25">
      <c r="A69" t="s">
        <v>77</v>
      </c>
      <c r="B69">
        <v>252</v>
      </c>
      <c r="C69" s="9">
        <v>6.2152049064285064E-2</v>
      </c>
    </row>
    <row r="70" spans="1:3" x14ac:dyDescent="0.25">
      <c r="A70" t="s">
        <v>71</v>
      </c>
      <c r="B70">
        <v>210</v>
      </c>
      <c r="C70" s="9">
        <v>6.6453573571171765E-2</v>
      </c>
    </row>
    <row r="71" spans="1:3" x14ac:dyDescent="0.25">
      <c r="A71" t="s">
        <v>85</v>
      </c>
      <c r="B71">
        <v>198</v>
      </c>
      <c r="C71" s="9">
        <v>1.3052235063439888E-2</v>
      </c>
    </row>
    <row r="72" spans="1:3" x14ac:dyDescent="0.25">
      <c r="A72" t="s">
        <v>65</v>
      </c>
      <c r="B72">
        <v>179</v>
      </c>
      <c r="C72" s="9">
        <v>5.604330914561606E-2</v>
      </c>
    </row>
    <row r="73" spans="1:3" x14ac:dyDescent="0.25">
      <c r="A73" t="s">
        <v>79</v>
      </c>
      <c r="B73">
        <v>178</v>
      </c>
      <c r="C73" s="9">
        <v>6.0260427009175999E-2</v>
      </c>
    </row>
    <row r="74" spans="1:3" x14ac:dyDescent="0.25">
      <c r="A74" t="s">
        <v>97</v>
      </c>
      <c r="B74">
        <v>85</v>
      </c>
      <c r="C74" s="9">
        <v>-0.13767343309886049</v>
      </c>
    </row>
    <row r="75" spans="1:3" x14ac:dyDescent="0.25">
      <c r="A75" t="s">
        <v>75</v>
      </c>
      <c r="B75">
        <v>79</v>
      </c>
      <c r="C75" s="9">
        <v>0.15940577328561867</v>
      </c>
    </row>
    <row r="76" spans="1:3" x14ac:dyDescent="0.25">
      <c r="A76" t="s">
        <v>55</v>
      </c>
      <c r="B76">
        <v>55</v>
      </c>
      <c r="C76" s="9">
        <v>0.13715111143035941</v>
      </c>
    </row>
    <row r="77" spans="1:3" x14ac:dyDescent="0.25">
      <c r="A77" t="s">
        <v>69</v>
      </c>
      <c r="B77">
        <v>45</v>
      </c>
      <c r="C77" s="9">
        <v>-8.6593126886237437E-3</v>
      </c>
    </row>
    <row r="78" spans="1:3" x14ac:dyDescent="0.25">
      <c r="A78" t="s">
        <v>81</v>
      </c>
      <c r="B78">
        <v>30</v>
      </c>
      <c r="C78" s="9">
        <v>0.1437666192984044</v>
      </c>
    </row>
    <row r="79" spans="1:3" x14ac:dyDescent="0.25">
      <c r="A79" t="s">
        <v>87</v>
      </c>
      <c r="B79">
        <v>28</v>
      </c>
      <c r="C79" s="9">
        <v>7.10519479868712E-2</v>
      </c>
    </row>
    <row r="80" spans="1:3" x14ac:dyDescent="0.25">
      <c r="A80" t="s">
        <v>73</v>
      </c>
      <c r="B80">
        <v>15</v>
      </c>
      <c r="C80" s="9">
        <v>0.1437666192984044</v>
      </c>
    </row>
  </sheetData>
  <hyperlinks>
    <hyperlink ref="A2" location="Overzicht!A1" display="Terug naar tabblad Overzicht" xr:uid="{2FDA0C54-F0DB-413C-9991-D6D91CF49924}"/>
  </hyperlink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A273C3-9E2A-4D42-BC0B-B12A1BB3C39F}">
  <sheetPr>
    <tabColor theme="5" tint="0.59999389629810485"/>
  </sheetPr>
  <dimension ref="A1:AW72"/>
  <sheetViews>
    <sheetView workbookViewId="0">
      <selection activeCell="A2" sqref="A2"/>
    </sheetView>
  </sheetViews>
  <sheetFormatPr defaultRowHeight="12.5" x14ac:dyDescent="0.25"/>
  <cols>
    <col min="49" max="49" width="12" bestFit="1" customWidth="1"/>
  </cols>
  <sheetData>
    <row r="1" spans="1:47" ht="18.5" x14ac:dyDescent="0.45">
      <c r="A1" s="1" t="s">
        <v>34</v>
      </c>
    </row>
    <row r="2" spans="1:47" ht="13" x14ac:dyDescent="0.3">
      <c r="A2" s="52" t="s">
        <v>48</v>
      </c>
      <c r="N2" s="4"/>
    </row>
    <row r="3" spans="1:47" ht="13" x14ac:dyDescent="0.3">
      <c r="N3" s="4"/>
    </row>
    <row r="4" spans="1:47" ht="13" x14ac:dyDescent="0.3">
      <c r="N4" s="4"/>
    </row>
    <row r="5" spans="1:47" ht="13" x14ac:dyDescent="0.3">
      <c r="B5" s="4">
        <v>2016</v>
      </c>
      <c r="C5" s="4">
        <v>2022</v>
      </c>
      <c r="D5" s="4"/>
      <c r="H5" s="4"/>
      <c r="I5" s="4"/>
      <c r="N5" s="4"/>
      <c r="O5" s="4"/>
      <c r="P5" s="4"/>
      <c r="Q5" s="4"/>
      <c r="R5" s="4"/>
      <c r="S5" s="4"/>
      <c r="T5" s="4"/>
    </row>
    <row r="6" spans="1:47" x14ac:dyDescent="0.25">
      <c r="A6" t="s">
        <v>73</v>
      </c>
      <c r="B6" s="9">
        <v>0.26216272916145011</v>
      </c>
      <c r="C6" s="9">
        <v>0.32928707526198792</v>
      </c>
      <c r="D6" s="9"/>
      <c r="E6" s="22"/>
      <c r="L6" s="23"/>
      <c r="N6" s="9"/>
      <c r="O6" s="9"/>
      <c r="P6" s="9"/>
      <c r="Q6" s="9"/>
      <c r="R6" s="9"/>
      <c r="S6" s="9"/>
      <c r="T6" s="9"/>
    </row>
    <row r="7" spans="1:47" x14ac:dyDescent="0.25">
      <c r="A7" t="s">
        <v>59</v>
      </c>
      <c r="B7" s="9">
        <v>0.23875627182635187</v>
      </c>
      <c r="C7" s="9">
        <v>0.36755002205265541</v>
      </c>
      <c r="D7" s="9"/>
      <c r="E7" s="22"/>
      <c r="L7" s="23"/>
      <c r="N7" s="9"/>
      <c r="O7" s="9"/>
      <c r="P7" s="9"/>
      <c r="Q7" s="9"/>
      <c r="R7" s="9"/>
      <c r="S7" s="9"/>
      <c r="T7" s="9"/>
    </row>
    <row r="8" spans="1:47" ht="13" x14ac:dyDescent="0.3">
      <c r="A8" t="s">
        <v>89</v>
      </c>
      <c r="B8" s="9">
        <v>0.38585571456577139</v>
      </c>
      <c r="C8" s="9">
        <v>0.50225400279807242</v>
      </c>
      <c r="D8" s="9"/>
      <c r="E8" s="22"/>
      <c r="L8" s="23"/>
      <c r="N8" s="9"/>
      <c r="O8" s="9"/>
      <c r="P8" s="9"/>
      <c r="Q8" s="9"/>
      <c r="R8" s="9"/>
      <c r="S8" s="9"/>
      <c r="T8" s="9"/>
      <c r="AA8" s="4"/>
      <c r="AB8" s="4"/>
      <c r="AC8" s="4"/>
      <c r="AD8" s="4"/>
      <c r="AE8" s="4"/>
      <c r="AF8" s="4"/>
      <c r="AG8" s="4"/>
      <c r="AH8" s="4"/>
      <c r="AN8" s="4"/>
    </row>
    <row r="9" spans="1:47" ht="13" x14ac:dyDescent="0.3">
      <c r="A9" t="s">
        <v>81</v>
      </c>
      <c r="B9" s="9">
        <v>0.36384747005622098</v>
      </c>
      <c r="C9" s="9">
        <v>0.5290863419788282</v>
      </c>
      <c r="D9" s="9"/>
      <c r="E9" s="22"/>
      <c r="L9" s="23"/>
      <c r="N9" s="9"/>
      <c r="O9" s="9"/>
      <c r="P9" s="9"/>
      <c r="Q9" s="9"/>
      <c r="R9" s="9"/>
      <c r="S9" s="9"/>
      <c r="T9" s="9"/>
      <c r="AA9" s="9"/>
      <c r="AB9" s="9"/>
      <c r="AC9" s="9"/>
      <c r="AD9" s="9"/>
      <c r="AE9" s="9"/>
      <c r="AF9" s="9"/>
      <c r="AG9" s="9"/>
      <c r="AH9" s="9"/>
      <c r="AN9" s="4"/>
      <c r="AO9" s="4"/>
      <c r="AP9" s="4"/>
      <c r="AQ9" s="4"/>
      <c r="AR9" s="4"/>
      <c r="AS9" s="4"/>
      <c r="AT9" s="4"/>
      <c r="AU9" s="4"/>
    </row>
    <row r="10" spans="1:47" ht="13" x14ac:dyDescent="0.3">
      <c r="A10" t="s">
        <v>57</v>
      </c>
      <c r="B10" s="9">
        <v>0.41771347122099284</v>
      </c>
      <c r="C10" s="9">
        <v>0.54507832043382631</v>
      </c>
      <c r="D10" s="9"/>
      <c r="E10" s="22"/>
      <c r="J10" s="4"/>
      <c r="L10" s="23"/>
      <c r="N10" s="9"/>
      <c r="O10" s="9"/>
      <c r="P10" s="9"/>
      <c r="Q10" s="9"/>
      <c r="R10" s="9"/>
      <c r="S10" s="9"/>
      <c r="T10" s="9"/>
      <c r="AA10" s="9"/>
      <c r="AB10" s="9"/>
      <c r="AC10" s="9"/>
      <c r="AD10" s="9"/>
      <c r="AE10" s="9"/>
      <c r="AF10" s="9"/>
      <c r="AG10" s="9"/>
      <c r="AH10" s="9"/>
      <c r="AN10" s="9"/>
      <c r="AO10" s="9"/>
      <c r="AP10" s="9"/>
      <c r="AQ10" s="9"/>
      <c r="AR10" s="9"/>
      <c r="AS10" s="9"/>
      <c r="AT10" s="9"/>
      <c r="AU10" s="9"/>
    </row>
    <row r="11" spans="1:47" ht="13" x14ac:dyDescent="0.3">
      <c r="A11" t="s">
        <v>79</v>
      </c>
      <c r="B11" s="9">
        <v>0.4141514260135567</v>
      </c>
      <c r="C11" s="9">
        <v>0.56301632263647183</v>
      </c>
      <c r="D11" s="9"/>
      <c r="E11" s="22"/>
      <c r="J11" s="4"/>
      <c r="L11" s="23"/>
      <c r="N11" s="9"/>
      <c r="O11" s="9"/>
      <c r="P11" s="9"/>
      <c r="Q11" s="9"/>
      <c r="R11" s="9"/>
      <c r="S11" s="9"/>
      <c r="T11" s="9"/>
      <c r="W11" s="4"/>
      <c r="AA11" s="9"/>
      <c r="AB11" s="9"/>
      <c r="AC11" s="9"/>
      <c r="AD11" s="9"/>
      <c r="AE11" s="9"/>
      <c r="AF11" s="9"/>
      <c r="AG11" s="9"/>
      <c r="AH11" s="9"/>
      <c r="AN11" s="9"/>
      <c r="AO11" s="9"/>
      <c r="AP11" s="9"/>
      <c r="AQ11" s="9"/>
      <c r="AR11" s="9"/>
      <c r="AS11" s="9"/>
      <c r="AT11" s="9"/>
      <c r="AU11" s="9"/>
    </row>
    <row r="12" spans="1:47" x14ac:dyDescent="0.25">
      <c r="A12" t="s">
        <v>51</v>
      </c>
      <c r="B12" s="9">
        <v>0.44159121104871213</v>
      </c>
      <c r="C12" s="9">
        <v>0.56311713630702021</v>
      </c>
      <c r="D12" s="9"/>
      <c r="E12" s="22"/>
      <c r="J12" s="9"/>
      <c r="L12" s="23"/>
      <c r="N12" s="9"/>
      <c r="O12" s="9"/>
      <c r="P12" s="9"/>
      <c r="Q12" s="9"/>
      <c r="R12" s="9"/>
      <c r="S12" s="9"/>
      <c r="T12" s="9"/>
      <c r="W12" s="9"/>
      <c r="AA12" s="9"/>
      <c r="AB12" s="9"/>
      <c r="AC12" s="9"/>
      <c r="AD12" s="9"/>
      <c r="AE12" s="9"/>
      <c r="AF12" s="9"/>
      <c r="AG12" s="9"/>
      <c r="AH12" s="9"/>
      <c r="AN12" s="9"/>
      <c r="AO12" s="9"/>
      <c r="AP12" s="9"/>
      <c r="AQ12" s="9"/>
      <c r="AR12" s="9"/>
      <c r="AS12" s="9"/>
      <c r="AT12" s="9"/>
      <c r="AU12" s="9"/>
    </row>
    <row r="13" spans="1:47" x14ac:dyDescent="0.25">
      <c r="A13" t="s">
        <v>75</v>
      </c>
      <c r="B13" s="9">
        <v>0.4097687157638466</v>
      </c>
      <c r="C13" s="9">
        <v>0.56339393939393945</v>
      </c>
      <c r="D13" s="9"/>
      <c r="E13" s="22"/>
      <c r="J13" s="9"/>
      <c r="L13" s="23"/>
      <c r="N13" s="9"/>
      <c r="O13" s="9"/>
      <c r="P13" s="9"/>
      <c r="Q13" s="9"/>
      <c r="R13" s="9"/>
      <c r="S13" s="9"/>
      <c r="T13" s="9"/>
      <c r="W13" s="9"/>
      <c r="AA13" s="9"/>
      <c r="AB13" s="9"/>
      <c r="AC13" s="9"/>
      <c r="AD13" s="9"/>
      <c r="AE13" s="9"/>
      <c r="AF13" s="9"/>
      <c r="AG13" s="9"/>
      <c r="AH13" s="9"/>
      <c r="AN13" s="9"/>
      <c r="AO13" s="9"/>
      <c r="AP13" s="9"/>
      <c r="AQ13" s="9"/>
      <c r="AR13" s="9"/>
      <c r="AS13" s="9"/>
      <c r="AT13" s="9"/>
      <c r="AU13" s="9"/>
    </row>
    <row r="14" spans="1:47" x14ac:dyDescent="0.25">
      <c r="A14" t="s">
        <v>95</v>
      </c>
      <c r="B14" s="9">
        <v>0.4730003135969571</v>
      </c>
      <c r="C14" s="9">
        <v>0.56957313531249509</v>
      </c>
      <c r="D14" s="9"/>
      <c r="E14" s="22"/>
      <c r="J14" s="9"/>
      <c r="L14" s="23"/>
      <c r="N14" s="9"/>
      <c r="O14" s="9"/>
      <c r="P14" s="9"/>
      <c r="Q14" s="9"/>
      <c r="R14" s="9"/>
      <c r="S14" s="9"/>
      <c r="T14" s="9"/>
      <c r="W14" s="9"/>
      <c r="AA14" s="9"/>
      <c r="AB14" s="9"/>
      <c r="AC14" s="9"/>
      <c r="AD14" s="9"/>
      <c r="AE14" s="9"/>
      <c r="AF14" s="9"/>
      <c r="AG14" s="9"/>
      <c r="AH14" s="9"/>
      <c r="AN14" s="9"/>
      <c r="AO14" s="9"/>
      <c r="AP14" s="9"/>
      <c r="AQ14" s="9"/>
      <c r="AR14" s="9"/>
      <c r="AS14" s="9"/>
      <c r="AT14" s="9"/>
      <c r="AU14" s="9"/>
    </row>
    <row r="15" spans="1:47" x14ac:dyDescent="0.25">
      <c r="A15" t="s">
        <v>55</v>
      </c>
      <c r="B15" s="9">
        <v>0.53439662871176596</v>
      </c>
      <c r="C15" s="9">
        <v>0.57286589455797521</v>
      </c>
      <c r="D15" s="9"/>
      <c r="E15" s="22"/>
      <c r="J15" s="9"/>
      <c r="L15" s="23"/>
      <c r="N15" s="9"/>
      <c r="O15" s="9"/>
      <c r="P15" s="9"/>
      <c r="Q15" s="9"/>
      <c r="R15" s="9"/>
      <c r="S15" s="9"/>
      <c r="T15" s="9"/>
      <c r="W15" s="9"/>
      <c r="AA15" s="9"/>
      <c r="AB15" s="9"/>
      <c r="AC15" s="9"/>
      <c r="AD15" s="9"/>
      <c r="AE15" s="9"/>
      <c r="AF15" s="9"/>
      <c r="AG15" s="9"/>
      <c r="AH15" s="9"/>
      <c r="AN15" s="9"/>
      <c r="AO15" s="9"/>
      <c r="AP15" s="9"/>
      <c r="AQ15" s="9"/>
      <c r="AR15" s="9"/>
      <c r="AS15" s="9"/>
      <c r="AT15" s="9"/>
      <c r="AU15" s="9"/>
    </row>
    <row r="16" spans="1:47" x14ac:dyDescent="0.25">
      <c r="A16" t="s">
        <v>77</v>
      </c>
      <c r="B16" s="9">
        <v>0.44543095721092607</v>
      </c>
      <c r="C16" s="9">
        <v>0.62684163519624181</v>
      </c>
      <c r="D16" s="9"/>
      <c r="E16" s="22"/>
      <c r="J16" s="9"/>
      <c r="L16" s="23"/>
      <c r="N16" s="9"/>
      <c r="O16" s="9"/>
      <c r="P16" s="9"/>
      <c r="Q16" s="9"/>
      <c r="R16" s="9"/>
      <c r="S16" s="9"/>
      <c r="T16" s="9"/>
      <c r="W16" s="9"/>
      <c r="AA16" s="9"/>
      <c r="AB16" s="9"/>
      <c r="AC16" s="9"/>
      <c r="AD16" s="9"/>
      <c r="AE16" s="9"/>
      <c r="AF16" s="9"/>
      <c r="AG16" s="9"/>
      <c r="AH16" s="9"/>
      <c r="AN16" s="9"/>
      <c r="AO16" s="9"/>
      <c r="AP16" s="9"/>
      <c r="AQ16" s="9"/>
      <c r="AR16" s="9"/>
      <c r="AS16" s="9"/>
      <c r="AT16" s="9"/>
      <c r="AU16" s="9"/>
    </row>
    <row r="17" spans="1:47" x14ac:dyDescent="0.25">
      <c r="A17" t="s">
        <v>97</v>
      </c>
      <c r="B17" s="9">
        <v>0.48830616583982989</v>
      </c>
      <c r="C17" s="9">
        <v>0.63608435469935043</v>
      </c>
      <c r="D17" s="9"/>
      <c r="E17" s="22"/>
      <c r="J17" s="9"/>
      <c r="L17" s="23"/>
      <c r="N17" s="9"/>
      <c r="O17" s="9"/>
      <c r="P17" s="9"/>
      <c r="Q17" s="9"/>
      <c r="R17" s="9"/>
      <c r="S17" s="9"/>
      <c r="T17" s="9"/>
      <c r="W17" s="9"/>
      <c r="AA17" s="9"/>
      <c r="AB17" s="9"/>
      <c r="AC17" s="9"/>
      <c r="AD17" s="9"/>
      <c r="AE17" s="9"/>
      <c r="AF17" s="9"/>
      <c r="AG17" s="9"/>
      <c r="AH17" s="9"/>
      <c r="AN17" s="9"/>
      <c r="AO17" s="9"/>
      <c r="AP17" s="9"/>
      <c r="AQ17" s="9"/>
      <c r="AR17" s="9"/>
      <c r="AS17" s="9"/>
      <c r="AT17" s="9"/>
      <c r="AU17" s="9"/>
    </row>
    <row r="18" spans="1:47" x14ac:dyDescent="0.25">
      <c r="A18" t="s">
        <v>63</v>
      </c>
      <c r="B18" s="9">
        <v>0.42861323633931186</v>
      </c>
      <c r="C18" s="9">
        <v>0.64561749712218386</v>
      </c>
      <c r="D18" s="9"/>
      <c r="E18" s="22"/>
      <c r="J18" s="9"/>
      <c r="L18" s="23"/>
      <c r="N18" s="9"/>
      <c r="O18" s="9"/>
      <c r="P18" s="9"/>
      <c r="Q18" s="9"/>
      <c r="R18" s="9"/>
      <c r="S18" s="9"/>
      <c r="T18" s="9"/>
      <c r="W18" s="9"/>
      <c r="AA18" s="9"/>
      <c r="AB18" s="9"/>
      <c r="AC18" s="9"/>
      <c r="AD18" s="9"/>
      <c r="AE18" s="9"/>
      <c r="AF18" s="9"/>
      <c r="AG18" s="9"/>
      <c r="AH18" s="9"/>
      <c r="AN18" s="9"/>
      <c r="AO18" s="9"/>
      <c r="AP18" s="9"/>
      <c r="AQ18" s="9"/>
      <c r="AR18" s="9"/>
      <c r="AS18" s="9"/>
      <c r="AT18" s="9"/>
      <c r="AU18" s="9"/>
    </row>
    <row r="19" spans="1:47" x14ac:dyDescent="0.25">
      <c r="A19" t="s">
        <v>69</v>
      </c>
      <c r="B19" s="9">
        <v>0.39193548387096772</v>
      </c>
      <c r="C19" s="9">
        <v>0.66020944761562317</v>
      </c>
      <c r="D19" s="9"/>
      <c r="E19" s="22"/>
      <c r="J19" s="9"/>
      <c r="L19" s="23"/>
      <c r="N19" s="9"/>
      <c r="O19" s="9"/>
      <c r="P19" s="9"/>
      <c r="Q19" s="9"/>
      <c r="R19" s="9"/>
      <c r="S19" s="9"/>
      <c r="T19" s="9"/>
      <c r="W19" s="9"/>
      <c r="AA19" s="9"/>
      <c r="AB19" s="9"/>
      <c r="AC19" s="9"/>
      <c r="AD19" s="9"/>
      <c r="AE19" s="9"/>
      <c r="AF19" s="9"/>
      <c r="AG19" s="9"/>
      <c r="AH19" s="9"/>
      <c r="AN19" s="9"/>
      <c r="AO19" s="9"/>
      <c r="AP19" s="9"/>
      <c r="AQ19" s="9"/>
      <c r="AR19" s="9"/>
      <c r="AS19" s="9"/>
      <c r="AT19" s="9"/>
      <c r="AU19" s="9"/>
    </row>
    <row r="20" spans="1:47" x14ac:dyDescent="0.25">
      <c r="A20" t="s">
        <v>67</v>
      </c>
      <c r="B20" s="9">
        <v>0.48396053693371627</v>
      </c>
      <c r="C20" s="9">
        <v>0.67793277943036889</v>
      </c>
      <c r="D20" s="9"/>
      <c r="E20" s="22"/>
      <c r="J20" s="9"/>
      <c r="L20" s="23"/>
      <c r="N20" s="9"/>
      <c r="O20" s="9"/>
      <c r="P20" s="9"/>
      <c r="Q20" s="9"/>
      <c r="R20" s="9"/>
      <c r="S20" s="9"/>
      <c r="T20" s="9"/>
      <c r="W20" s="9"/>
      <c r="AA20" s="9"/>
      <c r="AB20" s="9"/>
      <c r="AC20" s="9"/>
      <c r="AD20" s="9"/>
      <c r="AE20" s="9"/>
      <c r="AF20" s="9"/>
      <c r="AG20" s="9"/>
      <c r="AH20" s="9"/>
      <c r="AN20" s="9"/>
      <c r="AO20" s="9"/>
      <c r="AP20" s="9"/>
      <c r="AQ20" s="9"/>
      <c r="AR20" s="9"/>
      <c r="AS20" s="9"/>
      <c r="AT20" s="9"/>
      <c r="AU20" s="9"/>
    </row>
    <row r="21" spans="1:47" x14ac:dyDescent="0.25">
      <c r="A21" t="s">
        <v>71</v>
      </c>
      <c r="B21" s="9">
        <v>0.5175775253300583</v>
      </c>
      <c r="C21" s="9">
        <v>0.70238929939053985</v>
      </c>
      <c r="D21" s="9"/>
      <c r="E21" s="22"/>
      <c r="J21" s="9"/>
      <c r="L21" s="23"/>
      <c r="N21" s="9"/>
      <c r="O21" s="9"/>
      <c r="P21" s="9"/>
      <c r="Q21" s="9"/>
      <c r="R21" s="9"/>
      <c r="S21" s="9"/>
      <c r="T21" s="9"/>
      <c r="W21" s="9"/>
      <c r="AA21" s="9"/>
      <c r="AB21" s="9"/>
      <c r="AC21" s="9"/>
      <c r="AD21" s="9"/>
      <c r="AE21" s="9"/>
      <c r="AF21" s="9"/>
      <c r="AG21" s="9"/>
      <c r="AH21" s="9"/>
      <c r="AN21" s="9"/>
      <c r="AO21" s="9"/>
      <c r="AP21" s="9"/>
      <c r="AQ21" s="9"/>
      <c r="AR21" s="9"/>
      <c r="AS21" s="9"/>
      <c r="AT21" s="9"/>
      <c r="AU21" s="9"/>
    </row>
    <row r="22" spans="1:47" x14ac:dyDescent="0.25">
      <c r="A22" t="s">
        <v>91</v>
      </c>
      <c r="B22" s="9">
        <v>0.48367077717235446</v>
      </c>
      <c r="C22" s="9">
        <v>0.70681176377440158</v>
      </c>
      <c r="D22" s="9"/>
      <c r="E22" s="22"/>
      <c r="J22" s="9"/>
      <c r="L22" s="23"/>
      <c r="N22" s="9"/>
      <c r="O22" s="9"/>
      <c r="P22" s="9"/>
      <c r="Q22" s="9"/>
      <c r="R22" s="9"/>
      <c r="S22" s="9"/>
      <c r="T22" s="9"/>
      <c r="W22" s="9"/>
      <c r="AA22" s="9"/>
      <c r="AB22" s="9"/>
      <c r="AC22" s="9"/>
      <c r="AD22" s="9"/>
      <c r="AE22" s="9"/>
      <c r="AF22" s="9"/>
      <c r="AG22" s="9"/>
      <c r="AH22" s="9"/>
      <c r="AN22" s="9"/>
      <c r="AO22" s="9"/>
      <c r="AP22" s="9"/>
      <c r="AQ22" s="9"/>
      <c r="AR22" s="9"/>
      <c r="AS22" s="9"/>
      <c r="AT22" s="9"/>
      <c r="AU22" s="9"/>
    </row>
    <row r="23" spans="1:47" x14ac:dyDescent="0.25">
      <c r="A23" t="s">
        <v>53</v>
      </c>
      <c r="B23" s="9">
        <v>0.57535022823862747</v>
      </c>
      <c r="C23" s="9">
        <v>0.71180963572267919</v>
      </c>
      <c r="D23" s="9"/>
      <c r="E23" s="22"/>
      <c r="J23" s="9"/>
      <c r="L23" s="23"/>
      <c r="N23" s="9"/>
      <c r="O23" s="9"/>
      <c r="P23" s="9"/>
      <c r="Q23" s="9"/>
      <c r="R23" s="9"/>
      <c r="S23" s="9"/>
      <c r="T23" s="9"/>
      <c r="W23" s="9"/>
      <c r="AA23" s="9"/>
      <c r="AB23" s="9"/>
      <c r="AC23" s="9"/>
      <c r="AD23" s="9"/>
      <c r="AE23" s="9"/>
      <c r="AF23" s="9"/>
      <c r="AG23" s="9"/>
      <c r="AH23" s="9"/>
      <c r="AN23" s="9"/>
      <c r="AO23" s="9"/>
      <c r="AP23" s="9"/>
      <c r="AQ23" s="9"/>
      <c r="AR23" s="9"/>
      <c r="AS23" s="9"/>
      <c r="AT23" s="9"/>
      <c r="AU23" s="9"/>
    </row>
    <row r="24" spans="1:47" x14ac:dyDescent="0.25">
      <c r="A24" t="s">
        <v>61</v>
      </c>
      <c r="B24" s="9">
        <v>0.55117715167888848</v>
      </c>
      <c r="C24" s="9">
        <v>0.71528808110781406</v>
      </c>
      <c r="D24" s="9"/>
      <c r="E24" s="22"/>
      <c r="J24" s="9"/>
      <c r="L24" s="23"/>
      <c r="N24" s="9"/>
      <c r="O24" s="9"/>
      <c r="P24" s="9"/>
      <c r="Q24" s="9"/>
      <c r="R24" s="9"/>
      <c r="S24" s="9"/>
      <c r="T24" s="9"/>
      <c r="W24" s="9"/>
      <c r="AA24" s="9"/>
      <c r="AB24" s="9"/>
      <c r="AC24" s="9"/>
      <c r="AD24" s="9"/>
      <c r="AE24" s="9"/>
      <c r="AF24" s="9"/>
      <c r="AG24" s="9"/>
      <c r="AH24" s="9"/>
      <c r="AN24" s="9"/>
      <c r="AO24" s="9"/>
      <c r="AP24" s="9"/>
      <c r="AQ24" s="9"/>
      <c r="AR24" s="9"/>
      <c r="AS24" s="9"/>
      <c r="AT24" s="9"/>
      <c r="AU24" s="9"/>
    </row>
    <row r="25" spans="1:47" x14ac:dyDescent="0.25">
      <c r="A25" t="s">
        <v>87</v>
      </c>
      <c r="B25" s="9">
        <v>0.45833058396568788</v>
      </c>
      <c r="C25" s="9">
        <v>0.72646023926812109</v>
      </c>
      <c r="D25" s="9"/>
      <c r="E25" s="22"/>
      <c r="J25" s="9"/>
      <c r="L25" s="23"/>
      <c r="N25" s="9"/>
      <c r="O25" s="9"/>
      <c r="P25" s="9"/>
      <c r="Q25" s="9"/>
      <c r="R25" s="9"/>
      <c r="S25" s="9"/>
      <c r="T25" s="9"/>
      <c r="W25" s="9"/>
      <c r="AA25" s="9"/>
      <c r="AB25" s="9"/>
      <c r="AC25" s="9"/>
      <c r="AD25" s="9"/>
      <c r="AE25" s="9"/>
      <c r="AF25" s="9"/>
      <c r="AG25" s="9"/>
      <c r="AH25" s="9"/>
      <c r="AN25" s="9"/>
      <c r="AO25" s="9"/>
      <c r="AP25" s="9"/>
      <c r="AQ25" s="9"/>
      <c r="AR25" s="9"/>
      <c r="AS25" s="9"/>
      <c r="AT25" s="9"/>
      <c r="AU25" s="9"/>
    </row>
    <row r="26" spans="1:47" x14ac:dyDescent="0.25">
      <c r="A26" t="s">
        <v>93</v>
      </c>
      <c r="B26" s="9">
        <v>0.65794436454596839</v>
      </c>
      <c r="C26" s="9">
        <v>0.75037525476561562</v>
      </c>
      <c r="D26" s="9"/>
      <c r="E26" s="22"/>
      <c r="J26" s="9"/>
      <c r="L26" s="23"/>
      <c r="N26" s="9"/>
      <c r="O26" s="9"/>
      <c r="P26" s="9"/>
      <c r="Q26" s="9"/>
      <c r="R26" s="9"/>
      <c r="S26" s="9"/>
      <c r="T26" s="9"/>
      <c r="W26" s="9"/>
      <c r="AA26" s="9"/>
      <c r="AB26" s="9"/>
      <c r="AC26" s="9"/>
      <c r="AD26" s="9"/>
      <c r="AE26" s="9"/>
      <c r="AF26" s="9"/>
      <c r="AG26" s="9"/>
      <c r="AH26" s="9"/>
      <c r="AN26" s="9"/>
      <c r="AO26" s="9"/>
      <c r="AP26" s="9"/>
      <c r="AQ26" s="9"/>
      <c r="AR26" s="9"/>
      <c r="AS26" s="9"/>
      <c r="AT26" s="9"/>
      <c r="AU26" s="9"/>
    </row>
    <row r="27" spans="1:47" x14ac:dyDescent="0.25">
      <c r="A27" t="s">
        <v>101</v>
      </c>
      <c r="B27" s="9">
        <v>0.57960153115343815</v>
      </c>
      <c r="C27" s="9">
        <v>0.75652289165751507</v>
      </c>
      <c r="D27" s="9"/>
      <c r="E27" s="22"/>
      <c r="L27" s="23"/>
      <c r="N27" s="9"/>
      <c r="O27" s="9"/>
      <c r="P27" s="9"/>
      <c r="Q27" s="9"/>
      <c r="R27" s="9"/>
      <c r="S27" s="9"/>
      <c r="T27" s="9"/>
      <c r="W27" s="9"/>
      <c r="AA27" s="9"/>
      <c r="AB27" s="9"/>
      <c r="AC27" s="9"/>
      <c r="AD27" s="9"/>
      <c r="AE27" s="9"/>
      <c r="AF27" s="9"/>
      <c r="AG27" s="9"/>
      <c r="AH27" s="9"/>
      <c r="AN27" s="9"/>
      <c r="AO27" s="9"/>
      <c r="AP27" s="9"/>
      <c r="AQ27" s="9"/>
      <c r="AR27" s="9"/>
      <c r="AS27" s="9"/>
      <c r="AT27" s="9"/>
      <c r="AU27" s="9"/>
    </row>
    <row r="28" spans="1:47" x14ac:dyDescent="0.25">
      <c r="A28" t="s">
        <v>85</v>
      </c>
      <c r="B28" s="9">
        <v>0.52120296354065121</v>
      </c>
      <c r="C28" s="9">
        <v>0.7641251684820225</v>
      </c>
      <c r="D28" s="9"/>
      <c r="E28" s="22"/>
      <c r="L28" s="23"/>
      <c r="N28" s="9"/>
      <c r="O28" s="9"/>
      <c r="P28" s="9"/>
      <c r="Q28" s="9"/>
      <c r="R28" s="9"/>
      <c r="S28" s="9"/>
      <c r="T28" s="9"/>
      <c r="W28" s="9"/>
      <c r="AA28" s="9"/>
      <c r="AB28" s="9"/>
      <c r="AC28" s="9"/>
      <c r="AD28" s="9"/>
      <c r="AE28" s="9"/>
      <c r="AF28" s="9"/>
      <c r="AG28" s="9"/>
      <c r="AH28" s="9"/>
      <c r="AN28" s="9"/>
      <c r="AO28" s="9"/>
      <c r="AP28" s="9"/>
      <c r="AQ28" s="9"/>
      <c r="AR28" s="9"/>
      <c r="AS28" s="9"/>
      <c r="AT28" s="9"/>
      <c r="AU28" s="9"/>
    </row>
    <row r="29" spans="1:47" x14ac:dyDescent="0.25">
      <c r="A29" t="s">
        <v>65</v>
      </c>
      <c r="B29" s="9">
        <v>0.45174569294099709</v>
      </c>
      <c r="C29" s="9">
        <v>0.77653346907610077</v>
      </c>
      <c r="D29" s="9"/>
      <c r="E29" s="22"/>
      <c r="L29" s="23"/>
      <c r="N29" s="9"/>
      <c r="O29" s="9"/>
      <c r="P29" s="9"/>
      <c r="Q29" s="9"/>
      <c r="R29" s="9"/>
      <c r="S29" s="9"/>
      <c r="T29" s="9"/>
      <c r="W29" s="9"/>
      <c r="AA29" s="9"/>
      <c r="AB29" s="9"/>
      <c r="AC29" s="9"/>
      <c r="AD29" s="9"/>
      <c r="AE29" s="9"/>
      <c r="AF29" s="9"/>
      <c r="AG29" s="9"/>
      <c r="AH29" s="9"/>
      <c r="AN29" s="9"/>
      <c r="AO29" s="9"/>
      <c r="AP29" s="9"/>
      <c r="AQ29" s="9"/>
      <c r="AR29" s="9"/>
      <c r="AS29" s="9"/>
      <c r="AT29" s="9"/>
      <c r="AU29" s="9"/>
    </row>
    <row r="30" spans="1:47" x14ac:dyDescent="0.25">
      <c r="A30" t="s">
        <v>99</v>
      </c>
      <c r="B30" s="9">
        <v>0.52887389243766747</v>
      </c>
      <c r="C30" s="9">
        <v>0.79248466257668715</v>
      </c>
      <c r="D30" s="9"/>
      <c r="E30" s="22"/>
      <c r="L30" s="23"/>
      <c r="N30" s="9"/>
      <c r="O30" s="9"/>
      <c r="P30" s="9"/>
      <c r="Q30" s="9"/>
      <c r="R30" s="9"/>
      <c r="S30" s="9"/>
      <c r="T30" s="9"/>
      <c r="W30" s="9"/>
      <c r="AA30" s="9"/>
      <c r="AB30" s="9"/>
      <c r="AC30" s="9"/>
      <c r="AD30" s="9"/>
      <c r="AE30" s="9"/>
      <c r="AF30" s="9"/>
      <c r="AG30" s="9"/>
      <c r="AH30" s="9"/>
      <c r="AN30" s="9"/>
      <c r="AO30" s="9"/>
      <c r="AP30" s="9"/>
      <c r="AQ30" s="9"/>
      <c r="AR30" s="9"/>
      <c r="AS30" s="9"/>
      <c r="AT30" s="9"/>
      <c r="AU30" s="9"/>
    </row>
    <row r="31" spans="1:47" x14ac:dyDescent="0.25">
      <c r="A31" s="27" t="s">
        <v>83</v>
      </c>
      <c r="B31" s="33">
        <v>0.61209389199188236</v>
      </c>
      <c r="C31" s="33">
        <v>0.8252138285782642</v>
      </c>
      <c r="D31" s="9"/>
      <c r="E31" s="22"/>
      <c r="L31" s="23"/>
      <c r="N31" s="9"/>
      <c r="O31" s="9"/>
      <c r="P31" s="9"/>
      <c r="Q31" s="9"/>
      <c r="R31" s="9"/>
      <c r="S31" s="9"/>
      <c r="T31" s="9"/>
      <c r="W31" s="9"/>
      <c r="AA31" s="9"/>
      <c r="AB31" s="9"/>
      <c r="AC31" s="9"/>
      <c r="AD31" s="9"/>
      <c r="AE31" s="9"/>
      <c r="AF31" s="9"/>
      <c r="AG31" s="9"/>
      <c r="AH31" s="9"/>
      <c r="AN31" s="9"/>
      <c r="AO31" s="9"/>
      <c r="AP31" s="9"/>
      <c r="AQ31" s="9"/>
      <c r="AR31" s="9"/>
      <c r="AS31" s="9"/>
      <c r="AT31" s="9"/>
      <c r="AU31" s="9"/>
    </row>
    <row r="32" spans="1:47" x14ac:dyDescent="0.25">
      <c r="W32" s="9"/>
      <c r="AA32" s="9"/>
      <c r="AB32" s="9"/>
      <c r="AC32" s="9"/>
      <c r="AD32" s="9"/>
      <c r="AE32" s="9"/>
      <c r="AF32" s="9"/>
      <c r="AG32" s="9"/>
      <c r="AH32" s="9"/>
      <c r="AN32" s="9"/>
      <c r="AO32" s="9"/>
      <c r="AP32" s="9"/>
      <c r="AQ32" s="9"/>
      <c r="AR32" s="9"/>
      <c r="AS32" s="9"/>
      <c r="AT32" s="9"/>
      <c r="AU32" s="9"/>
    </row>
    <row r="33" spans="1:49" x14ac:dyDescent="0.25">
      <c r="A33" t="s">
        <v>184</v>
      </c>
      <c r="W33" s="9"/>
      <c r="AA33" s="9"/>
      <c r="AB33" s="9"/>
      <c r="AC33" s="9"/>
      <c r="AD33" s="9"/>
      <c r="AE33" s="9"/>
      <c r="AF33" s="9"/>
      <c r="AG33" s="9"/>
      <c r="AH33" s="9"/>
      <c r="AN33" s="9"/>
      <c r="AO33" s="9"/>
      <c r="AP33" s="9"/>
      <c r="AQ33" s="9"/>
      <c r="AR33" s="9"/>
      <c r="AS33" s="9"/>
      <c r="AT33" s="9"/>
      <c r="AU33" s="9"/>
    </row>
    <row r="34" spans="1:49" x14ac:dyDescent="0.25">
      <c r="W34" s="9"/>
      <c r="Y34" s="15"/>
      <c r="AA34" s="9"/>
      <c r="AB34" s="9"/>
      <c r="AC34" s="9"/>
      <c r="AD34" s="9"/>
      <c r="AE34" s="9"/>
      <c r="AF34" s="9"/>
      <c r="AG34" s="9"/>
      <c r="AH34" s="9"/>
      <c r="AN34" s="9"/>
      <c r="AO34" s="9"/>
      <c r="AP34" s="9"/>
      <c r="AQ34" s="9"/>
      <c r="AR34" s="9"/>
      <c r="AS34" s="9"/>
      <c r="AT34" s="9"/>
      <c r="AU34" s="9"/>
    </row>
    <row r="35" spans="1:49" x14ac:dyDescent="0.25">
      <c r="W35" s="9"/>
    </row>
    <row r="36" spans="1:49" x14ac:dyDescent="0.25">
      <c r="W36" s="9"/>
    </row>
    <row r="38" spans="1:49" ht="13" x14ac:dyDescent="0.3">
      <c r="B38" s="108"/>
      <c r="C38" s="108"/>
      <c r="D38" s="108"/>
      <c r="E38" s="108"/>
      <c r="F38" s="24"/>
    </row>
    <row r="39" spans="1:49" ht="13" x14ac:dyDescent="0.3">
      <c r="B39" s="4"/>
      <c r="C39" s="4"/>
      <c r="D39" s="4"/>
      <c r="E39" s="4"/>
      <c r="F39" s="24"/>
      <c r="G39" s="4"/>
      <c r="H39" s="4"/>
      <c r="N39" s="4"/>
      <c r="O39" s="4"/>
      <c r="P39" s="4"/>
      <c r="Q39" s="4"/>
      <c r="R39" s="4"/>
      <c r="S39" s="4"/>
      <c r="T39" s="4"/>
      <c r="U39" s="4"/>
      <c r="AA39" s="4"/>
      <c r="AB39" s="4"/>
      <c r="AC39" s="4"/>
      <c r="AD39" s="4"/>
      <c r="AE39" s="4"/>
      <c r="AF39" s="4"/>
      <c r="AG39" s="4"/>
      <c r="AH39" s="4"/>
    </row>
    <row r="40" spans="1:49" ht="13" x14ac:dyDescent="0.3">
      <c r="B40" s="9"/>
      <c r="C40" s="9"/>
      <c r="F40" s="25"/>
      <c r="V40" s="9"/>
      <c r="W40" s="9"/>
    </row>
    <row r="41" spans="1:49" ht="13" x14ac:dyDescent="0.3">
      <c r="B41" s="9"/>
      <c r="C41" s="9"/>
      <c r="F41" s="25"/>
      <c r="V41" s="9"/>
      <c r="W41" s="9"/>
    </row>
    <row r="42" spans="1:49" ht="13" x14ac:dyDescent="0.3">
      <c r="B42" s="9"/>
      <c r="C42" s="9"/>
      <c r="F42" s="25"/>
      <c r="V42" s="9"/>
      <c r="W42" s="9"/>
    </row>
    <row r="43" spans="1:49" ht="13" x14ac:dyDescent="0.3">
      <c r="B43" s="9"/>
      <c r="C43" s="9"/>
      <c r="F43" s="25"/>
      <c r="V43" s="9"/>
      <c r="W43" s="9"/>
    </row>
    <row r="44" spans="1:49" ht="13" x14ac:dyDescent="0.3">
      <c r="B44" s="9"/>
      <c r="C44" s="9"/>
      <c r="F44" s="25"/>
      <c r="V44" s="9"/>
      <c r="W44" s="9"/>
      <c r="AW44" s="9"/>
    </row>
    <row r="45" spans="1:49" ht="13" x14ac:dyDescent="0.3">
      <c r="B45" s="9"/>
      <c r="C45" s="9"/>
      <c r="F45" s="25"/>
      <c r="V45" s="9"/>
      <c r="W45" s="9"/>
      <c r="AW45" s="9"/>
    </row>
    <row r="46" spans="1:49" ht="13" x14ac:dyDescent="0.3">
      <c r="B46" s="9"/>
      <c r="C46" s="9"/>
      <c r="F46" s="25"/>
      <c r="V46" s="9"/>
      <c r="W46" s="9"/>
      <c r="AW46" s="9"/>
    </row>
    <row r="47" spans="1:49" ht="13" x14ac:dyDescent="0.3">
      <c r="B47" s="9"/>
      <c r="C47" s="9"/>
      <c r="F47" s="25"/>
      <c r="V47" s="9"/>
      <c r="W47" s="9"/>
      <c r="AW47" s="9"/>
    </row>
    <row r="48" spans="1:49" ht="13" x14ac:dyDescent="0.3">
      <c r="B48" s="9"/>
      <c r="C48" s="9"/>
      <c r="F48" s="25"/>
      <c r="V48" s="9"/>
      <c r="W48" s="9"/>
      <c r="AW48" s="9"/>
    </row>
    <row r="49" spans="2:49" ht="13" x14ac:dyDescent="0.3">
      <c r="B49" s="9"/>
      <c r="C49" s="9"/>
      <c r="F49" s="25"/>
      <c r="V49" s="9"/>
      <c r="W49" s="9"/>
      <c r="AW49" s="9"/>
    </row>
    <row r="50" spans="2:49" ht="13" x14ac:dyDescent="0.3">
      <c r="B50" s="9"/>
      <c r="C50" s="9"/>
      <c r="F50" s="25"/>
      <c r="V50" s="9"/>
      <c r="W50" s="9"/>
      <c r="AW50" s="9"/>
    </row>
    <row r="51" spans="2:49" ht="13" x14ac:dyDescent="0.3">
      <c r="B51" s="9"/>
      <c r="C51" s="9"/>
      <c r="F51" s="25"/>
      <c r="V51" s="9"/>
      <c r="W51" s="9"/>
      <c r="AW51" s="9"/>
    </row>
    <row r="52" spans="2:49" ht="13" x14ac:dyDescent="0.3">
      <c r="B52" s="9"/>
      <c r="C52" s="9"/>
      <c r="F52" s="25"/>
      <c r="V52" s="9"/>
      <c r="W52" s="9"/>
      <c r="AW52" s="9"/>
    </row>
    <row r="53" spans="2:49" ht="13" x14ac:dyDescent="0.3">
      <c r="B53" s="9"/>
      <c r="C53" s="9"/>
      <c r="F53" s="25"/>
      <c r="V53" s="9"/>
      <c r="W53" s="9"/>
      <c r="AW53" s="9"/>
    </row>
    <row r="54" spans="2:49" ht="13" x14ac:dyDescent="0.3">
      <c r="B54" s="9"/>
      <c r="C54" s="9"/>
      <c r="F54" s="25"/>
      <c r="V54" s="9"/>
      <c r="W54" s="9"/>
      <c r="AW54" s="9"/>
    </row>
    <row r="55" spans="2:49" ht="13" x14ac:dyDescent="0.3">
      <c r="B55" s="9"/>
      <c r="C55" s="9"/>
      <c r="F55" s="25"/>
      <c r="V55" s="9"/>
      <c r="W55" s="9"/>
      <c r="AW55" s="9"/>
    </row>
    <row r="56" spans="2:49" ht="13" x14ac:dyDescent="0.3">
      <c r="B56" s="9"/>
      <c r="C56" s="9"/>
      <c r="F56" s="25"/>
      <c r="V56" s="9"/>
      <c r="W56" s="9"/>
      <c r="AW56" s="9"/>
    </row>
    <row r="57" spans="2:49" ht="13" x14ac:dyDescent="0.3">
      <c r="B57" s="9"/>
      <c r="C57" s="9"/>
      <c r="F57" s="25"/>
      <c r="V57" s="9"/>
      <c r="W57" s="9"/>
      <c r="AW57" s="9"/>
    </row>
    <row r="58" spans="2:49" ht="13" x14ac:dyDescent="0.3">
      <c r="B58" s="9"/>
      <c r="C58" s="9"/>
      <c r="F58" s="25"/>
      <c r="V58" s="9"/>
      <c r="W58" s="9"/>
      <c r="AW58" s="9"/>
    </row>
    <row r="59" spans="2:49" ht="13" x14ac:dyDescent="0.3">
      <c r="B59" s="9"/>
      <c r="C59" s="9"/>
      <c r="F59" s="25"/>
      <c r="V59" s="9"/>
      <c r="W59" s="9"/>
      <c r="AW59" s="9"/>
    </row>
    <row r="60" spans="2:49" ht="13" x14ac:dyDescent="0.3">
      <c r="B60" s="9"/>
      <c r="C60" s="9"/>
      <c r="F60" s="25"/>
      <c r="V60" s="9"/>
      <c r="W60" s="9"/>
      <c r="AW60" s="9"/>
    </row>
    <row r="61" spans="2:49" ht="13" x14ac:dyDescent="0.3">
      <c r="B61" s="9"/>
      <c r="C61" s="9"/>
      <c r="F61" s="25"/>
      <c r="V61" s="9"/>
      <c r="W61" s="9"/>
      <c r="AW61" s="9"/>
    </row>
    <row r="62" spans="2:49" ht="13" x14ac:dyDescent="0.3">
      <c r="B62" s="9"/>
      <c r="C62" s="9"/>
      <c r="F62" s="25"/>
      <c r="V62" s="9"/>
      <c r="W62" s="9"/>
      <c r="AW62" s="9"/>
    </row>
    <row r="63" spans="2:49" ht="13" x14ac:dyDescent="0.3">
      <c r="B63" s="9"/>
      <c r="C63" s="9"/>
      <c r="F63" s="25"/>
      <c r="V63" s="9"/>
      <c r="W63" s="9"/>
      <c r="AW63" s="9"/>
    </row>
    <row r="64" spans="2:49" ht="13" x14ac:dyDescent="0.3">
      <c r="B64" s="9"/>
      <c r="C64" s="9"/>
      <c r="F64" s="25"/>
      <c r="V64" s="9"/>
      <c r="W64" s="9"/>
      <c r="AW64" s="9"/>
    </row>
    <row r="65" spans="2:49" ht="13" x14ac:dyDescent="0.3">
      <c r="B65" s="9"/>
      <c r="C65" s="9"/>
      <c r="F65" s="25"/>
      <c r="V65" s="9"/>
      <c r="W65" s="9"/>
      <c r="AW65" s="9"/>
    </row>
    <row r="66" spans="2:49" ht="13" x14ac:dyDescent="0.3">
      <c r="F66" s="24"/>
      <c r="AW66" s="9"/>
    </row>
    <row r="67" spans="2:49" x14ac:dyDescent="0.25">
      <c r="AW67" s="9"/>
    </row>
    <row r="68" spans="2:49" x14ac:dyDescent="0.25">
      <c r="AW68" s="9"/>
    </row>
    <row r="69" spans="2:49" x14ac:dyDescent="0.25">
      <c r="AW69" s="9"/>
    </row>
    <row r="70" spans="2:49" ht="13" x14ac:dyDescent="0.3">
      <c r="AN70" s="4"/>
      <c r="AO70" s="4"/>
      <c r="AP70" s="4"/>
      <c r="AQ70" s="4"/>
      <c r="AR70" s="4"/>
      <c r="AS70" s="4"/>
      <c r="AT70" s="4"/>
      <c r="AU70" s="4"/>
    </row>
    <row r="72" spans="2:49" x14ac:dyDescent="0.25">
      <c r="AA72" s="9"/>
      <c r="AB72" s="9"/>
      <c r="AC72" s="9"/>
      <c r="AD72" s="9"/>
      <c r="AE72" s="9"/>
      <c r="AF72" s="9"/>
      <c r="AG72" s="9"/>
      <c r="AH72" s="9"/>
      <c r="AI72" s="22"/>
    </row>
  </sheetData>
  <sortState xmlns:xlrd2="http://schemas.microsoft.com/office/spreadsheetml/2017/richdata2" ref="L40:M65">
    <sortCondition ref="L39:L65"/>
  </sortState>
  <mergeCells count="2">
    <mergeCell ref="B38:C38"/>
    <mergeCell ref="D38:E38"/>
  </mergeCells>
  <conditionalFormatting sqref="V40:W65">
    <cfRule type="colorScale" priority="1">
      <colorScale>
        <cfvo type="min"/>
        <cfvo type="percentile" val="50"/>
        <cfvo type="max"/>
        <color rgb="FFF8696B"/>
        <color rgb="FFFFEB84"/>
        <color rgb="FF63BE7B"/>
      </colorScale>
    </cfRule>
  </conditionalFormatting>
  <hyperlinks>
    <hyperlink ref="A2" location="Overzicht!A1" display="Terug naar tabblad Overzicht" xr:uid="{C51BFFA1-76D8-4179-BFE2-4F4CB6C3E6B6}"/>
  </hyperlinks>
  <pageMargins left="0.7" right="0.7" top="0.75" bottom="0.75" header="0.3" footer="0.3"/>
  <pageSetup paperSize="9"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D9B9B9-6813-41A6-97F3-021A79E020D9}">
  <sheetPr>
    <tabColor theme="5" tint="0.59999389629810485"/>
  </sheetPr>
  <dimension ref="A1:K31"/>
  <sheetViews>
    <sheetView workbookViewId="0">
      <selection activeCell="A2" sqref="A2"/>
    </sheetView>
  </sheetViews>
  <sheetFormatPr defaultRowHeight="12.5" x14ac:dyDescent="0.25"/>
  <cols>
    <col min="7" max="9" width="10.81640625" bestFit="1" customWidth="1"/>
    <col min="11" max="12" width="9.54296875" bestFit="1" customWidth="1"/>
  </cols>
  <sheetData>
    <row r="1" spans="1:11" ht="18" x14ac:dyDescent="0.4">
      <c r="A1" s="17" t="s">
        <v>37</v>
      </c>
    </row>
    <row r="2" spans="1:11" x14ac:dyDescent="0.25">
      <c r="A2" s="52" t="s">
        <v>48</v>
      </c>
    </row>
    <row r="5" spans="1:11" ht="13" x14ac:dyDescent="0.3">
      <c r="B5" s="16" t="s">
        <v>185</v>
      </c>
      <c r="C5" s="16" t="s">
        <v>186</v>
      </c>
      <c r="D5" s="16" t="s">
        <v>187</v>
      </c>
      <c r="E5" s="16"/>
    </row>
    <row r="6" spans="1:11" x14ac:dyDescent="0.25">
      <c r="A6" t="s">
        <v>79</v>
      </c>
      <c r="B6" s="11">
        <v>0.75345669039546703</v>
      </c>
      <c r="C6" s="11">
        <v>0.73375003524804805</v>
      </c>
      <c r="D6" s="11">
        <v>0.70799503529358099</v>
      </c>
      <c r="F6" s="11"/>
      <c r="K6" s="11"/>
    </row>
    <row r="7" spans="1:11" x14ac:dyDescent="0.25">
      <c r="A7" t="s">
        <v>81</v>
      </c>
      <c r="B7" s="11">
        <v>0.74775133051460696</v>
      </c>
      <c r="C7" s="11">
        <v>0.76219708348752102</v>
      </c>
      <c r="D7" s="11">
        <v>0.81516061429173003</v>
      </c>
      <c r="F7" s="11"/>
      <c r="K7" s="11"/>
    </row>
    <row r="8" spans="1:11" x14ac:dyDescent="0.25">
      <c r="A8" t="s">
        <v>91</v>
      </c>
      <c r="B8" s="11">
        <v>0.97755227631780495</v>
      </c>
      <c r="C8" s="11">
        <v>0.95851152686623298</v>
      </c>
      <c r="D8" s="11">
        <v>0.93636273025967998</v>
      </c>
      <c r="F8" s="11"/>
      <c r="K8" s="11"/>
    </row>
    <row r="9" spans="1:11" x14ac:dyDescent="0.25">
      <c r="A9" t="s">
        <v>67</v>
      </c>
      <c r="B9" s="11">
        <v>1.0902980937618401</v>
      </c>
      <c r="C9" s="11">
        <v>1.0608846850579401</v>
      </c>
      <c r="D9" s="11">
        <v>1.0083070846455899</v>
      </c>
      <c r="F9" s="11"/>
      <c r="K9" s="11"/>
    </row>
    <row r="10" spans="1:11" x14ac:dyDescent="0.25">
      <c r="A10" t="s">
        <v>59</v>
      </c>
      <c r="B10" s="11">
        <v>0.867888300266764</v>
      </c>
      <c r="C10" s="11">
        <v>0.94767044213266505</v>
      </c>
      <c r="D10" s="11">
        <v>1.0221217771655</v>
      </c>
      <c r="F10" s="11"/>
      <c r="K10" s="11"/>
    </row>
    <row r="11" spans="1:11" x14ac:dyDescent="0.25">
      <c r="A11" t="s">
        <v>63</v>
      </c>
      <c r="B11" s="11">
        <v>1.1146001607057101</v>
      </c>
      <c r="C11" s="11">
        <v>1.0832797079919601</v>
      </c>
      <c r="D11" s="11">
        <v>1.0423013874473199</v>
      </c>
      <c r="F11" s="11"/>
      <c r="K11" s="11"/>
    </row>
    <row r="12" spans="1:11" x14ac:dyDescent="0.25">
      <c r="A12" t="s">
        <v>188</v>
      </c>
      <c r="B12" s="11">
        <v>1.0097144140149801</v>
      </c>
      <c r="C12" s="11">
        <v>1.05102713080069</v>
      </c>
      <c r="D12" s="11">
        <v>1.05639631367567</v>
      </c>
      <c r="F12" s="11"/>
      <c r="K12" s="11"/>
    </row>
    <row r="13" spans="1:11" x14ac:dyDescent="0.25">
      <c r="A13" t="s">
        <v>65</v>
      </c>
      <c r="B13" s="11">
        <v>1.08437996235042</v>
      </c>
      <c r="C13" s="11">
        <v>1.0572801334342801</v>
      </c>
      <c r="D13" s="11">
        <v>1.07196249465128</v>
      </c>
      <c r="F13" s="11"/>
      <c r="K13" s="11"/>
    </row>
    <row r="14" spans="1:11" x14ac:dyDescent="0.25">
      <c r="A14" t="s">
        <v>159</v>
      </c>
      <c r="B14" s="11">
        <v>1.09206051627796</v>
      </c>
      <c r="C14" s="11">
        <v>1.10569877334737</v>
      </c>
      <c r="D14" s="11">
        <v>1.07844972093319</v>
      </c>
      <c r="F14" s="11"/>
      <c r="K14" s="11"/>
    </row>
    <row r="15" spans="1:11" x14ac:dyDescent="0.25">
      <c r="A15" t="s">
        <v>85</v>
      </c>
      <c r="B15" s="11">
        <v>1.10813720911932</v>
      </c>
      <c r="C15" s="11">
        <v>1.0916733346779499</v>
      </c>
      <c r="D15" s="11">
        <v>1.08501484370333</v>
      </c>
      <c r="F15" s="11"/>
      <c r="K15" s="11"/>
    </row>
    <row r="16" spans="1:11" x14ac:dyDescent="0.25">
      <c r="A16" t="s">
        <v>57</v>
      </c>
      <c r="B16" s="11">
        <v>1.14291475856217</v>
      </c>
      <c r="C16" s="11">
        <v>1.1224923547272301</v>
      </c>
      <c r="D16" s="11">
        <v>1.08626504796054</v>
      </c>
      <c r="F16" s="11"/>
      <c r="K16" s="11"/>
    </row>
    <row r="17" spans="1:11" x14ac:dyDescent="0.25">
      <c r="A17" t="s">
        <v>99</v>
      </c>
      <c r="B17" s="11">
        <v>1.1345375136292599</v>
      </c>
      <c r="C17" s="11">
        <v>1.1392290103159499</v>
      </c>
      <c r="D17" s="11">
        <v>1.11764106230441</v>
      </c>
      <c r="F17" s="11"/>
      <c r="K17" s="11"/>
    </row>
    <row r="18" spans="1:11" x14ac:dyDescent="0.25">
      <c r="A18" t="s">
        <v>53</v>
      </c>
      <c r="B18" s="11">
        <v>1.18140318324172</v>
      </c>
      <c r="C18" s="11">
        <v>1.1509586792191999</v>
      </c>
      <c r="D18" s="11">
        <v>1.1221497879297999</v>
      </c>
      <c r="F18" s="11"/>
      <c r="K18" s="11"/>
    </row>
    <row r="19" spans="1:11" x14ac:dyDescent="0.25">
      <c r="A19" t="s">
        <v>71</v>
      </c>
      <c r="B19" s="11">
        <v>1.1316545880456701</v>
      </c>
      <c r="C19" s="11">
        <v>1.13891652486022</v>
      </c>
      <c r="D19" s="11">
        <v>1.15512640357325</v>
      </c>
      <c r="F19" s="11"/>
      <c r="K19" s="11"/>
    </row>
    <row r="20" spans="1:11" x14ac:dyDescent="0.25">
      <c r="A20" t="s">
        <v>61</v>
      </c>
      <c r="B20" s="11">
        <v>1.2458293088490999</v>
      </c>
      <c r="C20" s="11">
        <v>1.2031256935241701</v>
      </c>
      <c r="D20" s="11">
        <v>1.15747118946086</v>
      </c>
      <c r="F20" s="11"/>
      <c r="K20" s="11"/>
    </row>
    <row r="21" spans="1:11" x14ac:dyDescent="0.25">
      <c r="A21" t="s">
        <v>51</v>
      </c>
      <c r="B21" s="11">
        <v>1.1706974138156301</v>
      </c>
      <c r="C21" s="11">
        <v>1.1840476464765399</v>
      </c>
      <c r="D21" s="11">
        <v>1.1834169910584</v>
      </c>
      <c r="F21" s="11"/>
      <c r="K21" s="11"/>
    </row>
    <row r="22" spans="1:11" x14ac:dyDescent="0.25">
      <c r="A22" t="s">
        <v>95</v>
      </c>
      <c r="B22" s="11">
        <v>1.3209283235195499</v>
      </c>
      <c r="C22" s="11">
        <v>1.27164224689468</v>
      </c>
      <c r="D22" s="11">
        <v>1.1924766681102801</v>
      </c>
      <c r="F22" s="11"/>
      <c r="K22" s="11"/>
    </row>
    <row r="23" spans="1:11" x14ac:dyDescent="0.25">
      <c r="A23" s="27" t="s">
        <v>83</v>
      </c>
      <c r="B23" s="28">
        <v>1.32821778094938</v>
      </c>
      <c r="C23" s="28">
        <v>1.3125116173718001</v>
      </c>
      <c r="D23" s="28">
        <v>1.27676501595131</v>
      </c>
      <c r="F23" s="11"/>
      <c r="K23" s="11"/>
    </row>
    <row r="24" spans="1:11" x14ac:dyDescent="0.25">
      <c r="A24" t="s">
        <v>101</v>
      </c>
      <c r="B24" s="11">
        <v>1.3750276086236699</v>
      </c>
      <c r="C24" s="11">
        <v>1.37189637207852</v>
      </c>
      <c r="D24" s="11">
        <v>1.29579035875608</v>
      </c>
      <c r="F24" s="11"/>
      <c r="K24" s="11"/>
    </row>
    <row r="25" spans="1:11" x14ac:dyDescent="0.25">
      <c r="A25" t="s">
        <v>93</v>
      </c>
      <c r="B25" s="11">
        <v>1.3356210247236899</v>
      </c>
      <c r="C25" s="11">
        <v>1.3508862711430201</v>
      </c>
      <c r="D25" s="11">
        <v>1.3139102350351901</v>
      </c>
      <c r="F25" s="11"/>
      <c r="K25" s="11"/>
    </row>
    <row r="26" spans="1:11" x14ac:dyDescent="0.25">
      <c r="A26" t="s">
        <v>89</v>
      </c>
      <c r="B26" s="11">
        <v>1.2472309050741699</v>
      </c>
      <c r="C26" s="11">
        <v>1.2921200680368199</v>
      </c>
      <c r="D26" s="11">
        <v>1.3689011768794599</v>
      </c>
      <c r="F26" s="11"/>
      <c r="K26" s="11"/>
    </row>
    <row r="28" spans="1:11" x14ac:dyDescent="0.25">
      <c r="A28" t="s">
        <v>189</v>
      </c>
    </row>
    <row r="29" spans="1:11" x14ac:dyDescent="0.25">
      <c r="B29" s="11"/>
    </row>
    <row r="30" spans="1:11" x14ac:dyDescent="0.25">
      <c r="D30" s="9"/>
    </row>
    <row r="31" spans="1:11" x14ac:dyDescent="0.25">
      <c r="D31" s="9"/>
    </row>
  </sheetData>
  <hyperlinks>
    <hyperlink ref="A2" location="Overzicht!A1" display="Terug naar tabblad Overzicht" xr:uid="{8ED5DCAB-EEF3-4266-A3DC-C37540665ADF}"/>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D537AB-C0D7-4F1C-9345-2C1511BA95C6}">
  <sheetPr>
    <tabColor theme="5" tint="0.59999389629810485"/>
  </sheetPr>
  <dimension ref="A1:K81"/>
  <sheetViews>
    <sheetView workbookViewId="0">
      <selection activeCell="A2" sqref="A2"/>
    </sheetView>
  </sheetViews>
  <sheetFormatPr defaultRowHeight="12.5" x14ac:dyDescent="0.25"/>
  <cols>
    <col min="5" max="5" width="9.81640625" bestFit="1" customWidth="1"/>
    <col min="6" max="6" width="9.81640625" customWidth="1"/>
  </cols>
  <sheetData>
    <row r="1" spans="1:11" ht="18" x14ac:dyDescent="0.4">
      <c r="A1" s="17" t="s">
        <v>39</v>
      </c>
    </row>
    <row r="2" spans="1:11" x14ac:dyDescent="0.25">
      <c r="A2" s="52" t="s">
        <v>48</v>
      </c>
    </row>
    <row r="3" spans="1:11" ht="13" x14ac:dyDescent="0.3">
      <c r="E3" s="4"/>
      <c r="F3" s="4"/>
    </row>
    <row r="4" spans="1:11" ht="13" x14ac:dyDescent="0.3">
      <c r="E4" s="4"/>
      <c r="F4" s="4"/>
    </row>
    <row r="5" spans="1:11" ht="13" x14ac:dyDescent="0.3">
      <c r="B5" s="4" t="s">
        <v>185</v>
      </c>
      <c r="C5" s="4" t="s">
        <v>186</v>
      </c>
      <c r="D5" s="4" t="s">
        <v>187</v>
      </c>
      <c r="E5" s="4"/>
    </row>
    <row r="6" spans="1:11" x14ac:dyDescent="0.25">
      <c r="A6" t="s">
        <v>79</v>
      </c>
      <c r="B6" s="21">
        <v>4.9652402260646896E-3</v>
      </c>
      <c r="C6" s="21">
        <v>4.8689794916335098E-3</v>
      </c>
      <c r="D6" s="21">
        <v>4.8787971787939196E-3</v>
      </c>
      <c r="E6" s="3"/>
      <c r="F6" s="3">
        <f>D6-B6</f>
        <v>-8.6443047270770047E-5</v>
      </c>
      <c r="K6" s="3"/>
    </row>
    <row r="7" spans="1:11" x14ac:dyDescent="0.25">
      <c r="A7" t="s">
        <v>81</v>
      </c>
      <c r="B7" s="21">
        <v>4.2223541821378996E-3</v>
      </c>
      <c r="C7" s="21">
        <v>4.6368030486773201E-3</v>
      </c>
      <c r="D7" s="21">
        <v>5.32697786202009E-3</v>
      </c>
      <c r="E7" s="3"/>
      <c r="F7" s="3">
        <f t="shared" ref="F7:F26" si="0">D7-B7</f>
        <v>1.1046236798821904E-3</v>
      </c>
      <c r="K7" s="3"/>
    </row>
    <row r="8" spans="1:11" x14ac:dyDescent="0.25">
      <c r="A8" t="s">
        <v>91</v>
      </c>
      <c r="B8" s="21">
        <v>8.55123452309914E-3</v>
      </c>
      <c r="C8" s="21">
        <v>8.04149851073779E-3</v>
      </c>
      <c r="D8" s="21">
        <v>7.9633833269942399E-3</v>
      </c>
      <c r="E8" s="3"/>
      <c r="F8" s="3">
        <f t="shared" si="0"/>
        <v>-5.8785119610490003E-4</v>
      </c>
      <c r="K8" s="3"/>
    </row>
    <row r="9" spans="1:11" x14ac:dyDescent="0.25">
      <c r="A9" t="s">
        <v>59</v>
      </c>
      <c r="B9" s="21">
        <v>6.3315766792753098E-3</v>
      </c>
      <c r="C9" s="21">
        <v>7.7070616365465597E-3</v>
      </c>
      <c r="D9" s="21">
        <v>9.27547370387952E-3</v>
      </c>
      <c r="E9" s="3"/>
      <c r="F9" s="3">
        <f t="shared" si="0"/>
        <v>2.9438970246042102E-3</v>
      </c>
      <c r="K9" s="3"/>
    </row>
    <row r="10" spans="1:11" x14ac:dyDescent="0.25">
      <c r="A10" t="s">
        <v>77</v>
      </c>
      <c r="B10" s="21">
        <v>8.3676863158752401E-3</v>
      </c>
      <c r="C10" s="21">
        <v>9.7588742670163299E-3</v>
      </c>
      <c r="D10" s="21">
        <v>1.00291933964644E-2</v>
      </c>
      <c r="E10" s="3"/>
      <c r="F10" s="3">
        <f t="shared" si="0"/>
        <v>1.6615070805891599E-3</v>
      </c>
      <c r="K10" s="3"/>
    </row>
    <row r="11" spans="1:11" x14ac:dyDescent="0.25">
      <c r="A11" t="s">
        <v>67</v>
      </c>
      <c r="B11" s="21">
        <v>1.10333611674556E-2</v>
      </c>
      <c r="C11" s="21">
        <v>1.10610823290333E-2</v>
      </c>
      <c r="D11" s="21">
        <v>1.0042562342604699E-2</v>
      </c>
      <c r="E11" s="3"/>
      <c r="F11" s="3">
        <f t="shared" si="0"/>
        <v>-9.9079882485090046E-4</v>
      </c>
      <c r="K11" s="3"/>
    </row>
    <row r="12" spans="1:11" x14ac:dyDescent="0.25">
      <c r="A12" t="s">
        <v>65</v>
      </c>
      <c r="B12" s="21">
        <v>9.4702765948155906E-3</v>
      </c>
      <c r="C12" s="21">
        <v>9.5603153510961207E-3</v>
      </c>
      <c r="D12" s="21">
        <v>1.02529630760873E-2</v>
      </c>
      <c r="E12" s="3"/>
      <c r="F12" s="3">
        <f t="shared" si="0"/>
        <v>7.8268648127170944E-4</v>
      </c>
      <c r="K12" s="3"/>
    </row>
    <row r="13" spans="1:11" x14ac:dyDescent="0.25">
      <c r="A13" t="s">
        <v>85</v>
      </c>
      <c r="B13" s="21">
        <v>1.07354457125859E-2</v>
      </c>
      <c r="C13" s="21">
        <v>1.02476808631172E-2</v>
      </c>
      <c r="D13" s="21">
        <v>1.0849958620811499E-2</v>
      </c>
      <c r="E13" s="3"/>
      <c r="F13" s="3">
        <f t="shared" si="0"/>
        <v>1.1451290822559954E-4</v>
      </c>
      <c r="K13" s="3"/>
    </row>
    <row r="14" spans="1:11" x14ac:dyDescent="0.25">
      <c r="A14" t="s">
        <v>63</v>
      </c>
      <c r="B14" s="21">
        <v>1.1946314509774099E-2</v>
      </c>
      <c r="C14" s="21">
        <v>1.1217269128661901E-2</v>
      </c>
      <c r="D14" s="21">
        <v>1.11279037698625E-2</v>
      </c>
      <c r="E14" s="3"/>
      <c r="F14" s="3">
        <f t="shared" si="0"/>
        <v>-8.1841073991159932E-4</v>
      </c>
      <c r="K14" s="3"/>
    </row>
    <row r="15" spans="1:11" x14ac:dyDescent="0.25">
      <c r="A15" t="s">
        <v>159</v>
      </c>
      <c r="B15" s="21">
        <v>1.0323570239722E-2</v>
      </c>
      <c r="C15" s="21">
        <v>1.23409609487265E-2</v>
      </c>
      <c r="D15" s="21">
        <v>1.12366992472589E-2</v>
      </c>
      <c r="E15" s="3"/>
      <c r="F15" s="3">
        <f t="shared" si="0"/>
        <v>9.1312900753690029E-4</v>
      </c>
      <c r="K15" s="3"/>
    </row>
    <row r="16" spans="1:11" x14ac:dyDescent="0.25">
      <c r="A16" t="s">
        <v>99</v>
      </c>
      <c r="B16" s="21">
        <v>1.0620449069921999E-2</v>
      </c>
      <c r="C16" s="21">
        <v>1.18690647631639E-2</v>
      </c>
      <c r="D16" s="21">
        <v>1.1285461833244401E-2</v>
      </c>
      <c r="E16" s="3"/>
      <c r="F16" s="3">
        <f t="shared" si="0"/>
        <v>6.6501276332240136E-4</v>
      </c>
      <c r="K16" s="3"/>
    </row>
    <row r="17" spans="1:11" x14ac:dyDescent="0.25">
      <c r="A17" t="s">
        <v>57</v>
      </c>
      <c r="B17" s="21">
        <v>1.20986589503249E-2</v>
      </c>
      <c r="C17" s="21">
        <v>1.1802407032861799E-2</v>
      </c>
      <c r="D17" s="21">
        <v>1.20599565084354E-2</v>
      </c>
      <c r="E17" s="3"/>
      <c r="F17" s="3">
        <f t="shared" si="0"/>
        <v>-3.8702441889500519E-5</v>
      </c>
      <c r="K17" s="3"/>
    </row>
    <row r="18" spans="1:11" x14ac:dyDescent="0.25">
      <c r="A18" t="s">
        <v>53</v>
      </c>
      <c r="B18" s="21">
        <v>1.28043761457588E-2</v>
      </c>
      <c r="C18" s="21">
        <v>1.23381514174852E-2</v>
      </c>
      <c r="D18" s="21">
        <v>1.24255497745057E-2</v>
      </c>
      <c r="E18" s="3"/>
      <c r="F18" s="3">
        <f t="shared" si="0"/>
        <v>-3.7882637125309995E-4</v>
      </c>
      <c r="K18" s="3"/>
    </row>
    <row r="19" spans="1:11" x14ac:dyDescent="0.25">
      <c r="A19" t="s">
        <v>71</v>
      </c>
      <c r="B19" s="21">
        <v>1.13493103463558E-2</v>
      </c>
      <c r="C19" s="21">
        <v>1.27137656639824E-2</v>
      </c>
      <c r="D19" s="21">
        <v>1.33260440695495E-2</v>
      </c>
      <c r="E19" s="3"/>
      <c r="F19" s="3">
        <f t="shared" si="0"/>
        <v>1.9767337231937007E-3</v>
      </c>
      <c r="K19" s="3"/>
    </row>
    <row r="20" spans="1:11" x14ac:dyDescent="0.25">
      <c r="A20" t="s">
        <v>61</v>
      </c>
      <c r="B20" s="21">
        <v>1.39168145443513E-2</v>
      </c>
      <c r="C20" s="21">
        <v>1.31459240110493E-2</v>
      </c>
      <c r="D20" s="21">
        <v>1.33672307997178E-2</v>
      </c>
      <c r="E20" s="3"/>
      <c r="F20" s="3">
        <f t="shared" si="0"/>
        <v>-5.4958374463350002E-4</v>
      </c>
      <c r="K20" s="3"/>
    </row>
    <row r="21" spans="1:11" x14ac:dyDescent="0.25">
      <c r="A21" t="s">
        <v>51</v>
      </c>
      <c r="B21" s="21">
        <v>1.26477069521755E-2</v>
      </c>
      <c r="C21" s="21">
        <v>1.34347071596352E-2</v>
      </c>
      <c r="D21" s="21">
        <v>1.43294335596623E-2</v>
      </c>
      <c r="E21" s="3"/>
      <c r="F21" s="3">
        <f t="shared" si="0"/>
        <v>1.6817266074868002E-3</v>
      </c>
      <c r="K21" s="3"/>
    </row>
    <row r="22" spans="1:11" x14ac:dyDescent="0.25">
      <c r="A22" t="s">
        <v>95</v>
      </c>
      <c r="B22" s="21">
        <v>1.6968637844720202E-2</v>
      </c>
      <c r="C22" s="21">
        <v>1.6332266624407701E-2</v>
      </c>
      <c r="D22" s="21">
        <v>1.4992689734038301E-2</v>
      </c>
      <c r="E22" s="3"/>
      <c r="F22" s="3">
        <f t="shared" si="0"/>
        <v>-1.9759481106819011E-3</v>
      </c>
      <c r="K22" s="3"/>
    </row>
    <row r="23" spans="1:11" x14ac:dyDescent="0.25">
      <c r="A23" s="27" t="s">
        <v>83</v>
      </c>
      <c r="B23" s="61">
        <v>1.5195417185803599E-2</v>
      </c>
      <c r="C23" s="61">
        <v>1.5402334845947999E-2</v>
      </c>
      <c r="D23" s="61">
        <v>1.54069980505334E-2</v>
      </c>
      <c r="E23" s="3"/>
      <c r="F23" s="3">
        <f t="shared" si="0"/>
        <v>2.1158086472980106E-4</v>
      </c>
      <c r="K23" s="3"/>
    </row>
    <row r="24" spans="1:11" x14ac:dyDescent="0.25">
      <c r="A24" t="s">
        <v>101</v>
      </c>
      <c r="B24" s="21">
        <v>1.74117182778212E-2</v>
      </c>
      <c r="C24" s="21">
        <v>1.8409043725287299E-2</v>
      </c>
      <c r="D24" s="21">
        <v>1.6872636444627401E-2</v>
      </c>
      <c r="E24" s="3"/>
      <c r="F24" s="3">
        <f t="shared" si="0"/>
        <v>-5.3908183319379896E-4</v>
      </c>
      <c r="K24" s="3"/>
    </row>
    <row r="25" spans="1:11" x14ac:dyDescent="0.25">
      <c r="A25" t="s">
        <v>93</v>
      </c>
      <c r="B25" s="21">
        <v>1.7076237698038701E-2</v>
      </c>
      <c r="C25" s="21">
        <v>1.7586667583616902E-2</v>
      </c>
      <c r="D25" s="21">
        <v>1.7330267128186801E-2</v>
      </c>
      <c r="E25" s="3"/>
      <c r="F25" s="3">
        <f t="shared" si="0"/>
        <v>2.5402943014810053E-4</v>
      </c>
    </row>
    <row r="26" spans="1:11" x14ac:dyDescent="0.25">
      <c r="A26" t="s">
        <v>89</v>
      </c>
      <c r="B26" s="21">
        <v>1.46736526093491E-2</v>
      </c>
      <c r="C26" s="21">
        <v>1.6192814195893801E-2</v>
      </c>
      <c r="D26" s="21">
        <v>1.83636006463321E-2</v>
      </c>
      <c r="E26" s="3"/>
      <c r="F26" s="3">
        <f t="shared" si="0"/>
        <v>3.6899480369830002E-3</v>
      </c>
    </row>
    <row r="28" spans="1:11" x14ac:dyDescent="0.25">
      <c r="A28" t="s">
        <v>190</v>
      </c>
    </row>
    <row r="32" spans="1:11" x14ac:dyDescent="0.25">
      <c r="A32" t="s">
        <v>89</v>
      </c>
      <c r="B32" s="21">
        <v>3.6899480369830002E-3</v>
      </c>
      <c r="C32">
        <v>1</v>
      </c>
    </row>
    <row r="33" spans="1:7" x14ac:dyDescent="0.25">
      <c r="A33" t="s">
        <v>59</v>
      </c>
      <c r="B33" s="21">
        <v>2.9438970246042102E-3</v>
      </c>
      <c r="C33">
        <v>2</v>
      </c>
    </row>
    <row r="34" spans="1:7" ht="13" x14ac:dyDescent="0.3">
      <c r="A34" t="s">
        <v>71</v>
      </c>
      <c r="B34" s="21">
        <v>1.9767337231937007E-3</v>
      </c>
      <c r="C34" s="4">
        <v>3</v>
      </c>
      <c r="D34" s="4"/>
    </row>
    <row r="35" spans="1:7" x14ac:dyDescent="0.25">
      <c r="A35" t="s">
        <v>51</v>
      </c>
      <c r="B35" s="21">
        <v>1.6817266074868002E-3</v>
      </c>
      <c r="C35">
        <v>4</v>
      </c>
      <c r="E35" s="21"/>
      <c r="F35" s="21"/>
      <c r="G35" s="21"/>
    </row>
    <row r="36" spans="1:7" x14ac:dyDescent="0.25">
      <c r="A36" t="s">
        <v>77</v>
      </c>
      <c r="B36" s="21">
        <v>1.6615070805891599E-3</v>
      </c>
      <c r="C36">
        <v>5</v>
      </c>
      <c r="E36" s="21"/>
      <c r="F36" s="21"/>
      <c r="G36" s="21"/>
    </row>
    <row r="37" spans="1:7" x14ac:dyDescent="0.25">
      <c r="A37" t="s">
        <v>81</v>
      </c>
      <c r="B37" s="21">
        <v>1.1046236798821904E-3</v>
      </c>
      <c r="C37">
        <v>6</v>
      </c>
      <c r="E37" s="21"/>
      <c r="F37" s="21"/>
      <c r="G37" s="21"/>
    </row>
    <row r="38" spans="1:7" x14ac:dyDescent="0.25">
      <c r="A38" t="s">
        <v>159</v>
      </c>
      <c r="B38" s="21">
        <v>9.1312900753690029E-4</v>
      </c>
      <c r="C38">
        <v>7</v>
      </c>
      <c r="E38" s="21"/>
      <c r="F38" s="21"/>
      <c r="G38" s="21"/>
    </row>
    <row r="39" spans="1:7" x14ac:dyDescent="0.25">
      <c r="A39" t="s">
        <v>65</v>
      </c>
      <c r="B39" s="21">
        <v>7.8268648127170944E-4</v>
      </c>
      <c r="C39">
        <v>8</v>
      </c>
      <c r="E39" s="21"/>
      <c r="F39" s="21"/>
      <c r="G39" s="21"/>
    </row>
    <row r="40" spans="1:7" x14ac:dyDescent="0.25">
      <c r="A40" t="s">
        <v>99</v>
      </c>
      <c r="B40" s="21">
        <v>6.6501276332240136E-4</v>
      </c>
      <c r="C40">
        <v>9</v>
      </c>
      <c r="E40" s="21"/>
      <c r="F40" s="21"/>
      <c r="G40" s="21"/>
    </row>
    <row r="41" spans="1:7" x14ac:dyDescent="0.25">
      <c r="A41" t="s">
        <v>93</v>
      </c>
      <c r="B41" s="21">
        <v>2.5402943014810053E-4</v>
      </c>
      <c r="C41">
        <v>10</v>
      </c>
      <c r="E41" s="21"/>
      <c r="F41" s="21"/>
      <c r="G41" s="21"/>
    </row>
    <row r="42" spans="1:7" x14ac:dyDescent="0.25">
      <c r="A42" t="s">
        <v>83</v>
      </c>
      <c r="B42" s="21">
        <v>2.1158086472980106E-4</v>
      </c>
      <c r="C42">
        <v>11</v>
      </c>
      <c r="E42" s="21"/>
      <c r="F42" s="21"/>
      <c r="G42" s="21"/>
    </row>
    <row r="43" spans="1:7" x14ac:dyDescent="0.25">
      <c r="A43" t="s">
        <v>85</v>
      </c>
      <c r="B43" s="21">
        <v>1.1451290822559954E-4</v>
      </c>
      <c r="C43">
        <v>12</v>
      </c>
      <c r="E43" s="21"/>
      <c r="F43" s="21"/>
      <c r="G43" s="21"/>
    </row>
    <row r="44" spans="1:7" x14ac:dyDescent="0.25">
      <c r="A44" t="s">
        <v>57</v>
      </c>
      <c r="B44" s="96">
        <v>-3.8702441889500519E-5</v>
      </c>
      <c r="E44" s="21"/>
      <c r="F44" s="21"/>
      <c r="G44" s="21"/>
    </row>
    <row r="45" spans="1:7" x14ac:dyDescent="0.25">
      <c r="A45" t="s">
        <v>79</v>
      </c>
      <c r="B45" s="96">
        <v>-8.6443047270770047E-5</v>
      </c>
      <c r="C45">
        <v>1</v>
      </c>
      <c r="E45" s="21"/>
      <c r="F45" s="21"/>
      <c r="G45" s="21"/>
    </row>
    <row r="46" spans="1:7" x14ac:dyDescent="0.25">
      <c r="A46" t="s">
        <v>53</v>
      </c>
      <c r="B46" s="96">
        <v>-3.7882637125309995E-4</v>
      </c>
      <c r="C46">
        <v>2</v>
      </c>
      <c r="E46" s="21"/>
      <c r="F46" s="21"/>
      <c r="G46" s="21"/>
    </row>
    <row r="47" spans="1:7" x14ac:dyDescent="0.25">
      <c r="A47" t="s">
        <v>101</v>
      </c>
      <c r="B47" s="96">
        <v>-5.3908183319379896E-4</v>
      </c>
      <c r="C47">
        <v>3</v>
      </c>
      <c r="E47" s="21"/>
      <c r="F47" s="21"/>
      <c r="G47" s="21"/>
    </row>
    <row r="48" spans="1:7" x14ac:dyDescent="0.25">
      <c r="A48" t="s">
        <v>61</v>
      </c>
      <c r="B48" s="96">
        <v>-5.4958374463350002E-4</v>
      </c>
      <c r="C48">
        <v>4</v>
      </c>
      <c r="E48" s="21"/>
      <c r="F48" s="21"/>
      <c r="G48" s="21"/>
    </row>
    <row r="49" spans="1:7" x14ac:dyDescent="0.25">
      <c r="A49" t="s">
        <v>91</v>
      </c>
      <c r="B49" s="96">
        <v>-5.8785119610490003E-4</v>
      </c>
      <c r="C49">
        <v>5</v>
      </c>
      <c r="E49" s="21"/>
      <c r="F49" s="21"/>
      <c r="G49" s="21"/>
    </row>
    <row r="50" spans="1:7" x14ac:dyDescent="0.25">
      <c r="A50" t="s">
        <v>63</v>
      </c>
      <c r="B50" s="96">
        <v>-8.1841073991159932E-4</v>
      </c>
      <c r="C50">
        <v>6</v>
      </c>
      <c r="E50" s="21"/>
      <c r="F50" s="21"/>
      <c r="G50" s="21"/>
    </row>
    <row r="51" spans="1:7" x14ac:dyDescent="0.25">
      <c r="A51" t="s">
        <v>67</v>
      </c>
      <c r="B51" s="96">
        <v>-9.9079882485090046E-4</v>
      </c>
      <c r="C51">
        <v>7</v>
      </c>
      <c r="E51" s="21"/>
      <c r="F51" s="21"/>
      <c r="G51" s="21"/>
    </row>
    <row r="52" spans="1:7" x14ac:dyDescent="0.25">
      <c r="A52" t="s">
        <v>95</v>
      </c>
      <c r="B52" s="96">
        <v>-1.9759481106819011E-3</v>
      </c>
      <c r="C52">
        <v>8</v>
      </c>
      <c r="E52" s="21"/>
      <c r="F52" s="21"/>
      <c r="G52" s="21"/>
    </row>
    <row r="53" spans="1:7" x14ac:dyDescent="0.25">
      <c r="B53" s="97"/>
      <c r="E53" s="21"/>
      <c r="F53" s="21"/>
      <c r="G53" s="21"/>
    </row>
    <row r="54" spans="1:7" x14ac:dyDescent="0.25">
      <c r="B54" s="29"/>
      <c r="C54" s="21"/>
    </row>
    <row r="55" spans="1:7" ht="13" x14ac:dyDescent="0.3">
      <c r="B55" s="4"/>
    </row>
    <row r="58" spans="1:7" x14ac:dyDescent="0.25">
      <c r="E58" s="26"/>
    </row>
    <row r="63" spans="1:7" x14ac:dyDescent="0.25">
      <c r="B63" s="3"/>
    </row>
    <row r="64" spans="1:7" x14ac:dyDescent="0.25">
      <c r="B64" s="3"/>
    </row>
    <row r="65" spans="2:2" x14ac:dyDescent="0.25">
      <c r="B65" s="3"/>
    </row>
    <row r="66" spans="2:2" x14ac:dyDescent="0.25">
      <c r="B66" s="3"/>
    </row>
    <row r="67" spans="2:2" x14ac:dyDescent="0.25">
      <c r="B67" s="3"/>
    </row>
    <row r="68" spans="2:2" x14ac:dyDescent="0.25">
      <c r="B68" s="3"/>
    </row>
    <row r="69" spans="2:2" x14ac:dyDescent="0.25">
      <c r="B69" s="3"/>
    </row>
    <row r="70" spans="2:2" x14ac:dyDescent="0.25">
      <c r="B70" s="3"/>
    </row>
    <row r="71" spans="2:2" x14ac:dyDescent="0.25">
      <c r="B71" s="3"/>
    </row>
    <row r="72" spans="2:2" x14ac:dyDescent="0.25">
      <c r="B72" s="3"/>
    </row>
    <row r="73" spans="2:2" x14ac:dyDescent="0.25">
      <c r="B73" s="3"/>
    </row>
    <row r="74" spans="2:2" x14ac:dyDescent="0.25">
      <c r="B74" s="3"/>
    </row>
    <row r="75" spans="2:2" x14ac:dyDescent="0.25">
      <c r="B75" s="3"/>
    </row>
    <row r="76" spans="2:2" x14ac:dyDescent="0.25">
      <c r="B76" s="3"/>
    </row>
    <row r="77" spans="2:2" x14ac:dyDescent="0.25">
      <c r="B77" s="3"/>
    </row>
    <row r="78" spans="2:2" x14ac:dyDescent="0.25">
      <c r="B78" s="3"/>
    </row>
    <row r="79" spans="2:2" x14ac:dyDescent="0.25">
      <c r="B79" s="3"/>
    </row>
    <row r="80" spans="2:2" x14ac:dyDescent="0.25">
      <c r="B80" s="3"/>
    </row>
    <row r="81" spans="2:2" x14ac:dyDescent="0.25">
      <c r="B81" s="3"/>
    </row>
  </sheetData>
  <sortState xmlns:xlrd2="http://schemas.microsoft.com/office/spreadsheetml/2017/richdata2" ref="A32:B52">
    <sortCondition descending="1" ref="B32:B52"/>
    <sortCondition descending="1" ref="A32:A52"/>
  </sortState>
  <hyperlinks>
    <hyperlink ref="A2" location="Overzicht!A1" display="Terug naar tabblad Overzicht" xr:uid="{AE79D7A7-CBD8-4FC1-80DD-3CC3675D0FF3}"/>
  </hyperlinks>
  <pageMargins left="0.7" right="0.7" top="0.75" bottom="0.75" header="0.3" footer="0.3"/>
  <pageSetup paperSize="9" orientation="portrait"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B77E4C-AAEF-4710-A956-ED0DE2D7D0F4}">
  <sheetPr>
    <tabColor theme="5" tint="0.59999389629810485"/>
  </sheetPr>
  <dimension ref="A1:AB131"/>
  <sheetViews>
    <sheetView zoomScaleNormal="100" workbookViewId="0"/>
  </sheetViews>
  <sheetFormatPr defaultColWidth="8.7265625" defaultRowHeight="12.5" x14ac:dyDescent="0.25"/>
  <cols>
    <col min="2" max="2" width="11.26953125" bestFit="1" customWidth="1"/>
    <col min="3" max="3" width="12.1796875" bestFit="1" customWidth="1"/>
    <col min="5" max="5" width="10.453125" bestFit="1" customWidth="1"/>
    <col min="6" max="6" width="10.26953125" bestFit="1" customWidth="1"/>
    <col min="11" max="11" width="10.453125" bestFit="1" customWidth="1"/>
    <col min="28" max="28" width="11.26953125" bestFit="1" customWidth="1"/>
  </cols>
  <sheetData>
    <row r="1" spans="1:28" ht="18.5" x14ac:dyDescent="0.45">
      <c r="A1" s="1" t="s">
        <v>191</v>
      </c>
    </row>
    <row r="2" spans="1:28" x14ac:dyDescent="0.25">
      <c r="A2" s="52" t="s">
        <v>48</v>
      </c>
    </row>
    <row r="3" spans="1:28" x14ac:dyDescent="0.25">
      <c r="AB3" s="14"/>
    </row>
    <row r="4" spans="1:28" ht="13" x14ac:dyDescent="0.3">
      <c r="B4" s="4">
        <v>2015</v>
      </c>
      <c r="C4" s="4">
        <v>2016</v>
      </c>
      <c r="D4" s="4">
        <v>2017</v>
      </c>
      <c r="E4" s="4">
        <v>2018</v>
      </c>
      <c r="F4" s="4">
        <v>2019</v>
      </c>
      <c r="G4" s="4">
        <v>2020</v>
      </c>
      <c r="H4" s="4">
        <v>2021</v>
      </c>
      <c r="I4" s="4">
        <v>2022</v>
      </c>
      <c r="J4" s="4">
        <v>2023</v>
      </c>
    </row>
    <row r="5" spans="1:28" x14ac:dyDescent="0.25">
      <c r="A5" t="s">
        <v>95</v>
      </c>
      <c r="B5" s="82">
        <v>9453</v>
      </c>
      <c r="C5" s="83">
        <v>9903</v>
      </c>
      <c r="D5" s="82">
        <v>10504</v>
      </c>
      <c r="E5" s="82">
        <v>10880</v>
      </c>
      <c r="F5" s="82">
        <v>11168</v>
      </c>
      <c r="G5" s="83">
        <v>12105</v>
      </c>
      <c r="H5" s="82">
        <v>13169</v>
      </c>
      <c r="I5" s="82">
        <v>12647</v>
      </c>
      <c r="J5" s="82">
        <v>12626</v>
      </c>
      <c r="K5" s="32">
        <f>J5/B5-1</f>
        <v>0.33566063683486713</v>
      </c>
    </row>
    <row r="6" spans="1:28" x14ac:dyDescent="0.25">
      <c r="A6" t="s">
        <v>93</v>
      </c>
      <c r="B6" s="82">
        <v>8114</v>
      </c>
      <c r="C6" s="83">
        <v>8821</v>
      </c>
      <c r="D6" s="82">
        <v>9217</v>
      </c>
      <c r="E6" s="82">
        <v>9803</v>
      </c>
      <c r="F6" s="82">
        <v>10233</v>
      </c>
      <c r="G6" s="83">
        <v>11065</v>
      </c>
      <c r="H6" s="82">
        <v>12368</v>
      </c>
      <c r="I6" s="82">
        <v>11772</v>
      </c>
      <c r="J6" s="82">
        <v>11483</v>
      </c>
      <c r="K6" s="32">
        <f t="shared" ref="K6:K29" si="0">J6/B6-1</f>
        <v>0.41520828198175996</v>
      </c>
    </row>
    <row r="7" spans="1:28" x14ac:dyDescent="0.25">
      <c r="A7" t="s">
        <v>63</v>
      </c>
      <c r="B7" s="82">
        <v>7683</v>
      </c>
      <c r="C7" s="83">
        <v>8407</v>
      </c>
      <c r="D7" s="82">
        <v>8668</v>
      </c>
      <c r="E7" s="82">
        <v>9151</v>
      </c>
      <c r="F7" s="82">
        <v>9462</v>
      </c>
      <c r="G7" s="83">
        <v>10285</v>
      </c>
      <c r="H7" s="82">
        <v>11498</v>
      </c>
      <c r="I7" s="82">
        <v>11261</v>
      </c>
      <c r="J7" s="82">
        <v>11248</v>
      </c>
      <c r="K7" s="32">
        <f t="shared" si="0"/>
        <v>0.46401145385916953</v>
      </c>
    </row>
    <row r="8" spans="1:28" x14ac:dyDescent="0.25">
      <c r="A8" t="s">
        <v>77</v>
      </c>
      <c r="B8" s="82">
        <v>4346</v>
      </c>
      <c r="C8" s="83">
        <v>4693</v>
      </c>
      <c r="D8" s="82">
        <v>4935</v>
      </c>
      <c r="E8" s="82">
        <v>5340</v>
      </c>
      <c r="F8" s="82">
        <v>5399</v>
      </c>
      <c r="G8" s="83">
        <v>6123</v>
      </c>
      <c r="H8" s="82">
        <v>6877</v>
      </c>
      <c r="I8" s="82">
        <v>7027</v>
      </c>
      <c r="J8" s="82">
        <v>7102</v>
      </c>
      <c r="K8" s="32">
        <f t="shared" si="0"/>
        <v>0.63414634146341453</v>
      </c>
    </row>
    <row r="9" spans="1:28" x14ac:dyDescent="0.25">
      <c r="A9" t="s">
        <v>67</v>
      </c>
      <c r="B9" s="82">
        <v>4380</v>
      </c>
      <c r="C9" s="83">
        <v>4687</v>
      </c>
      <c r="D9" s="82">
        <v>4921</v>
      </c>
      <c r="E9" s="82">
        <v>5216</v>
      </c>
      <c r="F9" s="82">
        <v>5172</v>
      </c>
      <c r="G9" s="83">
        <v>5643</v>
      </c>
      <c r="H9" s="82">
        <v>6143</v>
      </c>
      <c r="I9" s="82">
        <v>5881</v>
      </c>
      <c r="J9" s="82">
        <v>5945</v>
      </c>
      <c r="K9" s="32">
        <f t="shared" si="0"/>
        <v>0.35730593607305927</v>
      </c>
    </row>
    <row r="10" spans="1:28" x14ac:dyDescent="0.25">
      <c r="A10" t="s">
        <v>53</v>
      </c>
      <c r="B10" s="82">
        <v>3939</v>
      </c>
      <c r="C10" s="83">
        <v>3920</v>
      </c>
      <c r="D10" s="82">
        <v>4147</v>
      </c>
      <c r="E10" s="82">
        <v>4592</v>
      </c>
      <c r="F10" s="82">
        <v>4725</v>
      </c>
      <c r="G10" s="83">
        <v>5256</v>
      </c>
      <c r="H10" s="82">
        <v>5875</v>
      </c>
      <c r="I10" s="82">
        <v>5777</v>
      </c>
      <c r="J10" s="82">
        <v>5680</v>
      </c>
      <c r="K10" s="32">
        <f t="shared" si="0"/>
        <v>0.44199035288144195</v>
      </c>
    </row>
    <row r="11" spans="1:28" x14ac:dyDescent="0.25">
      <c r="A11" t="s">
        <v>91</v>
      </c>
      <c r="B11" s="83">
        <v>3268</v>
      </c>
      <c r="C11" s="83">
        <v>3524</v>
      </c>
      <c r="D11" s="82">
        <v>3786</v>
      </c>
      <c r="E11" s="82">
        <v>3975</v>
      </c>
      <c r="F11" s="82">
        <v>4048</v>
      </c>
      <c r="G11" s="83">
        <v>4578</v>
      </c>
      <c r="H11" s="82">
        <v>5094</v>
      </c>
      <c r="I11" s="82">
        <v>5201</v>
      </c>
      <c r="J11" s="82">
        <v>5351</v>
      </c>
      <c r="K11" s="32">
        <f t="shared" si="0"/>
        <v>0.63739290085679312</v>
      </c>
    </row>
    <row r="12" spans="1:28" x14ac:dyDescent="0.25">
      <c r="A12" t="s">
        <v>59</v>
      </c>
      <c r="B12" s="82">
        <v>2027</v>
      </c>
      <c r="C12" s="83">
        <v>2359</v>
      </c>
      <c r="D12" s="82">
        <v>2702</v>
      </c>
      <c r="E12" s="82">
        <v>3160</v>
      </c>
      <c r="F12" s="82">
        <v>3771</v>
      </c>
      <c r="G12" s="83">
        <v>4262</v>
      </c>
      <c r="H12" s="82">
        <v>4642</v>
      </c>
      <c r="I12" s="82">
        <v>4901</v>
      </c>
      <c r="J12" s="82">
        <v>4960</v>
      </c>
      <c r="K12" s="32">
        <f t="shared" si="0"/>
        <v>1.4469659595461275</v>
      </c>
    </row>
    <row r="13" spans="1:28" x14ac:dyDescent="0.25">
      <c r="A13" t="s">
        <v>101</v>
      </c>
      <c r="B13" s="82">
        <v>2727</v>
      </c>
      <c r="C13" s="83">
        <v>3039</v>
      </c>
      <c r="D13" s="82">
        <v>3246</v>
      </c>
      <c r="E13" s="82">
        <v>3595</v>
      </c>
      <c r="F13" s="82">
        <v>3656</v>
      </c>
      <c r="G13" s="83">
        <v>4084</v>
      </c>
      <c r="H13" s="82">
        <v>4668</v>
      </c>
      <c r="I13" s="82">
        <v>4544</v>
      </c>
      <c r="J13" s="82">
        <v>4644</v>
      </c>
      <c r="K13" s="32">
        <f t="shared" si="0"/>
        <v>0.70297029702970293</v>
      </c>
    </row>
    <row r="14" spans="1:28" x14ac:dyDescent="0.25">
      <c r="A14" t="s">
        <v>51</v>
      </c>
      <c r="B14" s="82">
        <v>2736</v>
      </c>
      <c r="C14" s="83">
        <v>3038</v>
      </c>
      <c r="D14" s="82">
        <v>3227</v>
      </c>
      <c r="E14" s="82">
        <v>3537</v>
      </c>
      <c r="F14" s="82">
        <v>3804</v>
      </c>
      <c r="G14" s="83">
        <v>4128</v>
      </c>
      <c r="H14" s="82">
        <v>4539</v>
      </c>
      <c r="I14" s="82">
        <v>4383</v>
      </c>
      <c r="J14" s="82">
        <v>4158</v>
      </c>
      <c r="K14" s="9">
        <f t="shared" si="0"/>
        <v>0.51973684210526305</v>
      </c>
    </row>
    <row r="15" spans="1:28" x14ac:dyDescent="0.25">
      <c r="A15" t="s">
        <v>57</v>
      </c>
      <c r="B15" s="82">
        <v>2421</v>
      </c>
      <c r="C15" s="83">
        <v>2715</v>
      </c>
      <c r="D15" s="83">
        <v>2894</v>
      </c>
      <c r="E15" s="82">
        <v>3080</v>
      </c>
      <c r="F15" s="82">
        <v>3261</v>
      </c>
      <c r="G15" s="83">
        <v>3628</v>
      </c>
      <c r="H15" s="82">
        <v>4078</v>
      </c>
      <c r="I15" s="82">
        <v>3915</v>
      </c>
      <c r="J15" s="82">
        <v>3973</v>
      </c>
      <c r="K15" s="9">
        <f t="shared" si="0"/>
        <v>0.641057414291615</v>
      </c>
    </row>
    <row r="16" spans="1:28" x14ac:dyDescent="0.25">
      <c r="A16" t="s">
        <v>99</v>
      </c>
      <c r="B16" s="82">
        <v>2384</v>
      </c>
      <c r="C16" s="83">
        <v>2618</v>
      </c>
      <c r="D16" s="82">
        <v>2767</v>
      </c>
      <c r="E16" s="82">
        <v>2986</v>
      </c>
      <c r="F16" s="82">
        <v>3144</v>
      </c>
      <c r="G16" s="83">
        <v>3429</v>
      </c>
      <c r="H16" s="82">
        <v>3832</v>
      </c>
      <c r="I16" s="82">
        <v>3655</v>
      </c>
      <c r="J16" s="82">
        <v>3810</v>
      </c>
      <c r="K16" s="9">
        <f t="shared" si="0"/>
        <v>0.59815436241610742</v>
      </c>
    </row>
    <row r="17" spans="1:11" x14ac:dyDescent="0.25">
      <c r="A17" t="s">
        <v>61</v>
      </c>
      <c r="B17" s="82">
        <v>1915</v>
      </c>
      <c r="C17" s="83">
        <v>2133</v>
      </c>
      <c r="D17" s="82">
        <v>2126</v>
      </c>
      <c r="E17" s="82">
        <v>2422</v>
      </c>
      <c r="F17" s="82">
        <v>2438</v>
      </c>
      <c r="G17" s="83">
        <v>2692</v>
      </c>
      <c r="H17" s="82">
        <v>3105</v>
      </c>
      <c r="I17" s="82">
        <v>2910</v>
      </c>
      <c r="J17" s="82">
        <v>3182</v>
      </c>
      <c r="K17" s="9">
        <f t="shared" si="0"/>
        <v>0.66161879895561349</v>
      </c>
    </row>
    <row r="18" spans="1:11" x14ac:dyDescent="0.25">
      <c r="A18" t="s">
        <v>85</v>
      </c>
      <c r="B18" s="82">
        <v>1421</v>
      </c>
      <c r="C18" s="83">
        <v>1649</v>
      </c>
      <c r="D18" s="82">
        <v>1644</v>
      </c>
      <c r="E18" s="83">
        <v>1706</v>
      </c>
      <c r="F18" s="82">
        <v>1751</v>
      </c>
      <c r="G18" s="83">
        <v>2039</v>
      </c>
      <c r="H18" s="82">
        <v>2327</v>
      </c>
      <c r="I18" s="82">
        <v>2258</v>
      </c>
      <c r="J18" s="82">
        <v>2260</v>
      </c>
      <c r="K18" s="9">
        <f t="shared" si="0"/>
        <v>0.5904292751583391</v>
      </c>
    </row>
    <row r="19" spans="1:11" x14ac:dyDescent="0.25">
      <c r="A19" t="s">
        <v>79</v>
      </c>
      <c r="B19" s="82">
        <v>1184</v>
      </c>
      <c r="C19" s="82">
        <v>1355</v>
      </c>
      <c r="D19" s="82">
        <v>1496</v>
      </c>
      <c r="E19" s="82">
        <v>1569</v>
      </c>
      <c r="F19" s="82">
        <v>1642</v>
      </c>
      <c r="G19" s="82">
        <v>1954</v>
      </c>
      <c r="H19" s="82">
        <v>1971</v>
      </c>
      <c r="I19" s="82">
        <v>2037</v>
      </c>
      <c r="J19" s="82">
        <v>2011</v>
      </c>
      <c r="K19" s="9">
        <f t="shared" si="0"/>
        <v>0.69847972972972983</v>
      </c>
    </row>
    <row r="20" spans="1:11" x14ac:dyDescent="0.25">
      <c r="A20" t="s">
        <v>87</v>
      </c>
      <c r="B20" s="82">
        <v>1192</v>
      </c>
      <c r="C20" s="83">
        <v>1356</v>
      </c>
      <c r="D20" s="82">
        <v>1407</v>
      </c>
      <c r="E20" s="82">
        <v>1526</v>
      </c>
      <c r="F20" s="82">
        <v>1534</v>
      </c>
      <c r="G20" s="83">
        <v>1716</v>
      </c>
      <c r="H20" s="82">
        <v>1893</v>
      </c>
      <c r="I20" s="82">
        <v>2007</v>
      </c>
      <c r="J20" s="82">
        <v>1948</v>
      </c>
      <c r="K20" s="9">
        <f t="shared" si="0"/>
        <v>0.63422818791946312</v>
      </c>
    </row>
    <row r="21" spans="1:11" x14ac:dyDescent="0.25">
      <c r="A21" t="s">
        <v>55</v>
      </c>
      <c r="B21" s="82">
        <v>1130</v>
      </c>
      <c r="C21" s="83">
        <v>1291</v>
      </c>
      <c r="D21" s="82">
        <v>1339</v>
      </c>
      <c r="E21" s="82">
        <v>1429</v>
      </c>
      <c r="F21" s="82">
        <v>1522</v>
      </c>
      <c r="G21" s="83">
        <v>1592</v>
      </c>
      <c r="H21" s="82">
        <v>1870</v>
      </c>
      <c r="I21" s="82">
        <v>1811</v>
      </c>
      <c r="J21" s="82">
        <v>1841</v>
      </c>
      <c r="K21" s="9">
        <f t="shared" si="0"/>
        <v>0.62920353982300892</v>
      </c>
    </row>
    <row r="22" spans="1:11" x14ac:dyDescent="0.25">
      <c r="A22" t="s">
        <v>65</v>
      </c>
      <c r="B22" s="82">
        <v>1168</v>
      </c>
      <c r="C22" s="83">
        <v>1253</v>
      </c>
      <c r="D22" s="82">
        <v>1235</v>
      </c>
      <c r="E22" s="82">
        <v>1312</v>
      </c>
      <c r="F22" s="82">
        <v>1434</v>
      </c>
      <c r="G22" s="83">
        <v>1500</v>
      </c>
      <c r="H22" s="82">
        <v>1673</v>
      </c>
      <c r="I22" s="82">
        <v>1686</v>
      </c>
      <c r="J22" s="82">
        <v>1671</v>
      </c>
      <c r="K22" s="9">
        <f t="shared" si="0"/>
        <v>0.43065068493150682</v>
      </c>
    </row>
    <row r="23" spans="1:11" x14ac:dyDescent="0.25">
      <c r="A23" t="s">
        <v>97</v>
      </c>
      <c r="B23" s="82">
        <v>870</v>
      </c>
      <c r="C23" s="83">
        <v>1174</v>
      </c>
      <c r="D23" s="82">
        <v>1041</v>
      </c>
      <c r="E23" s="82">
        <v>1142</v>
      </c>
      <c r="F23" s="82">
        <v>1159</v>
      </c>
      <c r="G23" s="83">
        <v>1224</v>
      </c>
      <c r="H23" s="82">
        <v>1391</v>
      </c>
      <c r="I23" s="82">
        <v>1416</v>
      </c>
      <c r="J23" s="82">
        <v>1474</v>
      </c>
      <c r="K23" s="9">
        <f t="shared" si="0"/>
        <v>0.6942528735632183</v>
      </c>
    </row>
    <row r="24" spans="1:11" x14ac:dyDescent="0.25">
      <c r="A24" t="s">
        <v>73</v>
      </c>
      <c r="B24" s="82">
        <v>645</v>
      </c>
      <c r="C24" s="83">
        <v>778</v>
      </c>
      <c r="D24" s="82">
        <v>754</v>
      </c>
      <c r="E24" s="82">
        <v>836</v>
      </c>
      <c r="F24" s="82">
        <v>986</v>
      </c>
      <c r="G24" s="83">
        <v>1157</v>
      </c>
      <c r="H24" s="82">
        <v>1338</v>
      </c>
      <c r="I24" s="82">
        <v>1430</v>
      </c>
      <c r="J24" s="82">
        <v>1464</v>
      </c>
      <c r="K24" s="9">
        <f t="shared" si="0"/>
        <v>1.269767441860465</v>
      </c>
    </row>
    <row r="25" spans="1:11" x14ac:dyDescent="0.25">
      <c r="A25" t="s">
        <v>71</v>
      </c>
      <c r="B25" s="82">
        <v>741</v>
      </c>
      <c r="C25" s="83">
        <v>834</v>
      </c>
      <c r="D25" s="82">
        <v>852</v>
      </c>
      <c r="E25" s="82">
        <v>1015</v>
      </c>
      <c r="F25" s="82">
        <v>979</v>
      </c>
      <c r="G25" s="83">
        <v>1155</v>
      </c>
      <c r="H25" s="82">
        <v>1434</v>
      </c>
      <c r="I25" s="82">
        <v>1386</v>
      </c>
      <c r="J25" s="82">
        <v>1325</v>
      </c>
      <c r="K25" s="9">
        <f t="shared" si="0"/>
        <v>0.78812415654520929</v>
      </c>
    </row>
    <row r="26" spans="1:11" x14ac:dyDescent="0.25">
      <c r="A26" t="s">
        <v>75</v>
      </c>
      <c r="B26" s="82">
        <v>714</v>
      </c>
      <c r="C26" s="83">
        <v>717</v>
      </c>
      <c r="D26" s="82">
        <v>802</v>
      </c>
      <c r="E26" s="82">
        <v>901</v>
      </c>
      <c r="F26" s="82">
        <v>944</v>
      </c>
      <c r="G26" s="83">
        <v>1028</v>
      </c>
      <c r="H26" s="82">
        <v>1137</v>
      </c>
      <c r="I26" s="82">
        <v>1081</v>
      </c>
      <c r="J26" s="82">
        <v>1212</v>
      </c>
      <c r="K26" s="9">
        <f t="shared" si="0"/>
        <v>0.69747899159663862</v>
      </c>
    </row>
    <row r="27" spans="1:11" x14ac:dyDescent="0.25">
      <c r="A27" t="s">
        <v>81</v>
      </c>
      <c r="B27" s="82">
        <v>442</v>
      </c>
      <c r="C27" s="82">
        <v>527</v>
      </c>
      <c r="D27" s="82">
        <v>599</v>
      </c>
      <c r="E27" s="82">
        <v>595</v>
      </c>
      <c r="F27" s="82">
        <v>706</v>
      </c>
      <c r="G27" s="82">
        <v>726</v>
      </c>
      <c r="H27" s="82">
        <v>808</v>
      </c>
      <c r="I27" s="82">
        <v>826</v>
      </c>
      <c r="J27" s="82">
        <v>872</v>
      </c>
      <c r="K27" s="9">
        <f t="shared" si="0"/>
        <v>0.97285067873303177</v>
      </c>
    </row>
    <row r="28" spans="1:11" x14ac:dyDescent="0.25">
      <c r="A28" t="s">
        <v>89</v>
      </c>
      <c r="B28" s="82">
        <v>419</v>
      </c>
      <c r="C28" s="83">
        <v>421</v>
      </c>
      <c r="D28" s="82">
        <v>507</v>
      </c>
      <c r="E28" s="82">
        <v>546</v>
      </c>
      <c r="F28" s="82">
        <v>641</v>
      </c>
      <c r="G28" s="83">
        <v>742</v>
      </c>
      <c r="H28" s="82">
        <v>835</v>
      </c>
      <c r="I28" s="82">
        <v>877</v>
      </c>
      <c r="J28" s="82">
        <v>839</v>
      </c>
      <c r="K28" s="9">
        <f t="shared" si="0"/>
        <v>1.0023866348448687</v>
      </c>
    </row>
    <row r="29" spans="1:11" x14ac:dyDescent="0.25">
      <c r="A29" t="s">
        <v>69</v>
      </c>
      <c r="B29" s="82">
        <v>273</v>
      </c>
      <c r="C29" s="82">
        <v>309</v>
      </c>
      <c r="D29" s="82">
        <v>375</v>
      </c>
      <c r="E29" s="82">
        <v>425</v>
      </c>
      <c r="F29" s="82">
        <v>489</v>
      </c>
      <c r="G29" s="83">
        <v>563</v>
      </c>
      <c r="H29" s="82">
        <v>642</v>
      </c>
      <c r="I29" s="82">
        <v>685</v>
      </c>
      <c r="J29" s="82">
        <v>698</v>
      </c>
      <c r="K29" s="9">
        <f t="shared" si="0"/>
        <v>1.5567765567765566</v>
      </c>
    </row>
    <row r="30" spans="1:11" x14ac:dyDescent="0.25">
      <c r="C30" s="32"/>
      <c r="G30" s="32"/>
    </row>
    <row r="31" spans="1:11" x14ac:dyDescent="0.25">
      <c r="A31" t="s">
        <v>292</v>
      </c>
      <c r="C31" s="32"/>
      <c r="F31" s="12"/>
      <c r="G31" s="32"/>
    </row>
    <row r="32" spans="1:11" x14ac:dyDescent="0.25">
      <c r="C32" s="32"/>
      <c r="E32" s="12"/>
      <c r="F32" s="12"/>
      <c r="G32" s="32"/>
    </row>
    <row r="34" spans="1:12" x14ac:dyDescent="0.25">
      <c r="B34" s="18"/>
      <c r="F34" s="18"/>
      <c r="G34" s="9"/>
    </row>
    <row r="35" spans="1:12" ht="13" x14ac:dyDescent="0.3">
      <c r="B35" s="4">
        <v>2015</v>
      </c>
      <c r="C35" s="4">
        <v>2023</v>
      </c>
      <c r="K35" t="s">
        <v>183</v>
      </c>
      <c r="L35" t="s">
        <v>192</v>
      </c>
    </row>
    <row r="36" spans="1:12" x14ac:dyDescent="0.25">
      <c r="A36" t="s">
        <v>95</v>
      </c>
      <c r="B36" s="82">
        <v>9453</v>
      </c>
      <c r="C36" s="82">
        <v>12626</v>
      </c>
      <c r="D36">
        <f>C36/B36</f>
        <v>1.3356606368348671</v>
      </c>
      <c r="E36">
        <f>D36^(1/8)</f>
        <v>1.036840650559433</v>
      </c>
      <c r="F36" s="3">
        <f>E36-1</f>
        <v>3.6840650559432975E-2</v>
      </c>
      <c r="J36" t="s">
        <v>95</v>
      </c>
      <c r="K36" s="9">
        <v>3.6840650559432975E-2</v>
      </c>
      <c r="L36" s="82">
        <v>12626</v>
      </c>
    </row>
    <row r="37" spans="1:12" x14ac:dyDescent="0.25">
      <c r="A37" t="s">
        <v>93</v>
      </c>
      <c r="B37" s="82">
        <v>8114</v>
      </c>
      <c r="C37" s="82">
        <v>11483</v>
      </c>
      <c r="D37">
        <f t="shared" ref="D37:D60" si="1">C37/B37</f>
        <v>1.41520828198176</v>
      </c>
      <c r="E37">
        <f t="shared" ref="E37:E60" si="2">D37^(1/8)</f>
        <v>1.0443655684315993</v>
      </c>
      <c r="F37" s="3">
        <f t="shared" ref="F37:F60" si="3">E37-1</f>
        <v>4.4365568431599334E-2</v>
      </c>
      <c r="J37" t="s">
        <v>93</v>
      </c>
      <c r="K37" s="9">
        <v>4.4365568431599334E-2</v>
      </c>
      <c r="L37" s="82">
        <v>11483</v>
      </c>
    </row>
    <row r="38" spans="1:12" x14ac:dyDescent="0.25">
      <c r="A38" t="s">
        <v>63</v>
      </c>
      <c r="B38" s="82">
        <v>7683</v>
      </c>
      <c r="C38" s="82">
        <v>11248</v>
      </c>
      <c r="D38">
        <f t="shared" si="1"/>
        <v>1.4640114538591695</v>
      </c>
      <c r="E38">
        <f t="shared" si="2"/>
        <v>1.0488009192007095</v>
      </c>
      <c r="F38" s="3">
        <f t="shared" si="3"/>
        <v>4.8800919200709503E-2</v>
      </c>
      <c r="J38" t="s">
        <v>63</v>
      </c>
      <c r="K38" s="9">
        <v>4.8800919200709503E-2</v>
      </c>
      <c r="L38" s="82">
        <v>11248</v>
      </c>
    </row>
    <row r="39" spans="1:12" x14ac:dyDescent="0.25">
      <c r="A39" t="s">
        <v>77</v>
      </c>
      <c r="B39" s="82">
        <v>4346</v>
      </c>
      <c r="C39" s="82">
        <v>7102</v>
      </c>
      <c r="D39">
        <f t="shared" si="1"/>
        <v>1.6341463414634145</v>
      </c>
      <c r="E39">
        <f t="shared" si="2"/>
        <v>1.0633135990676026</v>
      </c>
      <c r="F39" s="3">
        <f t="shared" si="3"/>
        <v>6.3313599067602588E-2</v>
      </c>
      <c r="J39" t="s">
        <v>77</v>
      </c>
      <c r="K39" s="9">
        <v>6.3313599067602588E-2</v>
      </c>
      <c r="L39" s="82">
        <v>7102</v>
      </c>
    </row>
    <row r="40" spans="1:12" x14ac:dyDescent="0.25">
      <c r="A40" t="s">
        <v>67</v>
      </c>
      <c r="B40" s="82">
        <v>4380</v>
      </c>
      <c r="C40" s="82">
        <v>5945</v>
      </c>
      <c r="D40">
        <f t="shared" si="1"/>
        <v>1.3573059360730593</v>
      </c>
      <c r="E40">
        <f t="shared" si="2"/>
        <v>1.0389262477504289</v>
      </c>
      <c r="F40" s="3">
        <f t="shared" si="3"/>
        <v>3.8926247750428855E-2</v>
      </c>
      <c r="J40" t="s">
        <v>67</v>
      </c>
      <c r="K40" s="9">
        <v>3.8926247750428855E-2</v>
      </c>
      <c r="L40" s="82">
        <v>5945</v>
      </c>
    </row>
    <row r="41" spans="1:12" x14ac:dyDescent="0.25">
      <c r="A41" t="s">
        <v>53</v>
      </c>
      <c r="B41" s="82">
        <v>3939</v>
      </c>
      <c r="C41" s="82">
        <v>5680</v>
      </c>
      <c r="D41">
        <f t="shared" si="1"/>
        <v>1.441990352881442</v>
      </c>
      <c r="E41">
        <f t="shared" si="2"/>
        <v>1.0468158611491636</v>
      </c>
      <c r="F41" s="3">
        <f t="shared" si="3"/>
        <v>4.6815861149163585E-2</v>
      </c>
      <c r="J41" t="s">
        <v>53</v>
      </c>
      <c r="K41" s="9">
        <v>4.6815861149163585E-2</v>
      </c>
      <c r="L41" s="82">
        <v>5680</v>
      </c>
    </row>
    <row r="42" spans="1:12" x14ac:dyDescent="0.25">
      <c r="A42" t="s">
        <v>91</v>
      </c>
      <c r="B42" s="83">
        <v>3268</v>
      </c>
      <c r="C42" s="82">
        <v>5351</v>
      </c>
      <c r="D42">
        <f t="shared" si="1"/>
        <v>1.6373929008567931</v>
      </c>
      <c r="E42">
        <f t="shared" si="2"/>
        <v>1.0635774305461014</v>
      </c>
      <c r="F42" s="3">
        <f t="shared" si="3"/>
        <v>6.3577430546101432E-2</v>
      </c>
      <c r="J42" t="s">
        <v>91</v>
      </c>
      <c r="K42" s="9">
        <v>6.3577430546101432E-2</v>
      </c>
      <c r="L42" s="82">
        <v>5351</v>
      </c>
    </row>
    <row r="43" spans="1:12" x14ac:dyDescent="0.25">
      <c r="A43" t="s">
        <v>59</v>
      </c>
      <c r="B43" s="82">
        <v>2027</v>
      </c>
      <c r="C43" s="82">
        <v>4960</v>
      </c>
      <c r="D43">
        <f t="shared" si="1"/>
        <v>2.4469659595461275</v>
      </c>
      <c r="E43">
        <f t="shared" si="2"/>
        <v>1.1183519284667658</v>
      </c>
      <c r="F43" s="3">
        <f t="shared" si="3"/>
        <v>0.11835192846676579</v>
      </c>
      <c r="J43" t="s">
        <v>59</v>
      </c>
      <c r="K43" s="9">
        <v>0.11835192846676579</v>
      </c>
      <c r="L43" s="82">
        <v>4960</v>
      </c>
    </row>
    <row r="44" spans="1:12" x14ac:dyDescent="0.25">
      <c r="A44" t="s">
        <v>101</v>
      </c>
      <c r="B44" s="82">
        <v>2727</v>
      </c>
      <c r="C44" s="82">
        <v>4644</v>
      </c>
      <c r="D44">
        <f t="shared" si="1"/>
        <v>1.7029702970297029</v>
      </c>
      <c r="E44">
        <f t="shared" si="2"/>
        <v>1.0688109244704145</v>
      </c>
      <c r="F44" s="3">
        <f t="shared" si="3"/>
        <v>6.8810924470414481E-2</v>
      </c>
      <c r="J44" t="s">
        <v>101</v>
      </c>
      <c r="K44" s="9">
        <v>6.8810924470414481E-2</v>
      </c>
      <c r="L44" s="82">
        <v>4644</v>
      </c>
    </row>
    <row r="45" spans="1:12" x14ac:dyDescent="0.25">
      <c r="A45" t="s">
        <v>51</v>
      </c>
      <c r="B45" s="82">
        <v>2736</v>
      </c>
      <c r="C45" s="82">
        <v>4158</v>
      </c>
      <c r="D45">
        <f t="shared" si="1"/>
        <v>1.5197368421052631</v>
      </c>
      <c r="E45">
        <f t="shared" si="2"/>
        <v>1.0537098722522649</v>
      </c>
      <c r="F45" s="3">
        <f t="shared" si="3"/>
        <v>5.3709872252264867E-2</v>
      </c>
      <c r="J45" t="s">
        <v>51</v>
      </c>
      <c r="K45" s="9">
        <v>5.3709872252264867E-2</v>
      </c>
      <c r="L45" s="82">
        <v>4158</v>
      </c>
    </row>
    <row r="46" spans="1:12" x14ac:dyDescent="0.25">
      <c r="A46" t="s">
        <v>57</v>
      </c>
      <c r="B46" s="82">
        <v>2421</v>
      </c>
      <c r="C46" s="82">
        <v>3973</v>
      </c>
      <c r="D46">
        <f t="shared" si="1"/>
        <v>1.641057414291615</v>
      </c>
      <c r="E46">
        <f t="shared" si="2"/>
        <v>1.0638746776933508</v>
      </c>
      <c r="F46" s="3">
        <f t="shared" si="3"/>
        <v>6.3874677693350757E-2</v>
      </c>
      <c r="J46" t="s">
        <v>57</v>
      </c>
      <c r="K46" s="9">
        <v>6.3874677693350757E-2</v>
      </c>
      <c r="L46" s="82">
        <v>3973</v>
      </c>
    </row>
    <row r="47" spans="1:12" x14ac:dyDescent="0.25">
      <c r="A47" t="s">
        <v>99</v>
      </c>
      <c r="B47" s="82">
        <v>2384</v>
      </c>
      <c r="C47" s="82">
        <v>3810</v>
      </c>
      <c r="D47">
        <f t="shared" si="1"/>
        <v>1.5981543624161074</v>
      </c>
      <c r="E47">
        <f t="shared" si="2"/>
        <v>1.0603575684755446</v>
      </c>
      <c r="F47" s="3">
        <f t="shared" si="3"/>
        <v>6.0357568475544632E-2</v>
      </c>
      <c r="J47" t="s">
        <v>99</v>
      </c>
      <c r="K47" s="9">
        <v>6.0357568475544632E-2</v>
      </c>
      <c r="L47" s="82">
        <v>3810</v>
      </c>
    </row>
    <row r="48" spans="1:12" x14ac:dyDescent="0.25">
      <c r="A48" t="s">
        <v>61</v>
      </c>
      <c r="B48" s="82">
        <v>1915</v>
      </c>
      <c r="C48" s="82">
        <v>3182</v>
      </c>
      <c r="D48">
        <f t="shared" si="1"/>
        <v>1.6616187989556135</v>
      </c>
      <c r="E48">
        <f t="shared" si="2"/>
        <v>1.0655318225424661</v>
      </c>
      <c r="F48" s="3">
        <f t="shared" si="3"/>
        <v>6.5531822542466145E-2</v>
      </c>
      <c r="J48" t="s">
        <v>61</v>
      </c>
      <c r="K48" s="9">
        <v>6.5531822542466145E-2</v>
      </c>
      <c r="L48" s="82">
        <v>3182</v>
      </c>
    </row>
    <row r="49" spans="1:12" x14ac:dyDescent="0.25">
      <c r="A49" t="s">
        <v>85</v>
      </c>
      <c r="B49" s="82">
        <v>1421</v>
      </c>
      <c r="C49" s="82">
        <v>2260</v>
      </c>
      <c r="D49">
        <f t="shared" si="1"/>
        <v>1.5904292751583391</v>
      </c>
      <c r="E49">
        <f t="shared" si="2"/>
        <v>1.0597155208216151</v>
      </c>
      <c r="F49" s="3">
        <f t="shared" si="3"/>
        <v>5.9715520821615131E-2</v>
      </c>
      <c r="J49" t="s">
        <v>85</v>
      </c>
      <c r="K49" s="9">
        <v>5.9715520821615131E-2</v>
      </c>
      <c r="L49" s="82">
        <v>2260</v>
      </c>
    </row>
    <row r="50" spans="1:12" x14ac:dyDescent="0.25">
      <c r="A50" t="s">
        <v>79</v>
      </c>
      <c r="B50" s="82">
        <v>1184</v>
      </c>
      <c r="C50" s="82">
        <v>2011</v>
      </c>
      <c r="D50">
        <f t="shared" si="1"/>
        <v>1.6984797297297298</v>
      </c>
      <c r="E50">
        <f t="shared" si="2"/>
        <v>1.0684582235501967</v>
      </c>
      <c r="F50" s="3">
        <f t="shared" si="3"/>
        <v>6.8458223550196706E-2</v>
      </c>
      <c r="J50" t="s">
        <v>79</v>
      </c>
      <c r="K50" s="9">
        <v>6.8458223550196706E-2</v>
      </c>
      <c r="L50" s="82">
        <v>2011</v>
      </c>
    </row>
    <row r="51" spans="1:12" x14ac:dyDescent="0.25">
      <c r="A51" t="s">
        <v>87</v>
      </c>
      <c r="B51" s="82">
        <v>1192</v>
      </c>
      <c r="C51" s="82">
        <v>1948</v>
      </c>
      <c r="D51">
        <f t="shared" si="1"/>
        <v>1.6342281879194631</v>
      </c>
      <c r="E51">
        <f t="shared" si="2"/>
        <v>1.0633202559486765</v>
      </c>
      <c r="F51" s="3">
        <f t="shared" si="3"/>
        <v>6.3320255948676518E-2</v>
      </c>
      <c r="J51" t="s">
        <v>87</v>
      </c>
      <c r="K51" s="9">
        <v>6.3320255948676518E-2</v>
      </c>
      <c r="L51" s="82">
        <v>1948</v>
      </c>
    </row>
    <row r="52" spans="1:12" x14ac:dyDescent="0.25">
      <c r="A52" t="s">
        <v>55</v>
      </c>
      <c r="B52" s="82">
        <v>1130</v>
      </c>
      <c r="C52" s="82">
        <v>1841</v>
      </c>
      <c r="D52">
        <f t="shared" si="1"/>
        <v>1.6292035398230089</v>
      </c>
      <c r="E52">
        <f t="shared" si="2"/>
        <v>1.0629110405414703</v>
      </c>
      <c r="F52" s="3">
        <f t="shared" si="3"/>
        <v>6.2911040541470342E-2</v>
      </c>
      <c r="J52" t="s">
        <v>55</v>
      </c>
      <c r="K52" s="9">
        <v>6.2911040541470342E-2</v>
      </c>
      <c r="L52" s="82">
        <v>1841</v>
      </c>
    </row>
    <row r="53" spans="1:12" x14ac:dyDescent="0.25">
      <c r="A53" t="s">
        <v>65</v>
      </c>
      <c r="B53" s="82">
        <v>1168</v>
      </c>
      <c r="C53" s="82">
        <v>1671</v>
      </c>
      <c r="D53">
        <f t="shared" si="1"/>
        <v>1.4306506849315068</v>
      </c>
      <c r="E53">
        <f t="shared" si="2"/>
        <v>1.0457832964892637</v>
      </c>
      <c r="F53" s="3">
        <f t="shared" si="3"/>
        <v>4.5783296489263714E-2</v>
      </c>
      <c r="J53" t="s">
        <v>65</v>
      </c>
      <c r="K53" s="9">
        <v>4.5783296489263714E-2</v>
      </c>
      <c r="L53" s="82">
        <v>1671</v>
      </c>
    </row>
    <row r="54" spans="1:12" x14ac:dyDescent="0.25">
      <c r="A54" t="s">
        <v>97</v>
      </c>
      <c r="B54" s="82">
        <v>870</v>
      </c>
      <c r="C54" s="82">
        <v>1474</v>
      </c>
      <c r="D54">
        <f t="shared" si="1"/>
        <v>1.6942528735632183</v>
      </c>
      <c r="E54">
        <f t="shared" si="2"/>
        <v>1.0681254889341847</v>
      </c>
      <c r="F54" s="3">
        <f t="shared" si="3"/>
        <v>6.8125488934184686E-2</v>
      </c>
      <c r="J54" t="s">
        <v>97</v>
      </c>
      <c r="K54" s="9">
        <v>6.8125488934184686E-2</v>
      </c>
      <c r="L54" s="82">
        <v>1474</v>
      </c>
    </row>
    <row r="55" spans="1:12" x14ac:dyDescent="0.25">
      <c r="A55" t="s">
        <v>73</v>
      </c>
      <c r="B55" s="82">
        <v>645</v>
      </c>
      <c r="C55" s="82">
        <v>1464</v>
      </c>
      <c r="D55">
        <f t="shared" si="1"/>
        <v>2.269767441860465</v>
      </c>
      <c r="E55">
        <f t="shared" si="2"/>
        <v>1.1078926221541832</v>
      </c>
      <c r="F55" s="3">
        <f t="shared" si="3"/>
        <v>0.10789262215418316</v>
      </c>
      <c r="J55" t="s">
        <v>73</v>
      </c>
      <c r="K55" s="9">
        <v>0.10789262215418316</v>
      </c>
      <c r="L55" s="82">
        <v>1464</v>
      </c>
    </row>
    <row r="56" spans="1:12" x14ac:dyDescent="0.25">
      <c r="A56" t="s">
        <v>71</v>
      </c>
      <c r="B56" s="82">
        <v>741</v>
      </c>
      <c r="C56" s="82">
        <v>1325</v>
      </c>
      <c r="D56">
        <f t="shared" si="1"/>
        <v>1.7881241565452093</v>
      </c>
      <c r="E56">
        <f t="shared" si="2"/>
        <v>1.0753496764871044</v>
      </c>
      <c r="F56" s="3">
        <f t="shared" si="3"/>
        <v>7.5349676487104444E-2</v>
      </c>
      <c r="J56" t="s">
        <v>71</v>
      </c>
      <c r="K56" s="9">
        <v>7.5349676487104444E-2</v>
      </c>
      <c r="L56" s="82">
        <v>1325</v>
      </c>
    </row>
    <row r="57" spans="1:12" x14ac:dyDescent="0.25">
      <c r="A57" t="s">
        <v>75</v>
      </c>
      <c r="B57" s="82">
        <v>714</v>
      </c>
      <c r="C57" s="82">
        <v>1212</v>
      </c>
      <c r="D57">
        <f t="shared" si="1"/>
        <v>1.6974789915966386</v>
      </c>
      <c r="E57">
        <f t="shared" si="2"/>
        <v>1.0683795117915154</v>
      </c>
      <c r="F57" s="3">
        <f t="shared" si="3"/>
        <v>6.8379511791515357E-2</v>
      </c>
      <c r="J57" t="s">
        <v>75</v>
      </c>
      <c r="K57" s="9">
        <v>6.8379511791515357E-2</v>
      </c>
      <c r="L57" s="82">
        <v>1212</v>
      </c>
    </row>
    <row r="58" spans="1:12" x14ac:dyDescent="0.25">
      <c r="A58" t="s">
        <v>81</v>
      </c>
      <c r="B58" s="82">
        <v>442</v>
      </c>
      <c r="C58" s="82">
        <v>872</v>
      </c>
      <c r="D58">
        <f t="shared" si="1"/>
        <v>1.9728506787330318</v>
      </c>
      <c r="E58">
        <f t="shared" si="2"/>
        <v>1.08864624004097</v>
      </c>
      <c r="F58" s="3">
        <f t="shared" si="3"/>
        <v>8.8646240040969992E-2</v>
      </c>
      <c r="J58" t="s">
        <v>81</v>
      </c>
      <c r="K58" s="9">
        <v>8.8646240040969992E-2</v>
      </c>
      <c r="L58" s="82">
        <v>872</v>
      </c>
    </row>
    <row r="59" spans="1:12" x14ac:dyDescent="0.25">
      <c r="A59" t="s">
        <v>89</v>
      </c>
      <c r="B59" s="82">
        <v>419</v>
      </c>
      <c r="C59" s="82">
        <v>839</v>
      </c>
      <c r="D59">
        <f t="shared" si="1"/>
        <v>2.0023866348448687</v>
      </c>
      <c r="E59">
        <f t="shared" si="2"/>
        <v>1.0906703130394519</v>
      </c>
      <c r="F59" s="3">
        <f t="shared" si="3"/>
        <v>9.0670313039451944E-2</v>
      </c>
      <c r="J59" t="s">
        <v>89</v>
      </c>
      <c r="K59" s="9">
        <v>9.0670313039451944E-2</v>
      </c>
      <c r="L59" s="82">
        <v>839</v>
      </c>
    </row>
    <row r="60" spans="1:12" x14ac:dyDescent="0.25">
      <c r="A60" t="s">
        <v>69</v>
      </c>
      <c r="B60" s="82">
        <v>273</v>
      </c>
      <c r="C60" s="82">
        <v>698</v>
      </c>
      <c r="D60">
        <f t="shared" si="1"/>
        <v>2.5567765567765566</v>
      </c>
      <c r="E60">
        <f t="shared" si="2"/>
        <v>1.1245055337117871</v>
      </c>
      <c r="F60" s="3">
        <f t="shared" si="3"/>
        <v>0.12450553371178708</v>
      </c>
      <c r="J60" t="s">
        <v>69</v>
      </c>
      <c r="K60" s="9">
        <v>0.12450553371178708</v>
      </c>
      <c r="L60" s="82">
        <v>698</v>
      </c>
    </row>
    <row r="61" spans="1:12" x14ac:dyDescent="0.25">
      <c r="C61" s="9"/>
    </row>
    <row r="62" spans="1:12" x14ac:dyDescent="0.25">
      <c r="C62" s="9"/>
    </row>
    <row r="63" spans="1:12" x14ac:dyDescent="0.25">
      <c r="C63" s="9"/>
    </row>
    <row r="64" spans="1:12" x14ac:dyDescent="0.25">
      <c r="C64" s="9"/>
    </row>
    <row r="65" spans="3:3" x14ac:dyDescent="0.25">
      <c r="C65" s="9"/>
    </row>
    <row r="66" spans="3:3" x14ac:dyDescent="0.25">
      <c r="C66" s="9"/>
    </row>
    <row r="67" spans="3:3" x14ac:dyDescent="0.25">
      <c r="C67" s="9"/>
    </row>
    <row r="68" spans="3:3" x14ac:dyDescent="0.25">
      <c r="C68" s="9"/>
    </row>
    <row r="69" spans="3:3" x14ac:dyDescent="0.25">
      <c r="C69" s="9"/>
    </row>
    <row r="70" spans="3:3" x14ac:dyDescent="0.25">
      <c r="C70" s="9"/>
    </row>
    <row r="71" spans="3:3" x14ac:dyDescent="0.25">
      <c r="C71" s="9"/>
    </row>
    <row r="72" spans="3:3" x14ac:dyDescent="0.25">
      <c r="C72" s="9"/>
    </row>
    <row r="106" spans="1:4" ht="13" x14ac:dyDescent="0.3">
      <c r="B106" s="4" t="s">
        <v>171</v>
      </c>
      <c r="C106" s="4">
        <v>2015</v>
      </c>
      <c r="D106" s="4">
        <v>2023</v>
      </c>
    </row>
    <row r="107" spans="1:4" x14ac:dyDescent="0.25">
      <c r="A107" t="s">
        <v>69</v>
      </c>
      <c r="B107" s="9">
        <v>1.5567765567765566</v>
      </c>
      <c r="C107" s="82">
        <v>273</v>
      </c>
      <c r="D107" s="82">
        <v>698</v>
      </c>
    </row>
    <row r="108" spans="1:4" x14ac:dyDescent="0.25">
      <c r="A108" t="s">
        <v>89</v>
      </c>
      <c r="B108" s="9">
        <v>1.0023866348448687</v>
      </c>
      <c r="C108" s="82">
        <v>419</v>
      </c>
      <c r="D108" s="82">
        <v>839</v>
      </c>
    </row>
    <row r="109" spans="1:4" x14ac:dyDescent="0.25">
      <c r="A109" t="s">
        <v>81</v>
      </c>
      <c r="B109" s="9">
        <v>0.97285067873303177</v>
      </c>
      <c r="C109" s="82">
        <v>442</v>
      </c>
      <c r="D109" s="82">
        <v>872</v>
      </c>
    </row>
    <row r="110" spans="1:4" x14ac:dyDescent="0.25">
      <c r="A110" t="s">
        <v>75</v>
      </c>
      <c r="B110" s="9">
        <v>0.69747899159663862</v>
      </c>
      <c r="C110" s="82">
        <v>714</v>
      </c>
      <c r="D110" s="82">
        <v>1212</v>
      </c>
    </row>
    <row r="111" spans="1:4" x14ac:dyDescent="0.25">
      <c r="A111" t="s">
        <v>71</v>
      </c>
      <c r="B111" s="9">
        <v>0.78812415654520929</v>
      </c>
      <c r="C111" s="82">
        <v>741</v>
      </c>
      <c r="D111" s="82">
        <v>1325</v>
      </c>
    </row>
    <row r="112" spans="1:4" x14ac:dyDescent="0.25">
      <c r="A112" t="s">
        <v>73</v>
      </c>
      <c r="B112" s="9">
        <v>1.269767441860465</v>
      </c>
      <c r="C112" s="82">
        <v>645</v>
      </c>
      <c r="D112" s="82">
        <v>1464</v>
      </c>
    </row>
    <row r="113" spans="1:4" x14ac:dyDescent="0.25">
      <c r="A113" t="s">
        <v>97</v>
      </c>
      <c r="B113" s="9">
        <v>0.6942528735632183</v>
      </c>
      <c r="C113" s="82">
        <v>870</v>
      </c>
      <c r="D113" s="82">
        <v>1474</v>
      </c>
    </row>
    <row r="114" spans="1:4" x14ac:dyDescent="0.25">
      <c r="A114" t="s">
        <v>65</v>
      </c>
      <c r="B114" s="9">
        <v>0.43065068493150682</v>
      </c>
      <c r="C114" s="82">
        <v>1168</v>
      </c>
      <c r="D114" s="82">
        <v>1671</v>
      </c>
    </row>
    <row r="115" spans="1:4" x14ac:dyDescent="0.25">
      <c r="A115" t="s">
        <v>55</v>
      </c>
      <c r="B115" s="9">
        <v>0.62920353982300892</v>
      </c>
      <c r="C115" s="82">
        <v>1130</v>
      </c>
      <c r="D115" s="82">
        <v>1841</v>
      </c>
    </row>
    <row r="116" spans="1:4" x14ac:dyDescent="0.25">
      <c r="A116" t="s">
        <v>87</v>
      </c>
      <c r="B116" s="9">
        <v>0.63422818791946312</v>
      </c>
      <c r="C116" s="82">
        <v>1192</v>
      </c>
      <c r="D116" s="82">
        <v>1948</v>
      </c>
    </row>
    <row r="117" spans="1:4" x14ac:dyDescent="0.25">
      <c r="A117" t="s">
        <v>79</v>
      </c>
      <c r="B117" s="9">
        <v>0.69847972972972983</v>
      </c>
      <c r="C117" s="82">
        <v>1184</v>
      </c>
      <c r="D117" s="82">
        <v>2011</v>
      </c>
    </row>
    <row r="118" spans="1:4" x14ac:dyDescent="0.25">
      <c r="A118" t="s">
        <v>85</v>
      </c>
      <c r="B118" s="9">
        <v>0.5904292751583391</v>
      </c>
      <c r="C118" s="82">
        <v>1421</v>
      </c>
      <c r="D118" s="82">
        <v>2260</v>
      </c>
    </row>
    <row r="119" spans="1:4" x14ac:dyDescent="0.25">
      <c r="A119" t="s">
        <v>61</v>
      </c>
      <c r="B119" s="9">
        <v>0.66161879895561349</v>
      </c>
      <c r="C119" s="82">
        <v>1915</v>
      </c>
      <c r="D119" s="82">
        <v>3182</v>
      </c>
    </row>
    <row r="120" spans="1:4" x14ac:dyDescent="0.25">
      <c r="A120" t="s">
        <v>99</v>
      </c>
      <c r="B120" s="9">
        <v>0.59815436241610742</v>
      </c>
      <c r="C120" s="82">
        <v>2384</v>
      </c>
      <c r="D120" s="82">
        <v>3810</v>
      </c>
    </row>
    <row r="121" spans="1:4" x14ac:dyDescent="0.25">
      <c r="A121" t="s">
        <v>57</v>
      </c>
      <c r="B121" s="9">
        <v>0.641057414291615</v>
      </c>
      <c r="C121" s="82">
        <v>2421</v>
      </c>
      <c r="D121" s="82">
        <v>3973</v>
      </c>
    </row>
    <row r="122" spans="1:4" x14ac:dyDescent="0.25">
      <c r="A122" t="s">
        <v>51</v>
      </c>
      <c r="B122" s="9">
        <v>0.51973684210526305</v>
      </c>
      <c r="C122" s="82">
        <v>2736</v>
      </c>
      <c r="D122" s="82">
        <v>4158</v>
      </c>
    </row>
    <row r="123" spans="1:4" x14ac:dyDescent="0.25">
      <c r="A123" t="s">
        <v>101</v>
      </c>
      <c r="B123" s="9">
        <v>0.70297029702970293</v>
      </c>
      <c r="C123" s="82">
        <v>2727</v>
      </c>
      <c r="D123" s="82">
        <v>4644</v>
      </c>
    </row>
    <row r="124" spans="1:4" x14ac:dyDescent="0.25">
      <c r="A124" t="s">
        <v>59</v>
      </c>
      <c r="B124" s="9">
        <v>1.4469659595461275</v>
      </c>
      <c r="C124" s="82">
        <v>2027</v>
      </c>
      <c r="D124" s="82">
        <v>4960</v>
      </c>
    </row>
    <row r="125" spans="1:4" x14ac:dyDescent="0.25">
      <c r="A125" t="s">
        <v>91</v>
      </c>
      <c r="B125" s="9">
        <v>0.63739290085679312</v>
      </c>
      <c r="C125" s="83">
        <v>3268</v>
      </c>
      <c r="D125" s="82">
        <v>5351</v>
      </c>
    </row>
    <row r="126" spans="1:4" x14ac:dyDescent="0.25">
      <c r="A126" t="s">
        <v>53</v>
      </c>
      <c r="B126" s="9">
        <v>0.44199035288144195</v>
      </c>
      <c r="C126" s="82">
        <v>3939</v>
      </c>
      <c r="D126" s="82">
        <v>5680</v>
      </c>
    </row>
    <row r="127" spans="1:4" x14ac:dyDescent="0.25">
      <c r="A127" t="s">
        <v>67</v>
      </c>
      <c r="B127" s="9">
        <v>0.35730593607305927</v>
      </c>
      <c r="C127" s="82">
        <v>4380</v>
      </c>
      <c r="D127" s="82">
        <v>5945</v>
      </c>
    </row>
    <row r="128" spans="1:4" x14ac:dyDescent="0.25">
      <c r="A128" t="s">
        <v>77</v>
      </c>
      <c r="B128" s="9">
        <v>0.63414634146341453</v>
      </c>
      <c r="C128" s="82">
        <v>4346</v>
      </c>
      <c r="D128" s="82">
        <v>7102</v>
      </c>
    </row>
    <row r="129" spans="1:4" x14ac:dyDescent="0.25">
      <c r="A129" t="s">
        <v>63</v>
      </c>
      <c r="B129" s="9">
        <v>0.46401145385916953</v>
      </c>
      <c r="C129" s="82">
        <v>7683</v>
      </c>
      <c r="D129" s="82">
        <v>11248</v>
      </c>
    </row>
    <row r="130" spans="1:4" x14ac:dyDescent="0.25">
      <c r="A130" t="s">
        <v>93</v>
      </c>
      <c r="B130" s="9">
        <v>0.41520828198175996</v>
      </c>
      <c r="C130" s="82">
        <v>8114</v>
      </c>
      <c r="D130" s="82">
        <v>11483</v>
      </c>
    </row>
    <row r="131" spans="1:4" x14ac:dyDescent="0.25">
      <c r="A131" t="s">
        <v>95</v>
      </c>
      <c r="B131" s="9">
        <v>0.33566063683486713</v>
      </c>
      <c r="C131" s="82">
        <v>9453</v>
      </c>
      <c r="D131" s="82">
        <v>12626</v>
      </c>
    </row>
  </sheetData>
  <sortState xmlns:xlrd2="http://schemas.microsoft.com/office/spreadsheetml/2017/richdata2" ref="A107:D131">
    <sortCondition ref="D107:D131"/>
    <sortCondition ref="C107:C131"/>
    <sortCondition ref="A107:A131"/>
  </sortState>
  <hyperlinks>
    <hyperlink ref="A2" location="Overzicht!A1" display="Terug naar tabblad Overzicht" xr:uid="{ECD37246-E820-4A64-819B-E6FC3378D3DA}"/>
  </hyperlinks>
  <pageMargins left="0.7" right="0.7" top="0.75" bottom="0.75" header="0.3" footer="0.3"/>
  <pageSetup paperSize="9" orientation="portrait" verticalDpi="0"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B4C1AE-8D41-49EA-9B0F-E90DC8F02897}">
  <sheetPr codeName="Sheet14"/>
  <dimension ref="A1:F48"/>
  <sheetViews>
    <sheetView workbookViewId="0">
      <selection activeCell="A2" sqref="A2"/>
    </sheetView>
  </sheetViews>
  <sheetFormatPr defaultColWidth="9.1796875" defaultRowHeight="12.5" x14ac:dyDescent="0.25"/>
  <cols>
    <col min="1" max="1" width="19.81640625" customWidth="1"/>
    <col min="2" max="2" width="12.54296875" customWidth="1"/>
    <col min="3" max="3" width="12" customWidth="1"/>
  </cols>
  <sheetData>
    <row r="1" spans="1:5" ht="18.5" x14ac:dyDescent="0.45">
      <c r="A1" s="1" t="s">
        <v>42</v>
      </c>
    </row>
    <row r="2" spans="1:5" x14ac:dyDescent="0.25">
      <c r="A2" s="52" t="s">
        <v>48</v>
      </c>
    </row>
    <row r="5" spans="1:5" ht="13" x14ac:dyDescent="0.3">
      <c r="B5" s="4" t="s">
        <v>193</v>
      </c>
      <c r="C5" s="4"/>
      <c r="D5" s="4" t="s">
        <v>194</v>
      </c>
      <c r="E5" s="4"/>
    </row>
    <row r="6" spans="1:5" ht="13" x14ac:dyDescent="0.3">
      <c r="A6" s="50" t="s">
        <v>195</v>
      </c>
      <c r="B6" s="57" t="s">
        <v>196</v>
      </c>
      <c r="C6" s="58" t="s">
        <v>197</v>
      </c>
      <c r="D6" s="57" t="s">
        <v>196</v>
      </c>
      <c r="E6" s="58" t="s">
        <v>197</v>
      </c>
    </row>
    <row r="7" spans="1:5" ht="13" x14ac:dyDescent="0.3">
      <c r="A7" s="59" t="s">
        <v>64</v>
      </c>
      <c r="B7" s="53">
        <v>1581</v>
      </c>
      <c r="C7" s="54">
        <v>3355</v>
      </c>
      <c r="D7" s="9">
        <v>0.32937499999999997</v>
      </c>
      <c r="E7" s="9">
        <v>0.2966139156573247</v>
      </c>
    </row>
    <row r="8" spans="1:5" ht="13" x14ac:dyDescent="0.3">
      <c r="A8" s="59" t="s">
        <v>93</v>
      </c>
      <c r="B8" s="55">
        <v>947</v>
      </c>
      <c r="C8" s="56">
        <v>2805</v>
      </c>
      <c r="D8" s="9">
        <v>0.19729166666666667</v>
      </c>
      <c r="E8" s="9">
        <v>0.24798868358235346</v>
      </c>
    </row>
    <row r="9" spans="1:5" ht="13" x14ac:dyDescent="0.3">
      <c r="A9" s="59" t="s">
        <v>68</v>
      </c>
      <c r="B9" s="55">
        <v>1169</v>
      </c>
      <c r="C9" s="56">
        <v>2553</v>
      </c>
      <c r="D9" s="9">
        <v>0.24354166666666666</v>
      </c>
      <c r="E9" s="9">
        <v>0.22570948634073026</v>
      </c>
    </row>
    <row r="10" spans="1:5" ht="13" x14ac:dyDescent="0.3">
      <c r="A10" s="59" t="s">
        <v>102</v>
      </c>
      <c r="B10" s="55">
        <v>608</v>
      </c>
      <c r="C10" s="56">
        <v>1342</v>
      </c>
      <c r="D10" s="9">
        <v>0.12666666666666668</v>
      </c>
      <c r="E10" s="9">
        <v>0.11864556626292989</v>
      </c>
    </row>
    <row r="11" spans="1:5" ht="13" x14ac:dyDescent="0.3">
      <c r="A11" s="59" t="s">
        <v>142</v>
      </c>
      <c r="B11" s="55">
        <v>139</v>
      </c>
      <c r="C11" s="56">
        <v>409</v>
      </c>
      <c r="D11" s="9">
        <v>2.8958333333333332E-2</v>
      </c>
      <c r="E11" s="9">
        <v>3.6159490761205906E-2</v>
      </c>
    </row>
    <row r="12" spans="1:5" ht="13" x14ac:dyDescent="0.3">
      <c r="A12" s="59" t="s">
        <v>198</v>
      </c>
      <c r="B12" s="55">
        <v>184</v>
      </c>
      <c r="C12" s="56">
        <v>429</v>
      </c>
      <c r="D12" s="9">
        <v>3.833333333333333E-2</v>
      </c>
      <c r="E12" s="9">
        <v>3.7927681018477585E-2</v>
      </c>
    </row>
    <row r="13" spans="1:5" ht="13" x14ac:dyDescent="0.3">
      <c r="A13" s="59" t="s">
        <v>60</v>
      </c>
      <c r="B13" s="55">
        <v>26</v>
      </c>
      <c r="C13" s="56">
        <v>120</v>
      </c>
      <c r="D13" s="9">
        <v>5.4166666666666669E-3</v>
      </c>
      <c r="E13" s="9">
        <v>1.0609141543630095E-2</v>
      </c>
    </row>
    <row r="14" spans="1:5" ht="13" x14ac:dyDescent="0.3">
      <c r="A14" s="59" t="s">
        <v>98</v>
      </c>
      <c r="B14" s="55">
        <v>55</v>
      </c>
      <c r="C14" s="56">
        <v>94</v>
      </c>
      <c r="D14" s="9">
        <v>1.1458333333333333E-2</v>
      </c>
      <c r="E14" s="9">
        <v>8.3104942091769083E-3</v>
      </c>
    </row>
    <row r="15" spans="1:5" ht="13" x14ac:dyDescent="0.3">
      <c r="A15" s="59" t="s">
        <v>56</v>
      </c>
      <c r="B15" s="55">
        <v>28</v>
      </c>
      <c r="C15" s="56">
        <v>58</v>
      </c>
      <c r="D15" s="9">
        <v>5.8333333333333336E-3</v>
      </c>
      <c r="E15" s="9">
        <v>5.1277517460878788E-3</v>
      </c>
    </row>
    <row r="16" spans="1:5" ht="13" x14ac:dyDescent="0.3">
      <c r="A16" s="59" t="s">
        <v>82</v>
      </c>
      <c r="B16" s="55">
        <v>20</v>
      </c>
      <c r="C16" s="56">
        <v>39</v>
      </c>
      <c r="D16" s="9">
        <v>4.1666666666666666E-3</v>
      </c>
      <c r="E16" s="9">
        <v>3.4479710016797806E-3</v>
      </c>
    </row>
    <row r="17" spans="1:6" ht="13" x14ac:dyDescent="0.3">
      <c r="A17" s="59" t="s">
        <v>80</v>
      </c>
      <c r="B17" s="55">
        <v>28</v>
      </c>
      <c r="C17" s="56">
        <v>54</v>
      </c>
      <c r="D17" s="9">
        <v>5.8333333333333336E-3</v>
      </c>
      <c r="E17" s="9">
        <v>4.7741136946335425E-3</v>
      </c>
    </row>
    <row r="18" spans="1:6" ht="13" x14ac:dyDescent="0.3">
      <c r="A18" s="59" t="s">
        <v>74</v>
      </c>
      <c r="B18" s="55">
        <v>11</v>
      </c>
      <c r="C18" s="56">
        <v>39</v>
      </c>
      <c r="D18" s="9">
        <v>2.2916666666666667E-3</v>
      </c>
      <c r="E18" s="9">
        <v>3.4479710016797806E-3</v>
      </c>
    </row>
    <row r="19" spans="1:6" ht="13" x14ac:dyDescent="0.3">
      <c r="A19" s="59" t="s">
        <v>70</v>
      </c>
      <c r="B19" s="55">
        <v>4</v>
      </c>
      <c r="C19" s="56">
        <v>14</v>
      </c>
      <c r="D19" s="9">
        <v>8.3333333333333339E-4</v>
      </c>
      <c r="E19" s="9">
        <v>1.2377331800901778E-3</v>
      </c>
    </row>
    <row r="21" spans="1:6" x14ac:dyDescent="0.25">
      <c r="A21" t="s">
        <v>199</v>
      </c>
    </row>
    <row r="23" spans="1:6" ht="13" x14ac:dyDescent="0.3">
      <c r="A23" s="16"/>
      <c r="B23" s="12"/>
      <c r="D23" s="16"/>
      <c r="E23" s="12"/>
    </row>
    <row r="24" spans="1:6" x14ac:dyDescent="0.25">
      <c r="C24" s="9"/>
      <c r="F24" s="9"/>
    </row>
    <row r="25" spans="1:6" x14ac:dyDescent="0.25">
      <c r="C25" s="9"/>
      <c r="F25" s="9"/>
    </row>
    <row r="26" spans="1:6" x14ac:dyDescent="0.25">
      <c r="C26" s="9"/>
      <c r="F26" s="9"/>
    </row>
    <row r="27" spans="1:6" x14ac:dyDescent="0.25">
      <c r="C27" s="9"/>
      <c r="F27" s="9"/>
    </row>
    <row r="28" spans="1:6" x14ac:dyDescent="0.25">
      <c r="C28" s="9"/>
      <c r="F28" s="9"/>
    </row>
    <row r="29" spans="1:6" x14ac:dyDescent="0.25">
      <c r="C29" s="9"/>
      <c r="F29" s="9"/>
    </row>
    <row r="30" spans="1:6" x14ac:dyDescent="0.25">
      <c r="C30" s="9"/>
      <c r="F30" s="9"/>
    </row>
    <row r="31" spans="1:6" x14ac:dyDescent="0.25">
      <c r="C31" s="9"/>
      <c r="F31" s="9"/>
    </row>
    <row r="32" spans="1:6" x14ac:dyDescent="0.25">
      <c r="C32" s="9"/>
      <c r="F32" s="9"/>
    </row>
    <row r="33" spans="3:6" x14ac:dyDescent="0.25">
      <c r="C33" s="9"/>
      <c r="F33" s="9"/>
    </row>
    <row r="34" spans="3:6" x14ac:dyDescent="0.25">
      <c r="C34" s="9"/>
      <c r="F34" s="9"/>
    </row>
    <row r="35" spans="3:6" x14ac:dyDescent="0.25">
      <c r="C35" s="9"/>
      <c r="F35" s="9"/>
    </row>
    <row r="36" spans="3:6" x14ac:dyDescent="0.25">
      <c r="C36" s="9"/>
      <c r="F36" s="9"/>
    </row>
    <row r="37" spans="3:6" x14ac:dyDescent="0.25">
      <c r="C37" s="9"/>
      <c r="F37" s="9"/>
    </row>
    <row r="38" spans="3:6" x14ac:dyDescent="0.25">
      <c r="C38" s="9"/>
      <c r="F38" s="9"/>
    </row>
    <row r="39" spans="3:6" x14ac:dyDescent="0.25">
      <c r="C39" s="9"/>
      <c r="F39" s="9"/>
    </row>
    <row r="40" spans="3:6" x14ac:dyDescent="0.25">
      <c r="C40" s="20"/>
      <c r="F40" s="21"/>
    </row>
    <row r="41" spans="3:6" x14ac:dyDescent="0.25">
      <c r="C41" s="20"/>
      <c r="F41" s="21"/>
    </row>
    <row r="42" spans="3:6" x14ac:dyDescent="0.25">
      <c r="C42" s="20"/>
      <c r="F42" s="21"/>
    </row>
    <row r="43" spans="3:6" x14ac:dyDescent="0.25">
      <c r="C43" s="20"/>
      <c r="F43" s="21"/>
    </row>
    <row r="44" spans="3:6" x14ac:dyDescent="0.25">
      <c r="C44" s="20"/>
      <c r="F44" s="21"/>
    </row>
    <row r="45" spans="3:6" x14ac:dyDescent="0.25">
      <c r="C45" s="20"/>
      <c r="F45" s="21"/>
    </row>
    <row r="46" spans="3:6" x14ac:dyDescent="0.25">
      <c r="C46" s="20"/>
      <c r="F46" s="21"/>
    </row>
    <row r="47" spans="3:6" x14ac:dyDescent="0.25">
      <c r="C47" s="20"/>
      <c r="F47" s="21"/>
    </row>
    <row r="48" spans="3:6" x14ac:dyDescent="0.25">
      <c r="C48" s="21"/>
      <c r="F48" s="21"/>
    </row>
  </sheetData>
  <hyperlinks>
    <hyperlink ref="A2" location="Overzicht!A1" display="Terug naar tabblad Overzicht" xr:uid="{C6D47474-94EB-438B-A520-36B2FCEFDC8A}"/>
  </hyperlinks>
  <pageMargins left="0.7" right="0.7" top="0.75" bottom="0.75" header="0.3" footer="0.3"/>
  <pageSetup paperSize="9" orientation="portrait"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F7A94E-4AA8-4E72-8632-912080524A5F}">
  <dimension ref="A1:J33"/>
  <sheetViews>
    <sheetView tabSelected="1" workbookViewId="0">
      <selection activeCell="G6" sqref="G6"/>
    </sheetView>
  </sheetViews>
  <sheetFormatPr defaultRowHeight="12.5" x14ac:dyDescent="0.25"/>
  <cols>
    <col min="1" max="1" width="21" customWidth="1"/>
    <col min="2" max="2" width="15.26953125" bestFit="1" customWidth="1"/>
    <col min="3" max="4" width="17.7265625" bestFit="1" customWidth="1"/>
    <col min="5" max="5" width="8.453125" customWidth="1"/>
  </cols>
  <sheetData>
    <row r="1" spans="1:10" ht="18.5" x14ac:dyDescent="0.45">
      <c r="A1" s="109" t="s">
        <v>290</v>
      </c>
      <c r="B1" s="109"/>
      <c r="C1" s="109"/>
      <c r="D1" s="109"/>
      <c r="E1" s="109"/>
      <c r="F1" s="109"/>
      <c r="G1" s="109"/>
      <c r="H1" s="109"/>
      <c r="I1" s="109"/>
      <c r="J1" s="109"/>
    </row>
    <row r="2" spans="1:10" x14ac:dyDescent="0.25">
      <c r="A2" s="52" t="s">
        <v>48</v>
      </c>
    </row>
    <row r="5" spans="1:10" ht="13" x14ac:dyDescent="0.3">
      <c r="A5" s="60" t="s">
        <v>195</v>
      </c>
      <c r="B5" s="60" t="s">
        <v>200</v>
      </c>
      <c r="C5" s="60" t="s">
        <v>201</v>
      </c>
      <c r="D5" s="60" t="s">
        <v>202</v>
      </c>
      <c r="E5" s="60" t="s">
        <v>103</v>
      </c>
    </row>
    <row r="6" spans="1:10" ht="13" x14ac:dyDescent="0.3">
      <c r="A6" s="59" t="s">
        <v>96</v>
      </c>
      <c r="B6" t="s">
        <v>203</v>
      </c>
      <c r="C6" t="s">
        <v>204</v>
      </c>
      <c r="D6" t="s">
        <v>205</v>
      </c>
      <c r="E6">
        <v>102455</v>
      </c>
    </row>
    <row r="7" spans="1:10" ht="13" x14ac:dyDescent="0.3">
      <c r="A7" s="59" t="s">
        <v>94</v>
      </c>
      <c r="B7" t="s">
        <v>206</v>
      </c>
      <c r="C7" t="s">
        <v>207</v>
      </c>
      <c r="D7" t="s">
        <v>208</v>
      </c>
      <c r="E7">
        <v>92876</v>
      </c>
    </row>
    <row r="8" spans="1:10" ht="13" x14ac:dyDescent="0.3">
      <c r="A8" s="59" t="s">
        <v>64</v>
      </c>
      <c r="B8" t="s">
        <v>209</v>
      </c>
      <c r="C8" t="s">
        <v>210</v>
      </c>
      <c r="D8" t="s">
        <v>211</v>
      </c>
      <c r="E8">
        <v>87663</v>
      </c>
    </row>
    <row r="9" spans="1:10" ht="13" x14ac:dyDescent="0.3">
      <c r="A9" s="59" t="s">
        <v>78</v>
      </c>
      <c r="B9" t="s">
        <v>212</v>
      </c>
      <c r="C9" t="s">
        <v>213</v>
      </c>
      <c r="D9" t="s">
        <v>214</v>
      </c>
      <c r="E9">
        <v>51842</v>
      </c>
    </row>
    <row r="10" spans="1:10" ht="13" x14ac:dyDescent="0.3">
      <c r="A10" s="59" t="s">
        <v>68</v>
      </c>
      <c r="B10" t="s">
        <v>215</v>
      </c>
      <c r="C10" t="s">
        <v>216</v>
      </c>
      <c r="D10" t="s">
        <v>217</v>
      </c>
      <c r="E10">
        <v>47988</v>
      </c>
    </row>
    <row r="11" spans="1:10" ht="13" x14ac:dyDescent="0.3">
      <c r="A11" s="59" t="s">
        <v>54</v>
      </c>
      <c r="B11" t="s">
        <v>218</v>
      </c>
      <c r="C11" t="s">
        <v>219</v>
      </c>
      <c r="D11" t="s">
        <v>220</v>
      </c>
      <c r="E11">
        <v>43911</v>
      </c>
    </row>
    <row r="12" spans="1:10" ht="13" x14ac:dyDescent="0.3">
      <c r="A12" s="59" t="s">
        <v>92</v>
      </c>
      <c r="B12" t="s">
        <v>221</v>
      </c>
      <c r="C12" t="s">
        <v>222</v>
      </c>
      <c r="D12" t="s">
        <v>223</v>
      </c>
      <c r="E12">
        <v>38825</v>
      </c>
    </row>
    <row r="13" spans="1:10" ht="13" x14ac:dyDescent="0.3">
      <c r="A13" s="59" t="s">
        <v>102</v>
      </c>
      <c r="B13" t="s">
        <v>224</v>
      </c>
      <c r="C13" t="s">
        <v>225</v>
      </c>
      <c r="D13" t="s">
        <v>226</v>
      </c>
      <c r="E13">
        <v>34203</v>
      </c>
    </row>
    <row r="14" spans="1:10" ht="13" x14ac:dyDescent="0.3">
      <c r="A14" s="59" t="s">
        <v>52</v>
      </c>
      <c r="B14" t="s">
        <v>227</v>
      </c>
      <c r="C14" t="s">
        <v>228</v>
      </c>
      <c r="D14" t="s">
        <v>229</v>
      </c>
      <c r="E14">
        <v>33550</v>
      </c>
    </row>
    <row r="15" spans="1:10" ht="13" x14ac:dyDescent="0.3">
      <c r="A15" s="59" t="s">
        <v>60</v>
      </c>
      <c r="B15" t="s">
        <v>230</v>
      </c>
      <c r="C15" t="s">
        <v>231</v>
      </c>
      <c r="D15" t="s">
        <v>232</v>
      </c>
      <c r="E15">
        <v>32784</v>
      </c>
    </row>
    <row r="16" spans="1:10" ht="13" x14ac:dyDescent="0.3">
      <c r="A16" s="59" t="s">
        <v>58</v>
      </c>
      <c r="B16" t="s">
        <v>233</v>
      </c>
      <c r="C16" t="s">
        <v>234</v>
      </c>
      <c r="D16" t="s">
        <v>235</v>
      </c>
      <c r="E16">
        <v>29965</v>
      </c>
    </row>
    <row r="17" spans="1:5" ht="13" x14ac:dyDescent="0.3">
      <c r="A17" s="59" t="s">
        <v>100</v>
      </c>
      <c r="B17" t="s">
        <v>236</v>
      </c>
      <c r="C17" t="s">
        <v>237</v>
      </c>
      <c r="D17" t="s">
        <v>238</v>
      </c>
      <c r="E17">
        <v>28625</v>
      </c>
    </row>
    <row r="18" spans="1:5" ht="13" x14ac:dyDescent="0.3">
      <c r="A18" s="59" t="s">
        <v>62</v>
      </c>
      <c r="B18" t="s">
        <v>239</v>
      </c>
      <c r="C18" t="s">
        <v>240</v>
      </c>
      <c r="D18" t="s">
        <v>241</v>
      </c>
      <c r="E18">
        <v>22923</v>
      </c>
    </row>
    <row r="19" spans="1:5" ht="13" x14ac:dyDescent="0.3">
      <c r="A19" s="59" t="s">
        <v>86</v>
      </c>
      <c r="B19" t="s">
        <v>242</v>
      </c>
      <c r="C19" t="s">
        <v>243</v>
      </c>
      <c r="D19" t="s">
        <v>244</v>
      </c>
      <c r="E19">
        <v>17055</v>
      </c>
    </row>
    <row r="20" spans="1:5" ht="13" x14ac:dyDescent="0.3">
      <c r="A20" s="59" t="s">
        <v>80</v>
      </c>
      <c r="B20" t="s">
        <v>245</v>
      </c>
      <c r="C20" t="s">
        <v>246</v>
      </c>
      <c r="D20" t="s">
        <v>247</v>
      </c>
      <c r="E20">
        <v>15219</v>
      </c>
    </row>
    <row r="21" spans="1:5" ht="13" x14ac:dyDescent="0.3">
      <c r="A21" s="59" t="s">
        <v>88</v>
      </c>
      <c r="B21" t="s">
        <v>248</v>
      </c>
      <c r="C21" t="s">
        <v>249</v>
      </c>
      <c r="D21" t="s">
        <v>250</v>
      </c>
      <c r="E21">
        <v>14579</v>
      </c>
    </row>
    <row r="22" spans="1:5" ht="13" x14ac:dyDescent="0.3">
      <c r="A22" s="59" t="s">
        <v>56</v>
      </c>
      <c r="B22" t="s">
        <v>251</v>
      </c>
      <c r="C22" t="s">
        <v>252</v>
      </c>
      <c r="D22" t="s">
        <v>253</v>
      </c>
      <c r="E22">
        <v>13825</v>
      </c>
    </row>
    <row r="23" spans="1:5" ht="13" x14ac:dyDescent="0.3">
      <c r="A23" s="59" t="s">
        <v>66</v>
      </c>
      <c r="B23" t="s">
        <v>254</v>
      </c>
      <c r="C23" t="s">
        <v>255</v>
      </c>
      <c r="D23" t="s">
        <v>256</v>
      </c>
      <c r="E23">
        <v>12932</v>
      </c>
    </row>
    <row r="24" spans="1:5" ht="13" x14ac:dyDescent="0.3">
      <c r="A24" s="59" t="s">
        <v>98</v>
      </c>
      <c r="B24" t="s">
        <v>257</v>
      </c>
      <c r="C24" t="s">
        <v>258</v>
      </c>
      <c r="D24" t="s">
        <v>259</v>
      </c>
      <c r="E24">
        <v>10891</v>
      </c>
    </row>
    <row r="25" spans="1:5" ht="13" x14ac:dyDescent="0.3">
      <c r="A25" s="59" t="s">
        <v>72</v>
      </c>
      <c r="B25" t="s">
        <v>260</v>
      </c>
      <c r="C25" t="s">
        <v>261</v>
      </c>
      <c r="D25" t="s">
        <v>262</v>
      </c>
      <c r="E25">
        <v>9721</v>
      </c>
    </row>
    <row r="26" spans="1:5" ht="13" x14ac:dyDescent="0.3">
      <c r="A26" s="59" t="s">
        <v>74</v>
      </c>
      <c r="B26" t="s">
        <v>263</v>
      </c>
      <c r="C26" t="s">
        <v>264</v>
      </c>
      <c r="D26" t="s">
        <v>265</v>
      </c>
      <c r="E26">
        <v>9388</v>
      </c>
    </row>
    <row r="27" spans="1:5" ht="13" x14ac:dyDescent="0.3">
      <c r="A27" s="59" t="s">
        <v>76</v>
      </c>
      <c r="B27" t="s">
        <v>266</v>
      </c>
      <c r="C27" t="s">
        <v>267</v>
      </c>
      <c r="D27" t="s">
        <v>268</v>
      </c>
      <c r="E27">
        <v>8536</v>
      </c>
    </row>
    <row r="28" spans="1:5" ht="13" x14ac:dyDescent="0.3">
      <c r="A28" s="59" t="s">
        <v>82</v>
      </c>
      <c r="B28" t="s">
        <v>269</v>
      </c>
      <c r="C28" t="s">
        <v>270</v>
      </c>
      <c r="D28" t="s">
        <v>271</v>
      </c>
      <c r="E28">
        <v>6101</v>
      </c>
    </row>
    <row r="29" spans="1:5" ht="13" x14ac:dyDescent="0.3">
      <c r="A29" s="59" t="s">
        <v>90</v>
      </c>
      <c r="B29" t="s">
        <v>272</v>
      </c>
      <c r="C29" t="s">
        <v>273</v>
      </c>
      <c r="D29" t="s">
        <v>274</v>
      </c>
      <c r="E29">
        <v>5827</v>
      </c>
    </row>
    <row r="30" spans="1:5" ht="13" x14ac:dyDescent="0.3">
      <c r="A30" s="59" t="s">
        <v>70</v>
      </c>
      <c r="B30" t="s">
        <v>275</v>
      </c>
      <c r="C30" t="s">
        <v>276</v>
      </c>
      <c r="D30" t="s">
        <v>277</v>
      </c>
      <c r="E30">
        <v>4459</v>
      </c>
    </row>
    <row r="32" spans="1:5" x14ac:dyDescent="0.25">
      <c r="A32" t="s">
        <v>291</v>
      </c>
    </row>
    <row r="33" spans="1:1" x14ac:dyDescent="0.25">
      <c r="A33" s="51" t="s">
        <v>278</v>
      </c>
    </row>
  </sheetData>
  <mergeCells count="1">
    <mergeCell ref="A1:J1"/>
  </mergeCells>
  <phoneticPr fontId="11" type="noConversion"/>
  <hyperlinks>
    <hyperlink ref="A2" location="Overzicht!A1" display="Terug naar tabblad Overzicht" xr:uid="{697F91A5-9745-49E5-A8F8-AA4F538B2539}"/>
  </hyperlinks>
  <pageMargins left="0.7" right="0.7" top="0.75" bottom="0.75" header="0.3" footer="0.3"/>
  <tableParts count="1">
    <tablePart r:id="rId1"/>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9880AC-B2B5-44C7-AFDD-2DD68E362878}">
  <dimension ref="A6:M33"/>
  <sheetViews>
    <sheetView workbookViewId="0">
      <selection activeCell="A38" sqref="A38"/>
    </sheetView>
  </sheetViews>
  <sheetFormatPr defaultRowHeight="12.5" x14ac:dyDescent="0.25"/>
  <cols>
    <col min="2" max="2" width="13.54296875" customWidth="1"/>
    <col min="3" max="3" width="17.81640625" customWidth="1"/>
    <col min="4" max="4" width="16.453125" customWidth="1"/>
    <col min="5" max="5" width="18.26953125" customWidth="1"/>
    <col min="6" max="6" width="55" customWidth="1"/>
    <col min="7" max="7" width="18.7265625" customWidth="1"/>
    <col min="8" max="8" width="19.1796875" customWidth="1"/>
  </cols>
  <sheetData>
    <row r="6" spans="1:13" ht="13" x14ac:dyDescent="0.3">
      <c r="A6" s="59"/>
      <c r="B6" s="110" t="s">
        <v>279</v>
      </c>
      <c r="C6" s="111"/>
      <c r="D6" s="110" t="s">
        <v>280</v>
      </c>
      <c r="E6" s="111"/>
      <c r="F6" s="59" t="s">
        <v>281</v>
      </c>
      <c r="G6" s="110" t="s">
        <v>282</v>
      </c>
      <c r="H6" s="111"/>
      <c r="I6" s="4"/>
      <c r="J6" s="4"/>
    </row>
    <row r="7" spans="1:13" ht="13" x14ac:dyDescent="0.3">
      <c r="A7" s="59"/>
      <c r="B7" s="59">
        <v>2016</v>
      </c>
      <c r="C7" s="59">
        <v>2022</v>
      </c>
      <c r="D7" s="59">
        <v>2016</v>
      </c>
      <c r="E7" s="59">
        <v>2022</v>
      </c>
      <c r="F7" s="59"/>
      <c r="G7" s="59">
        <v>2016</v>
      </c>
      <c r="H7" s="59">
        <v>2022</v>
      </c>
    </row>
    <row r="8" spans="1:13" ht="13" x14ac:dyDescent="0.3">
      <c r="A8" s="66" t="s">
        <v>83</v>
      </c>
      <c r="B8" s="64">
        <v>0.61</v>
      </c>
      <c r="C8" s="64">
        <v>0.83</v>
      </c>
      <c r="D8" s="65">
        <v>34082</v>
      </c>
      <c r="E8" s="65">
        <v>55187</v>
      </c>
      <c r="F8" s="64">
        <v>0.62</v>
      </c>
      <c r="G8" s="65">
        <v>55681</v>
      </c>
      <c r="H8" s="65">
        <v>66876</v>
      </c>
      <c r="M8" s="9"/>
    </row>
    <row r="9" spans="1:13" ht="13" x14ac:dyDescent="0.3">
      <c r="A9" s="59" t="s">
        <v>99</v>
      </c>
      <c r="B9" s="22">
        <v>0.53</v>
      </c>
      <c r="C9" s="22">
        <v>0.79</v>
      </c>
      <c r="D9" s="13">
        <v>20533</v>
      </c>
      <c r="E9" s="13">
        <v>36169</v>
      </c>
      <c r="F9" s="22">
        <v>0.76</v>
      </c>
      <c r="G9" s="13">
        <v>38824</v>
      </c>
      <c r="H9" s="13">
        <v>45640</v>
      </c>
    </row>
    <row r="10" spans="1:13" ht="13" x14ac:dyDescent="0.3">
      <c r="A10" s="59" t="s">
        <v>65</v>
      </c>
      <c r="B10" s="22">
        <v>0.45</v>
      </c>
      <c r="C10" s="22">
        <v>0.78</v>
      </c>
      <c r="D10" s="13">
        <v>8889</v>
      </c>
      <c r="E10" s="13">
        <v>18306</v>
      </c>
      <c r="F10" s="22">
        <v>1.06</v>
      </c>
      <c r="G10" s="13">
        <v>19677</v>
      </c>
      <c r="H10" s="13">
        <v>23574</v>
      </c>
    </row>
    <row r="11" spans="1:13" ht="13" x14ac:dyDescent="0.3">
      <c r="A11" s="59" t="s">
        <v>85</v>
      </c>
      <c r="B11" s="22">
        <v>0.52</v>
      </c>
      <c r="C11" s="22">
        <v>0.76</v>
      </c>
      <c r="D11" s="13">
        <v>10693</v>
      </c>
      <c r="E11" s="13">
        <v>20976</v>
      </c>
      <c r="F11" s="22">
        <v>0.96</v>
      </c>
      <c r="G11" s="13">
        <v>20516</v>
      </c>
      <c r="H11" s="13">
        <v>27451</v>
      </c>
    </row>
    <row r="12" spans="1:13" ht="13" x14ac:dyDescent="0.3">
      <c r="A12" s="59" t="s">
        <v>101</v>
      </c>
      <c r="B12" s="22">
        <v>0.57999999999999996</v>
      </c>
      <c r="C12" s="22">
        <v>0.76</v>
      </c>
      <c r="D12" s="13">
        <v>25135</v>
      </c>
      <c r="E12" s="13">
        <v>39955</v>
      </c>
      <c r="F12" s="22">
        <v>0.59</v>
      </c>
      <c r="G12" s="13">
        <v>43366</v>
      </c>
      <c r="H12" s="13">
        <v>52814</v>
      </c>
    </row>
    <row r="13" spans="1:13" ht="13" x14ac:dyDescent="0.3">
      <c r="A13" s="59" t="s">
        <v>93</v>
      </c>
      <c r="B13" s="22">
        <v>0.66</v>
      </c>
      <c r="C13" s="22">
        <v>0.75</v>
      </c>
      <c r="D13" s="13">
        <v>117574</v>
      </c>
      <c r="E13" s="13">
        <v>156472</v>
      </c>
      <c r="F13" s="22">
        <v>0.33</v>
      </c>
      <c r="G13" s="13">
        <v>178699</v>
      </c>
      <c r="H13" s="13">
        <v>208525</v>
      </c>
    </row>
    <row r="14" spans="1:13" ht="13" x14ac:dyDescent="0.3">
      <c r="A14" s="59" t="s">
        <v>87</v>
      </c>
      <c r="B14" s="22">
        <v>0.46</v>
      </c>
      <c r="C14" s="22">
        <v>0.73</v>
      </c>
      <c r="D14" s="13">
        <v>20838</v>
      </c>
      <c r="E14" s="13">
        <v>41292</v>
      </c>
      <c r="F14" s="22">
        <v>0.98</v>
      </c>
      <c r="G14" s="13">
        <v>45465</v>
      </c>
      <c r="H14" s="13">
        <v>56840</v>
      </c>
    </row>
    <row r="15" spans="1:13" ht="13" x14ac:dyDescent="0.3">
      <c r="A15" s="59" t="s">
        <v>61</v>
      </c>
      <c r="B15" s="22">
        <v>0.55000000000000004</v>
      </c>
      <c r="C15" s="22">
        <v>0.72</v>
      </c>
      <c r="D15" s="13">
        <v>14281</v>
      </c>
      <c r="E15" s="13">
        <v>23141</v>
      </c>
      <c r="F15" s="22">
        <v>0.62</v>
      </c>
      <c r="G15" s="13">
        <v>25910</v>
      </c>
      <c r="H15" s="13">
        <v>32352</v>
      </c>
    </row>
    <row r="16" spans="1:13" ht="13" x14ac:dyDescent="0.3">
      <c r="A16" s="59" t="s">
        <v>53</v>
      </c>
      <c r="B16" s="22">
        <v>0.57999999999999996</v>
      </c>
      <c r="C16" s="22">
        <v>0.71</v>
      </c>
      <c r="D16" s="13">
        <v>18276</v>
      </c>
      <c r="E16" s="13">
        <v>26653</v>
      </c>
      <c r="F16" s="22">
        <v>0.46</v>
      </c>
      <c r="G16" s="13">
        <v>31765</v>
      </c>
      <c r="H16" s="13">
        <v>37444</v>
      </c>
    </row>
    <row r="17" spans="1:8" ht="13" x14ac:dyDescent="0.3">
      <c r="A17" s="59" t="s">
        <v>91</v>
      </c>
      <c r="B17" s="22">
        <v>0.48</v>
      </c>
      <c r="C17" s="22">
        <v>0.71</v>
      </c>
      <c r="D17" s="13">
        <v>42164</v>
      </c>
      <c r="E17" s="13">
        <v>80344</v>
      </c>
      <c r="F17" s="22">
        <v>0.91</v>
      </c>
      <c r="G17" s="13">
        <v>87175</v>
      </c>
      <c r="H17" s="13">
        <v>113671</v>
      </c>
    </row>
    <row r="18" spans="1:8" ht="13" x14ac:dyDescent="0.3">
      <c r="A18" s="59" t="s">
        <v>71</v>
      </c>
      <c r="B18" s="22">
        <v>0.52</v>
      </c>
      <c r="C18" s="22">
        <v>0.7</v>
      </c>
      <c r="D18" s="13">
        <v>6743</v>
      </c>
      <c r="E18" s="13">
        <v>13023</v>
      </c>
      <c r="F18" s="22">
        <v>0.93</v>
      </c>
      <c r="G18" s="13">
        <v>13028</v>
      </c>
      <c r="H18" s="13">
        <v>18541</v>
      </c>
    </row>
    <row r="19" spans="1:8" ht="13" x14ac:dyDescent="0.3">
      <c r="A19" s="59" t="s">
        <v>67</v>
      </c>
      <c r="B19" s="22">
        <v>0.48</v>
      </c>
      <c r="C19" s="22">
        <v>0.68</v>
      </c>
      <c r="D19" s="13">
        <v>55775</v>
      </c>
      <c r="E19" s="13">
        <v>79310</v>
      </c>
      <c r="F19" s="22">
        <v>0.42</v>
      </c>
      <c r="G19" s="13">
        <v>115247</v>
      </c>
      <c r="H19" s="13">
        <v>116988</v>
      </c>
    </row>
    <row r="20" spans="1:8" ht="13" x14ac:dyDescent="0.3">
      <c r="A20" s="59" t="s">
        <v>69</v>
      </c>
      <c r="B20" s="22">
        <v>0.39</v>
      </c>
      <c r="C20" s="22">
        <v>0.66</v>
      </c>
      <c r="D20" s="13">
        <v>4860</v>
      </c>
      <c r="E20" s="13">
        <v>29378</v>
      </c>
      <c r="F20" s="22">
        <v>5.04</v>
      </c>
      <c r="G20" s="13">
        <v>12400</v>
      </c>
      <c r="H20" s="13">
        <v>44498</v>
      </c>
    </row>
    <row r="21" spans="1:8" ht="13" x14ac:dyDescent="0.3">
      <c r="A21" s="59" t="s">
        <v>63</v>
      </c>
      <c r="B21" s="22">
        <v>0.43</v>
      </c>
      <c r="C21" s="22">
        <v>0.65</v>
      </c>
      <c r="D21" s="13">
        <v>71764</v>
      </c>
      <c r="E21" s="13">
        <v>121706</v>
      </c>
      <c r="F21" s="22">
        <v>0.7</v>
      </c>
      <c r="G21" s="13">
        <v>167433</v>
      </c>
      <c r="H21" s="13">
        <v>188511</v>
      </c>
    </row>
    <row r="22" spans="1:8" ht="13" x14ac:dyDescent="0.3">
      <c r="A22" s="59" t="s">
        <v>97</v>
      </c>
      <c r="B22" s="22">
        <v>0.49</v>
      </c>
      <c r="C22" s="22">
        <v>0.64</v>
      </c>
      <c r="D22" s="13">
        <v>10335</v>
      </c>
      <c r="E22" s="13">
        <v>19877</v>
      </c>
      <c r="F22" s="22">
        <v>0.92</v>
      </c>
      <c r="G22" s="13">
        <v>21165</v>
      </c>
      <c r="H22" s="13">
        <v>31249</v>
      </c>
    </row>
    <row r="23" spans="1:8" ht="13" x14ac:dyDescent="0.3">
      <c r="A23" s="59" t="s">
        <v>77</v>
      </c>
      <c r="B23" s="22">
        <v>0.45</v>
      </c>
      <c r="C23" s="22">
        <v>0.63</v>
      </c>
      <c r="D23" s="13">
        <v>47209</v>
      </c>
      <c r="E23" s="13">
        <v>89135</v>
      </c>
      <c r="F23" s="22">
        <v>0.89</v>
      </c>
      <c r="G23" s="13">
        <v>105985</v>
      </c>
      <c r="H23" s="13">
        <v>142197</v>
      </c>
    </row>
    <row r="24" spans="1:8" ht="13" x14ac:dyDescent="0.3">
      <c r="A24" s="59" t="s">
        <v>55</v>
      </c>
      <c r="B24" s="22">
        <v>0.53</v>
      </c>
      <c r="C24" s="22">
        <v>0.56999999999999995</v>
      </c>
      <c r="D24" s="13">
        <v>38297</v>
      </c>
      <c r="E24" s="13">
        <v>51244</v>
      </c>
      <c r="F24" s="22">
        <v>0.34</v>
      </c>
      <c r="G24" s="13">
        <v>71664</v>
      </c>
      <c r="H24" s="13">
        <v>89452</v>
      </c>
    </row>
    <row r="25" spans="1:8" ht="13" x14ac:dyDescent="0.3">
      <c r="A25" s="59" t="s">
        <v>95</v>
      </c>
      <c r="B25" s="22">
        <v>0.47</v>
      </c>
      <c r="C25" s="22">
        <v>0.56999999999999995</v>
      </c>
      <c r="D25" s="13">
        <v>280545</v>
      </c>
      <c r="E25" s="13">
        <v>362801</v>
      </c>
      <c r="F25" s="22">
        <v>0.28999999999999998</v>
      </c>
      <c r="G25" s="13">
        <v>593118</v>
      </c>
      <c r="H25" s="13">
        <v>636970</v>
      </c>
    </row>
    <row r="26" spans="1:8" ht="13" x14ac:dyDescent="0.3">
      <c r="A26" s="59" t="s">
        <v>75</v>
      </c>
      <c r="B26" s="22">
        <v>0.41</v>
      </c>
      <c r="C26" s="22">
        <v>0.56000000000000005</v>
      </c>
      <c r="D26" s="13">
        <v>8079</v>
      </c>
      <c r="E26" s="13">
        <v>13944</v>
      </c>
      <c r="F26" s="22">
        <v>0.73</v>
      </c>
      <c r="G26" s="13">
        <v>19716</v>
      </c>
      <c r="H26" s="13">
        <v>24750</v>
      </c>
    </row>
    <row r="27" spans="1:8" ht="13" x14ac:dyDescent="0.3">
      <c r="A27" s="59" t="s">
        <v>51</v>
      </c>
      <c r="B27" s="22">
        <v>0.44</v>
      </c>
      <c r="C27" s="22">
        <v>0.56000000000000005</v>
      </c>
      <c r="D27" s="13">
        <v>39552</v>
      </c>
      <c r="E27" s="13">
        <v>62390</v>
      </c>
      <c r="F27" s="22">
        <v>0.57999999999999996</v>
      </c>
      <c r="G27" s="13">
        <v>89567</v>
      </c>
      <c r="H27" s="13">
        <v>110794</v>
      </c>
    </row>
    <row r="28" spans="1:8" ht="13" x14ac:dyDescent="0.3">
      <c r="A28" s="59" t="s">
        <v>79</v>
      </c>
      <c r="B28" s="22">
        <v>0.41</v>
      </c>
      <c r="C28" s="22">
        <v>0.56000000000000005</v>
      </c>
      <c r="D28" s="13">
        <v>51812</v>
      </c>
      <c r="E28" s="13">
        <v>76126</v>
      </c>
      <c r="F28" s="22">
        <v>0.47</v>
      </c>
      <c r="G28" s="13">
        <v>125104</v>
      </c>
      <c r="H28" s="13">
        <v>135211</v>
      </c>
    </row>
    <row r="29" spans="1:8" ht="13" x14ac:dyDescent="0.3">
      <c r="A29" s="59" t="s">
        <v>57</v>
      </c>
      <c r="B29" s="22">
        <v>0.42</v>
      </c>
      <c r="C29" s="22">
        <v>0.55000000000000004</v>
      </c>
      <c r="D29" s="13">
        <v>40735</v>
      </c>
      <c r="E29" s="13">
        <v>64933</v>
      </c>
      <c r="F29" s="22">
        <v>0.59</v>
      </c>
      <c r="G29" s="13">
        <v>97519</v>
      </c>
      <c r="H29" s="13">
        <v>119126</v>
      </c>
    </row>
    <row r="30" spans="1:8" ht="13" x14ac:dyDescent="0.3">
      <c r="A30" s="59" t="s">
        <v>81</v>
      </c>
      <c r="B30" s="22">
        <v>0.36</v>
      </c>
      <c r="C30" s="22">
        <v>0.53</v>
      </c>
      <c r="D30" s="13">
        <v>29770</v>
      </c>
      <c r="E30" s="13">
        <v>53079</v>
      </c>
      <c r="F30" s="22">
        <v>0.78</v>
      </c>
      <c r="G30" s="13">
        <v>81820</v>
      </c>
      <c r="H30" s="13">
        <v>100322</v>
      </c>
    </row>
    <row r="31" spans="1:8" ht="13" x14ac:dyDescent="0.3">
      <c r="A31" s="59" t="s">
        <v>89</v>
      </c>
      <c r="B31" s="22">
        <v>0.39</v>
      </c>
      <c r="C31" s="22">
        <v>0.5</v>
      </c>
      <c r="D31" s="13">
        <v>7873</v>
      </c>
      <c r="E31" s="13">
        <v>12924</v>
      </c>
      <c r="F31" s="22">
        <v>0.64</v>
      </c>
      <c r="G31" s="13">
        <v>20404</v>
      </c>
      <c r="H31" s="13">
        <v>25732</v>
      </c>
    </row>
    <row r="32" spans="1:8" ht="13" x14ac:dyDescent="0.3">
      <c r="A32" s="59" t="s">
        <v>59</v>
      </c>
      <c r="B32" s="22">
        <v>0.24</v>
      </c>
      <c r="C32" s="22">
        <v>0.37</v>
      </c>
      <c r="D32" s="13">
        <v>120533</v>
      </c>
      <c r="E32" s="13">
        <v>382506</v>
      </c>
      <c r="F32" s="22">
        <v>2.17</v>
      </c>
      <c r="G32" s="13">
        <v>504837</v>
      </c>
      <c r="H32" s="13">
        <v>1040691</v>
      </c>
    </row>
    <row r="33" spans="1:8" ht="13" x14ac:dyDescent="0.3">
      <c r="A33" s="59" t="s">
        <v>73</v>
      </c>
      <c r="B33" s="22">
        <v>0.26</v>
      </c>
      <c r="C33" s="22">
        <v>0.33</v>
      </c>
      <c r="D33" s="13">
        <v>38739</v>
      </c>
      <c r="E33" s="13">
        <v>82954</v>
      </c>
      <c r="F33" s="22">
        <v>1.1399999999999999</v>
      </c>
      <c r="G33" s="13">
        <v>147767</v>
      </c>
      <c r="H33" s="13">
        <v>251920</v>
      </c>
    </row>
  </sheetData>
  <mergeCells count="3">
    <mergeCell ref="B6:C6"/>
    <mergeCell ref="D6:E6"/>
    <mergeCell ref="G6:H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846483-F89D-486C-BA03-B8758ACA8003}">
  <dimension ref="A1:C31"/>
  <sheetViews>
    <sheetView workbookViewId="0">
      <selection activeCell="H23" sqref="H23"/>
    </sheetView>
  </sheetViews>
  <sheetFormatPr defaultRowHeight="12.5" x14ac:dyDescent="0.25"/>
  <cols>
    <col min="2" max="2" width="1.7265625" customWidth="1"/>
    <col min="3" max="3" width="17.26953125" bestFit="1" customWidth="1"/>
  </cols>
  <sheetData>
    <row r="1" spans="1:3" ht="18.5" x14ac:dyDescent="0.45">
      <c r="A1" s="1" t="s">
        <v>47</v>
      </c>
    </row>
    <row r="2" spans="1:3" x14ac:dyDescent="0.25">
      <c r="A2" s="52" t="s">
        <v>48</v>
      </c>
    </row>
    <row r="3" spans="1:3" x14ac:dyDescent="0.25">
      <c r="A3" s="52"/>
    </row>
    <row r="4" spans="1:3" ht="13" thickBot="1" x14ac:dyDescent="0.3"/>
    <row r="5" spans="1:3" ht="13" x14ac:dyDescent="0.3">
      <c r="A5" s="76" t="s">
        <v>49</v>
      </c>
      <c r="B5" s="69"/>
      <c r="C5" s="75" t="s">
        <v>50</v>
      </c>
    </row>
    <row r="6" spans="1:3" x14ac:dyDescent="0.25">
      <c r="A6" s="71" t="s">
        <v>51</v>
      </c>
      <c r="B6" s="72"/>
      <c r="C6" s="71" t="s">
        <v>52</v>
      </c>
    </row>
    <row r="7" spans="1:3" x14ac:dyDescent="0.25">
      <c r="A7" s="71" t="s">
        <v>53</v>
      </c>
      <c r="B7" s="72"/>
      <c r="C7" s="71" t="s">
        <v>54</v>
      </c>
    </row>
    <row r="8" spans="1:3" x14ac:dyDescent="0.25">
      <c r="A8" s="71" t="s">
        <v>55</v>
      </c>
      <c r="B8" s="72"/>
      <c r="C8" s="71" t="s">
        <v>56</v>
      </c>
    </row>
    <row r="9" spans="1:3" x14ac:dyDescent="0.25">
      <c r="A9" s="71" t="s">
        <v>57</v>
      </c>
      <c r="B9" s="72"/>
      <c r="C9" s="71" t="s">
        <v>58</v>
      </c>
    </row>
    <row r="10" spans="1:3" x14ac:dyDescent="0.25">
      <c r="A10" s="71" t="s">
        <v>59</v>
      </c>
      <c r="B10" s="72"/>
      <c r="C10" s="71" t="s">
        <v>60</v>
      </c>
    </row>
    <row r="11" spans="1:3" x14ac:dyDescent="0.25">
      <c r="A11" s="71" t="s">
        <v>61</v>
      </c>
      <c r="B11" s="72"/>
      <c r="C11" s="71" t="s">
        <v>62</v>
      </c>
    </row>
    <row r="12" spans="1:3" x14ac:dyDescent="0.25">
      <c r="A12" s="71" t="s">
        <v>63</v>
      </c>
      <c r="B12" s="72"/>
      <c r="C12" s="71" t="s">
        <v>64</v>
      </c>
    </row>
    <row r="13" spans="1:3" x14ac:dyDescent="0.25">
      <c r="A13" s="71" t="s">
        <v>65</v>
      </c>
      <c r="B13" s="72"/>
      <c r="C13" s="71" t="s">
        <v>66</v>
      </c>
    </row>
    <row r="14" spans="1:3" x14ac:dyDescent="0.25">
      <c r="A14" s="71" t="s">
        <v>67</v>
      </c>
      <c r="B14" s="72"/>
      <c r="C14" s="71" t="s">
        <v>68</v>
      </c>
    </row>
    <row r="15" spans="1:3" x14ac:dyDescent="0.25">
      <c r="A15" s="71" t="s">
        <v>69</v>
      </c>
      <c r="B15" s="72"/>
      <c r="C15" s="71" t="s">
        <v>70</v>
      </c>
    </row>
    <row r="16" spans="1:3" x14ac:dyDescent="0.25">
      <c r="A16" s="71" t="s">
        <v>71</v>
      </c>
      <c r="B16" s="72"/>
      <c r="C16" s="71" t="s">
        <v>72</v>
      </c>
    </row>
    <row r="17" spans="1:3" x14ac:dyDescent="0.25">
      <c r="A17" s="71" t="s">
        <v>73</v>
      </c>
      <c r="B17" s="72"/>
      <c r="C17" s="71" t="s">
        <v>74</v>
      </c>
    </row>
    <row r="18" spans="1:3" x14ac:dyDescent="0.25">
      <c r="A18" s="71" t="s">
        <v>75</v>
      </c>
      <c r="B18" s="72"/>
      <c r="C18" s="71" t="s">
        <v>76</v>
      </c>
    </row>
    <row r="19" spans="1:3" x14ac:dyDescent="0.25">
      <c r="A19" s="71" t="s">
        <v>77</v>
      </c>
      <c r="B19" s="72"/>
      <c r="C19" s="71" t="s">
        <v>78</v>
      </c>
    </row>
    <row r="20" spans="1:3" x14ac:dyDescent="0.25">
      <c r="A20" s="71" t="s">
        <v>79</v>
      </c>
      <c r="B20" s="72"/>
      <c r="C20" s="71" t="s">
        <v>80</v>
      </c>
    </row>
    <row r="21" spans="1:3" x14ac:dyDescent="0.25">
      <c r="A21" s="71" t="s">
        <v>81</v>
      </c>
      <c r="B21" s="72"/>
      <c r="C21" s="71" t="s">
        <v>82</v>
      </c>
    </row>
    <row r="22" spans="1:3" x14ac:dyDescent="0.25">
      <c r="A22" s="71" t="s">
        <v>83</v>
      </c>
      <c r="B22" s="72"/>
      <c r="C22" s="71" t="s">
        <v>84</v>
      </c>
    </row>
    <row r="23" spans="1:3" x14ac:dyDescent="0.25">
      <c r="A23" s="71" t="s">
        <v>85</v>
      </c>
      <c r="B23" s="72"/>
      <c r="C23" s="71" t="s">
        <v>86</v>
      </c>
    </row>
    <row r="24" spans="1:3" x14ac:dyDescent="0.25">
      <c r="A24" s="71" t="s">
        <v>87</v>
      </c>
      <c r="B24" s="72"/>
      <c r="C24" s="71" t="s">
        <v>88</v>
      </c>
    </row>
    <row r="25" spans="1:3" x14ac:dyDescent="0.25">
      <c r="A25" s="71" t="s">
        <v>89</v>
      </c>
      <c r="B25" s="72"/>
      <c r="C25" s="71" t="s">
        <v>90</v>
      </c>
    </row>
    <row r="26" spans="1:3" x14ac:dyDescent="0.25">
      <c r="A26" s="71" t="s">
        <v>91</v>
      </c>
      <c r="B26" s="72"/>
      <c r="C26" s="71" t="s">
        <v>92</v>
      </c>
    </row>
    <row r="27" spans="1:3" x14ac:dyDescent="0.25">
      <c r="A27" s="71" t="s">
        <v>93</v>
      </c>
      <c r="B27" s="72"/>
      <c r="C27" s="71" t="s">
        <v>94</v>
      </c>
    </row>
    <row r="28" spans="1:3" x14ac:dyDescent="0.25">
      <c r="A28" s="71" t="s">
        <v>95</v>
      </c>
      <c r="B28" s="72"/>
      <c r="C28" s="71" t="s">
        <v>96</v>
      </c>
    </row>
    <row r="29" spans="1:3" x14ac:dyDescent="0.25">
      <c r="A29" s="71" t="s">
        <v>97</v>
      </c>
      <c r="B29" s="72"/>
      <c r="C29" s="71" t="s">
        <v>98</v>
      </c>
    </row>
    <row r="30" spans="1:3" x14ac:dyDescent="0.25">
      <c r="A30" s="71" t="s">
        <v>99</v>
      </c>
      <c r="B30" s="72"/>
      <c r="C30" s="71" t="s">
        <v>100</v>
      </c>
    </row>
    <row r="31" spans="1:3" ht="13" thickBot="1" x14ac:dyDescent="0.3">
      <c r="A31" s="73" t="s">
        <v>101</v>
      </c>
      <c r="B31" s="70"/>
      <c r="C31" s="74" t="s">
        <v>102</v>
      </c>
    </row>
  </sheetData>
  <sortState xmlns:xlrd2="http://schemas.microsoft.com/office/spreadsheetml/2017/richdata2" ref="A6:A31">
    <sortCondition ref="A6:A31"/>
  </sortState>
  <hyperlinks>
    <hyperlink ref="A2" location="Overzicht!A1" display="Terug naar tabblad Overzicht" xr:uid="{CFCC0AEF-4E5E-4D27-AEF6-6AD8B89F8C17}"/>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320697-86CC-475D-84AF-92C9359A6219}">
  <sheetPr>
    <tabColor theme="7" tint="0.59999389629810485"/>
  </sheetPr>
  <dimension ref="A1:Y87"/>
  <sheetViews>
    <sheetView zoomScaleNormal="100" workbookViewId="0"/>
  </sheetViews>
  <sheetFormatPr defaultColWidth="9.1796875" defaultRowHeight="12.5" x14ac:dyDescent="0.25"/>
  <cols>
    <col min="2" max="2" width="13.54296875" customWidth="1"/>
    <col min="3" max="3" width="12.7265625" bestFit="1" customWidth="1"/>
    <col min="4" max="4" width="13.81640625" bestFit="1" customWidth="1"/>
    <col min="5" max="8" width="13.453125" bestFit="1" customWidth="1"/>
    <col min="9" max="9" width="14.453125" customWidth="1"/>
    <col min="10" max="10" width="13.81640625" bestFit="1" customWidth="1"/>
    <col min="11" max="11" width="14.26953125" bestFit="1" customWidth="1"/>
    <col min="12" max="12" width="13.453125" bestFit="1" customWidth="1"/>
    <col min="13" max="13" width="14.26953125" bestFit="1" customWidth="1"/>
    <col min="14" max="14" width="13.453125" bestFit="1" customWidth="1"/>
    <col min="15" max="15" width="23.26953125" bestFit="1" customWidth="1"/>
    <col min="16" max="19" width="12.26953125" bestFit="1" customWidth="1"/>
    <col min="20" max="21" width="13.453125" bestFit="1" customWidth="1"/>
    <col min="22" max="22" width="12.26953125" bestFit="1" customWidth="1"/>
    <col min="23" max="23" width="11.26953125" bestFit="1" customWidth="1"/>
    <col min="25" max="25" width="11.26953125" bestFit="1" customWidth="1"/>
  </cols>
  <sheetData>
    <row r="1" spans="1:25" ht="18.5" x14ac:dyDescent="0.45">
      <c r="A1" s="1" t="s">
        <v>14</v>
      </c>
    </row>
    <row r="2" spans="1:25" x14ac:dyDescent="0.25">
      <c r="A2" s="52" t="s">
        <v>48</v>
      </c>
      <c r="X2" t="s">
        <v>74</v>
      </c>
      <c r="Y2" t="s">
        <v>70</v>
      </c>
    </row>
    <row r="4" spans="1:25" x14ac:dyDescent="0.25">
      <c r="A4" s="11"/>
    </row>
    <row r="5" spans="1:25" ht="13" x14ac:dyDescent="0.3">
      <c r="A5" s="4"/>
      <c r="B5" s="4">
        <v>2010</v>
      </c>
      <c r="C5" s="4">
        <v>2011</v>
      </c>
      <c r="D5" s="4">
        <v>2012</v>
      </c>
      <c r="E5" s="4">
        <v>2013</v>
      </c>
      <c r="F5" s="4">
        <v>2014</v>
      </c>
      <c r="G5" s="4">
        <v>2015</v>
      </c>
      <c r="H5" s="4">
        <v>2016</v>
      </c>
      <c r="I5" s="4">
        <v>2017</v>
      </c>
      <c r="J5" s="4">
        <v>2018</v>
      </c>
      <c r="K5" s="4">
        <v>2019</v>
      </c>
      <c r="L5" s="4">
        <v>2020</v>
      </c>
      <c r="M5" s="4">
        <v>2021</v>
      </c>
      <c r="N5" s="4">
        <v>2022</v>
      </c>
    </row>
    <row r="6" spans="1:25" x14ac:dyDescent="0.25">
      <c r="A6" t="s">
        <v>95</v>
      </c>
      <c r="B6" s="18">
        <f>408495/1000</f>
        <v>408.495</v>
      </c>
      <c r="C6" s="18">
        <f>427125/1000</f>
        <v>427.125</v>
      </c>
      <c r="D6" s="18">
        <f>434424/1000</f>
        <v>434.42399999999998</v>
      </c>
      <c r="E6" s="18">
        <f>455089/1000</f>
        <v>455.089</v>
      </c>
      <c r="F6" s="18">
        <f>476971/1000</f>
        <v>476.971</v>
      </c>
      <c r="G6" s="18">
        <f>507372/1000</f>
        <v>507.37200000000001</v>
      </c>
      <c r="H6" s="18">
        <f>533451/1000</f>
        <v>533.45100000000002</v>
      </c>
      <c r="I6" s="18">
        <f>565529/1000</f>
        <v>565.529</v>
      </c>
      <c r="J6" s="18">
        <f>617722/1000</f>
        <v>617.72199999999998</v>
      </c>
      <c r="K6" s="18">
        <f>677286/1000</f>
        <v>677.28599999999994</v>
      </c>
      <c r="L6" s="18">
        <f>730241/1000</f>
        <v>730.24099999999999</v>
      </c>
      <c r="M6" s="18">
        <f>821811/1000</f>
        <v>821.81100000000004</v>
      </c>
      <c r="N6" s="18">
        <f>923243/1000</f>
        <v>923.24300000000005</v>
      </c>
      <c r="P6" s="9"/>
      <c r="Q6" s="9"/>
    </row>
    <row r="7" spans="1:25" x14ac:dyDescent="0.25">
      <c r="A7" t="s">
        <v>59</v>
      </c>
      <c r="B7" s="18">
        <f>184078.512143122/1000</f>
        <v>184.078512143122</v>
      </c>
      <c r="C7" s="18">
        <f>212161.569757091/1000</f>
        <v>212.161569757091</v>
      </c>
      <c r="D7" s="18">
        <f>246477.199457569/1000</f>
        <v>246.47719945756899</v>
      </c>
      <c r="E7" s="18">
        <f>289202.520931892/1000</f>
        <v>289.20252093189197</v>
      </c>
      <c r="F7" s="18">
        <f>323355.527782115/1000</f>
        <v>323.35552778211496</v>
      </c>
      <c r="G7" s="18">
        <f>346266.282725713/1000</f>
        <v>346.26628272571298</v>
      </c>
      <c r="H7" s="18">
        <f>366080.932147093/1000</f>
        <v>366.08093214709299</v>
      </c>
      <c r="I7" s="18">
        <f>393015.494463737/1000</f>
        <v>393.01549446373701</v>
      </c>
      <c r="J7" s="18">
        <f>420815.584137685/1000</f>
        <v>420.81558413768499</v>
      </c>
      <c r="K7" s="18">
        <f>465355.872758263/1000</f>
        <v>465.35587275826305</v>
      </c>
      <c r="L7" s="18">
        <f>526287.489435469/1000</f>
        <v>526.28748943546907</v>
      </c>
      <c r="M7" s="18">
        <f>584439.226616717/1000</f>
        <v>584.43922661671695</v>
      </c>
      <c r="N7" s="18">
        <f>669429.088822552/1000</f>
        <v>669.42908882255199</v>
      </c>
      <c r="P7" s="9"/>
      <c r="Q7" s="9"/>
    </row>
    <row r="8" spans="1:25" x14ac:dyDescent="0.25">
      <c r="A8" t="s">
        <v>79</v>
      </c>
      <c r="B8" s="18">
        <f>140511.507240036/1000</f>
        <v>140.511507240036</v>
      </c>
      <c r="C8" s="18">
        <f>148389.229420122/1000</f>
        <v>148.38922942012198</v>
      </c>
      <c r="D8" s="18">
        <f>152325.567587805/1000</f>
        <v>152.32556758780501</v>
      </c>
      <c r="E8" s="18">
        <f>164655.764309366/1000</f>
        <v>164.65576430936599</v>
      </c>
      <c r="F8" s="18">
        <f>169554.148525839/1000</f>
        <v>169.554148525839</v>
      </c>
      <c r="G8" s="18">
        <f>168514.031992379/1000</f>
        <v>168.51403199237899</v>
      </c>
      <c r="H8" s="18">
        <f>160269.312871991/1000</f>
        <v>160.26931287199099</v>
      </c>
      <c r="I8" s="18">
        <f>166621.734241155/1000</f>
        <v>166.621734241155</v>
      </c>
      <c r="J8" s="18">
        <f>172035.79673591/1000</f>
        <v>172.03579673591</v>
      </c>
      <c r="K8" s="18">
        <f>173928.426546866/1000</f>
        <v>173.92842654686598</v>
      </c>
      <c r="L8" s="18">
        <f>174926.442357792/1000</f>
        <v>174.92644235779198</v>
      </c>
      <c r="M8" s="18">
        <f>183467.446064562/1000</f>
        <v>183.46744606456201</v>
      </c>
      <c r="N8" s="18">
        <f>200769.848877606/1000</f>
        <v>200.76984887760602</v>
      </c>
      <c r="P8" s="9"/>
      <c r="Q8" s="9"/>
    </row>
    <row r="9" spans="1:25" x14ac:dyDescent="0.25">
      <c r="A9" t="s">
        <v>63</v>
      </c>
      <c r="B9" s="18">
        <f>86954.7778334928/1000</f>
        <v>86.954777833492798</v>
      </c>
      <c r="C9" s="18">
        <f>95809.965740943/1000</f>
        <v>95.809965740942999</v>
      </c>
      <c r="D9" s="18">
        <f>100490.08504661/1000</f>
        <v>100.49008504660999</v>
      </c>
      <c r="E9" s="18">
        <f>102905.454647198/1000</f>
        <v>102.905454647198</v>
      </c>
      <c r="F9" s="18">
        <f>109562.683366854/1000</f>
        <v>109.562683366854</v>
      </c>
      <c r="G9" s="18">
        <f>114097.563573046/1000</f>
        <v>114.097563573046</v>
      </c>
      <c r="H9" s="18">
        <f>122472.205495718/1000</f>
        <v>122.47220549571799</v>
      </c>
      <c r="I9" s="18">
        <f>133668.003120019/1000</f>
        <v>133.66800312001902</v>
      </c>
      <c r="J9" s="18">
        <f>142320.185143838/1000</f>
        <v>142.32018514383799</v>
      </c>
      <c r="K9" s="18">
        <f>153293.156358041/1000</f>
        <v>153.29315635804099</v>
      </c>
      <c r="L9" s="18">
        <f>150788.820358788/1000</f>
        <v>150.788820358788</v>
      </c>
      <c r="M9" s="18">
        <f>161232.496315976/1000</f>
        <v>161.23249631597599</v>
      </c>
      <c r="N9" s="18">
        <f>174857.347628424/1000</f>
        <v>174.85734762842401</v>
      </c>
      <c r="P9" s="9"/>
      <c r="Q9" s="9"/>
    </row>
    <row r="10" spans="1:25" x14ac:dyDescent="0.25">
      <c r="A10" t="s">
        <v>81</v>
      </c>
      <c r="B10" s="18">
        <f>52146.5719139236/1000</f>
        <v>52.146571913923601</v>
      </c>
      <c r="C10" s="18">
        <f>58379.6541633494/1000</f>
        <v>58.3796541633494</v>
      </c>
      <c r="D10" s="18">
        <f>64862.488554488/1000</f>
        <v>64.862488554487996</v>
      </c>
      <c r="E10" s="18">
        <f>68234.054772454/1000</f>
        <v>68.234054772453987</v>
      </c>
      <c r="F10" s="18">
        <f>73099.813310807/1000</f>
        <v>73.099813310807008</v>
      </c>
      <c r="G10" s="18">
        <f>76922.04037023/1000</f>
        <v>76.922040370229993</v>
      </c>
      <c r="H10" s="18">
        <f>80815.9606962197/1000</f>
        <v>80.815960696219705</v>
      </c>
      <c r="I10" s="18">
        <f>90289.8816859189/1000</f>
        <v>90.2898816859189</v>
      </c>
      <c r="J10" s="18">
        <f>100282.586373949/1000</f>
        <v>100.282586373949</v>
      </c>
      <c r="K10" s="18">
        <f>105064.368085325/1000</f>
        <v>105.064368085325</v>
      </c>
      <c r="L10" s="18">
        <f>112221.207990676/1000</f>
        <v>112.22120799067601</v>
      </c>
      <c r="M10" s="18">
        <f>123459.938780724/1000</f>
        <v>123.459938780724</v>
      </c>
      <c r="N10" s="18">
        <f>138995.206476618/1000</f>
        <v>138.99520647661802</v>
      </c>
      <c r="P10" s="9"/>
      <c r="Q10" s="9"/>
    </row>
    <row r="11" spans="1:25" x14ac:dyDescent="0.25">
      <c r="A11" t="s">
        <v>93</v>
      </c>
      <c r="B11" s="18">
        <f>37533.2181509743/1000</f>
        <v>37.533218150974299</v>
      </c>
      <c r="C11" s="18">
        <f>38778.5866235765/1000</f>
        <v>38.778586623576501</v>
      </c>
      <c r="D11" s="18">
        <f>38490.1618178652/1000</f>
        <v>38.4901618178652</v>
      </c>
      <c r="E11" s="18">
        <f>41532.087885621/1000</f>
        <v>41.532087885620996</v>
      </c>
      <c r="F11" s="18">
        <f>60396.7243117392/1000</f>
        <v>60.396724311739199</v>
      </c>
      <c r="G11" s="18">
        <f>62972.8145001246/1000</f>
        <v>62.972814500124599</v>
      </c>
      <c r="H11" s="18">
        <f>67116.2783268406/1000</f>
        <v>67.1162783268406</v>
      </c>
      <c r="I11" s="18">
        <f>70754.8989835955/1000</f>
        <v>70.754898983595496</v>
      </c>
      <c r="J11" s="18">
        <f>84852.3101852744/1000</f>
        <v>84.852310185274405</v>
      </c>
      <c r="K11" s="18">
        <f>89094.7547368654/1000</f>
        <v>89.094754736865411</v>
      </c>
      <c r="L11" s="18">
        <f>94639.0124077273/1000</f>
        <v>94.639012407727307</v>
      </c>
      <c r="M11" s="18">
        <f>102609.125152051/1000</f>
        <v>102.60912515205099</v>
      </c>
      <c r="N11" s="18"/>
      <c r="O11">
        <v>2021</v>
      </c>
      <c r="P11" s="9"/>
      <c r="Q11" s="9"/>
    </row>
    <row r="12" spans="1:25" x14ac:dyDescent="0.25">
      <c r="A12" t="s">
        <v>67</v>
      </c>
      <c r="B12" s="18">
        <f>50853.852282309/1000</f>
        <v>50.853852282308999</v>
      </c>
      <c r="C12" s="18">
        <f>53617.2914699277/1000</f>
        <v>53.6172914699277</v>
      </c>
      <c r="D12" s="18">
        <f>55097.7262196232/1000</f>
        <v>55.097726219623198</v>
      </c>
      <c r="E12" s="18">
        <f>58353.3263369787/1000</f>
        <v>58.353326336978704</v>
      </c>
      <c r="F12" s="18">
        <f>60585.6499066721/1000</f>
        <v>60.585649906672103</v>
      </c>
      <c r="G12" s="18">
        <f>60541.3444401665/1000</f>
        <v>60.541344440166498</v>
      </c>
      <c r="H12" s="18">
        <f>63651.4221652348/1000</f>
        <v>63.651422165234798</v>
      </c>
      <c r="I12" s="18">
        <f>65592.8291209631/1000</f>
        <v>65.592829120963103</v>
      </c>
      <c r="J12" s="18">
        <f>68653.9724417444/1000</f>
        <v>68.653972441744401</v>
      </c>
      <c r="K12" s="18">
        <f>75681.6819291179/1000</f>
        <v>75.6816819291179</v>
      </c>
      <c r="L12" s="18">
        <f>76072.6433412163/1000</f>
        <v>76.072643341216306</v>
      </c>
      <c r="M12" s="18">
        <f>80917.1084629946/1000</f>
        <v>80.917108462994605</v>
      </c>
      <c r="N12" s="18">
        <f>85167.1673617304/1000</f>
        <v>85.167167361730407</v>
      </c>
      <c r="P12" s="9"/>
      <c r="Q12" s="9"/>
    </row>
    <row r="13" spans="1:25" x14ac:dyDescent="0.25">
      <c r="A13" t="s">
        <v>57</v>
      </c>
      <c r="B13" s="18">
        <f>24885.8269996792/1000</f>
        <v>24.8858269996792</v>
      </c>
      <c r="C13" s="18">
        <f>25570.5349289612/1000</f>
        <v>25.570534928961198</v>
      </c>
      <c r="D13" s="18">
        <f>26029.9072635/1000</f>
        <v>26.0299072635</v>
      </c>
      <c r="E13" s="18">
        <f>26517.1462688852/1000</f>
        <v>26.517146268885202</v>
      </c>
      <c r="F13" s="18">
        <f>27804.1082857538/1000</f>
        <v>27.804108285753799</v>
      </c>
      <c r="G13" s="18">
        <f>27010.3066971529/1000</f>
        <v>27.010306697152899</v>
      </c>
      <c r="H13" s="18">
        <f>29014.6489272507/1000</f>
        <v>29.0146489272507</v>
      </c>
      <c r="I13" s="18">
        <f>29788.74308104/1000</f>
        <v>29.78874308104</v>
      </c>
      <c r="J13" s="18">
        <f>32189.9821816538/1000</f>
        <v>32.189982181653797</v>
      </c>
      <c r="K13" s="18">
        <f>33354.401952268/1000</f>
        <v>33.354401952268006</v>
      </c>
      <c r="L13" s="18">
        <f>35739.7047048923/1000</f>
        <v>35.739704704892297</v>
      </c>
      <c r="M13" s="18">
        <f>39767.3322850493/1000</f>
        <v>39.767332285049299</v>
      </c>
      <c r="N13" s="18">
        <f>41351.0104514932/1000</f>
        <v>41.351010451493202</v>
      </c>
      <c r="P13" s="9"/>
      <c r="Q13" s="9"/>
    </row>
    <row r="14" spans="1:25" x14ac:dyDescent="0.25">
      <c r="A14" t="s">
        <v>77</v>
      </c>
      <c r="B14" s="18">
        <f>25379.3581266264/1000</f>
        <v>25.3793581266264</v>
      </c>
      <c r="C14" s="18">
        <f>26111.6902937421/1000</f>
        <v>26.1116902937421</v>
      </c>
      <c r="D14" s="18">
        <f>27419.6116133081/1000</f>
        <v>27.419611613308103</v>
      </c>
      <c r="E14" s="18">
        <f>28459.4047920513/1000</f>
        <v>28.459404792051302</v>
      </c>
      <c r="F14" s="18">
        <f>29448.3378442964/1000</f>
        <v>29.448337844296397</v>
      </c>
      <c r="G14" s="18">
        <f>29994.846699333/1000</f>
        <v>29.994846699332999</v>
      </c>
      <c r="H14" s="18">
        <f>33076.6082390783/1000</f>
        <v>33.076608239078297</v>
      </c>
      <c r="I14" s="18">
        <f>34488.8025695287/1000</f>
        <v>34.488802569528701</v>
      </c>
      <c r="J14" s="18">
        <f>37039.858559953/1000</f>
        <v>37.039858559952997</v>
      </c>
      <c r="K14" s="18">
        <f>40568.1164392397/1000</f>
        <v>40.568116439239695</v>
      </c>
      <c r="L14" s="18">
        <f>39583.3833168317/1000</f>
        <v>39.5833833168317</v>
      </c>
      <c r="M14" s="18">
        <f>42096.0528099502/1000</f>
        <v>42.096052809950194</v>
      </c>
      <c r="N14" s="18">
        <f>43506.6311846846/1000</f>
        <v>43.506631184684601</v>
      </c>
      <c r="P14" s="9"/>
      <c r="Q14" s="9"/>
    </row>
    <row r="15" spans="1:25" x14ac:dyDescent="0.25">
      <c r="A15" t="s">
        <v>91</v>
      </c>
      <c r="B15" s="18">
        <f>20065.2690962247/1000</f>
        <v>20.0652690962247</v>
      </c>
      <c r="C15" s="18">
        <f>19862.3693818155/1000</f>
        <v>19.862369381815501</v>
      </c>
      <c r="D15" s="18">
        <f>19269.1642087149/1000</f>
        <v>19.269164208714901</v>
      </c>
      <c r="E15" s="18">
        <f>19282.4478104898/1000</f>
        <v>19.282447810489799</v>
      </c>
      <c r="F15" s="18">
        <f>19356.217195063/1000</f>
        <v>19.356217195063</v>
      </c>
      <c r="G15" s="18">
        <f>19815.2653142399/1000</f>
        <v>19.815265314239898</v>
      </c>
      <c r="H15" s="18">
        <f>20633.495716403/1000</f>
        <v>20.633495716402997</v>
      </c>
      <c r="I15" s="18">
        <f>22293.2281750545/1000</f>
        <v>22.293228175054502</v>
      </c>
      <c r="J15" s="18">
        <f>23656.3052803999/1000</f>
        <v>23.656305280399902</v>
      </c>
      <c r="K15" s="18">
        <f>25775.8833456219/1000</f>
        <v>25.775883345621899</v>
      </c>
      <c r="L15" s="18">
        <f>26008.0132687975/1000</f>
        <v>26.008013268797498</v>
      </c>
      <c r="M15" s="18">
        <f>29188.4074358925/1000</f>
        <v>29.188407435892501</v>
      </c>
      <c r="N15" s="18">
        <f>33387.020861821/1000</f>
        <v>33.387020861821</v>
      </c>
      <c r="P15" s="9"/>
      <c r="Q15" s="9"/>
    </row>
    <row r="16" spans="1:25" x14ac:dyDescent="0.25">
      <c r="A16" t="s">
        <v>75</v>
      </c>
      <c r="B16" s="18">
        <f>8627.78962558438/1000</f>
        <v>8.6277896255843807</v>
      </c>
      <c r="C16" s="18">
        <f>9523.0301590467/1000</f>
        <v>9.5230301590467015</v>
      </c>
      <c r="D16" s="18">
        <f>10433.4159809462/1000</f>
        <v>10.433415980946199</v>
      </c>
      <c r="E16" s="18">
        <f>11526.5917227762/1000</f>
        <v>11.5265917227762</v>
      </c>
      <c r="F16" s="18">
        <f>12002.6397053715/1000</f>
        <v>12.0026397053715</v>
      </c>
      <c r="G16" s="18">
        <f>12918.7092226113/1000</f>
        <v>12.9187092226113</v>
      </c>
      <c r="H16" s="18">
        <f>14981.8494240248/1000</f>
        <v>14.9818494240248</v>
      </c>
      <c r="I16" s="18">
        <f>16303.0156703767/1000</f>
        <v>16.303015670376702</v>
      </c>
      <c r="J16" s="18">
        <f>17563.0768375767/1000</f>
        <v>17.563076837576702</v>
      </c>
      <c r="K16" s="18">
        <f>20037.2055302964/1000</f>
        <v>20.037205530296401</v>
      </c>
      <c r="L16" s="18">
        <f>22010.6849273762/1000</f>
        <v>22.0106849273762</v>
      </c>
      <c r="M16" s="18">
        <f>24997.1967370221/1000</f>
        <v>24.997196737022101</v>
      </c>
      <c r="N16" s="18">
        <f>29991.8732716353/1000</f>
        <v>29.991873271635299</v>
      </c>
      <c r="P16" s="9"/>
      <c r="Q16" s="9"/>
    </row>
    <row r="17" spans="1:17" x14ac:dyDescent="0.25">
      <c r="A17" s="27" t="s">
        <v>83</v>
      </c>
      <c r="B17" s="62"/>
      <c r="C17" s="62"/>
      <c r="D17" s="62"/>
      <c r="E17" s="62">
        <f>17840.9013367686/1000</f>
        <v>17.840901336768599</v>
      </c>
      <c r="F17" s="62">
        <f>18045.2937689627/1000</f>
        <v>18.045293768962701</v>
      </c>
      <c r="G17" s="62">
        <f>18281.9743951096/1000</f>
        <v>18.2819743951096</v>
      </c>
      <c r="H17" s="62">
        <f>19152.7382259381/1000</f>
        <v>19.152738225938101</v>
      </c>
      <c r="I17" s="62">
        <f>20559.9933087009/1000</f>
        <v>20.5599933087009</v>
      </c>
      <c r="J17" s="62">
        <f>21311.9708749478/1000</f>
        <v>21.3119708749478</v>
      </c>
      <c r="K17" s="62">
        <f>23145.2223243066/1000</f>
        <v>23.145222324306602</v>
      </c>
      <c r="L17" s="62">
        <f>24730.2835233803/1000</f>
        <v>24.730283523380301</v>
      </c>
      <c r="M17" s="62">
        <f>26927.3060698673/1000</f>
        <v>26.927306069867299</v>
      </c>
      <c r="N17" s="62">
        <f>30297.7969389675/1000</f>
        <v>30.297796938967501</v>
      </c>
      <c r="P17" s="9"/>
      <c r="Q17" s="9"/>
    </row>
    <row r="18" spans="1:17" x14ac:dyDescent="0.25">
      <c r="A18" t="s">
        <v>51</v>
      </c>
      <c r="B18" s="18">
        <f>20560.333868112/1000</f>
        <v>20.560333868112</v>
      </c>
      <c r="C18" s="18">
        <f>20978.1038296501/1000</f>
        <v>20.978103829650099</v>
      </c>
      <c r="D18" s="18"/>
      <c r="E18" s="18">
        <f>23129.6839436887/1000</f>
        <v>23.129683943688697</v>
      </c>
      <c r="F18" s="18"/>
      <c r="G18" s="18">
        <f>21157.0766472118/1000</f>
        <v>21.157076647211802</v>
      </c>
      <c r="H18" s="18"/>
      <c r="I18" s="18">
        <f>22376.1854904697/1000</f>
        <v>22.376185490469698</v>
      </c>
      <c r="J18" s="18"/>
      <c r="K18" s="18">
        <f>24397.4144773878/1000</f>
        <v>24.397414477387798</v>
      </c>
      <c r="L18" s="18"/>
      <c r="M18" s="18">
        <f>27353.3358036064/1000</f>
        <v>27.353335803606399</v>
      </c>
      <c r="N18" s="18"/>
      <c r="O18">
        <v>2021</v>
      </c>
      <c r="P18" s="9"/>
      <c r="Q18" s="9"/>
    </row>
    <row r="19" spans="1:17" x14ac:dyDescent="0.25">
      <c r="A19" t="s">
        <v>101</v>
      </c>
      <c r="B19" s="18"/>
      <c r="C19" s="18"/>
      <c r="D19" s="18">
        <f>13663.9851282309/1000</f>
        <v>13.6639851282309</v>
      </c>
      <c r="E19" s="18"/>
      <c r="F19" s="18"/>
      <c r="G19" s="18">
        <f>16639.8934235238/1000</f>
        <v>16.639893423523802</v>
      </c>
      <c r="H19" s="18"/>
      <c r="I19" s="18">
        <f>17734.4772716506/1000</f>
        <v>17.734477271650601</v>
      </c>
      <c r="J19" s="18"/>
      <c r="K19" s="18">
        <f>20212.5470729737/1000</f>
        <v>20.212547072973699</v>
      </c>
      <c r="L19" s="18"/>
      <c r="M19" s="18">
        <f>23486.3354161862/1000</f>
        <v>23.486335416186201</v>
      </c>
      <c r="N19" s="18"/>
      <c r="O19">
        <v>2021</v>
      </c>
      <c r="P19" s="9"/>
      <c r="Q19" s="9"/>
    </row>
    <row r="20" spans="1:17" x14ac:dyDescent="0.25">
      <c r="A20" t="s">
        <v>53</v>
      </c>
      <c r="B20" s="18">
        <f>8948.66678776379/1000</f>
        <v>8.9486667877637895</v>
      </c>
      <c r="C20" s="18">
        <f>9821.9620976553/1000</f>
        <v>9.8219620976552999</v>
      </c>
      <c r="D20" s="18">
        <f>10714.9814399354/1000</f>
        <v>10.7149814399354</v>
      </c>
      <c r="E20" s="18">
        <f>11358.6444693558/1000</f>
        <v>11.3586444693558</v>
      </c>
      <c r="F20" s="18">
        <f>11935.8672730076/1000</f>
        <v>11.935867273007599</v>
      </c>
      <c r="G20" s="18">
        <f>12647.7756591749/1000</f>
        <v>12.647775659174901</v>
      </c>
      <c r="H20" s="18">
        <f>13895.6716206329/1000</f>
        <v>13.8956716206329</v>
      </c>
      <c r="I20" s="18">
        <f>15300.9994796981/1000</f>
        <v>15.300999479698099</v>
      </c>
      <c r="J20" s="18">
        <f>17168.7716993596/1000</f>
        <v>17.168771699359599</v>
      </c>
      <c r="K20" s="18">
        <f>20534.4345405665/1000</f>
        <v>20.534434540566501</v>
      </c>
      <c r="L20" s="18">
        <f>21810.9017707287/1000</f>
        <v>21.810901770728698</v>
      </c>
      <c r="M20" s="18">
        <f>24417.4671511917/1000</f>
        <v>24.417467151191701</v>
      </c>
      <c r="N20" s="18">
        <f>27169.9873471653/1000</f>
        <v>27.1699873471653</v>
      </c>
      <c r="P20" s="9"/>
      <c r="Q20" s="9"/>
    </row>
    <row r="21" spans="1:17" x14ac:dyDescent="0.25">
      <c r="A21" t="s">
        <v>87</v>
      </c>
      <c r="B21" s="18">
        <f>5770.34192373741/1000</f>
        <v>5.7703419237374103</v>
      </c>
      <c r="C21" s="18">
        <f>6487.48023867761/1000</f>
        <v>6.4874802386776098</v>
      </c>
      <c r="D21" s="18">
        <f>7990.84647142063/1000</f>
        <v>7.99084647142063</v>
      </c>
      <c r="E21" s="18">
        <f>8185.83158667205/1000</f>
        <v>8.1858315866720499</v>
      </c>
      <c r="F21" s="18">
        <f>9149.34932234557/1000</f>
        <v>9.1493493223455697</v>
      </c>
      <c r="G21" s="18">
        <f>10232.0166122894/1000</f>
        <v>10.232016612289401</v>
      </c>
      <c r="H21" s="18">
        <f>10354.6579653253/1000</f>
        <v>10.3546579653253</v>
      </c>
      <c r="I21" s="18">
        <f>11807.1851600694/1000</f>
        <v>11.8071851600694</v>
      </c>
      <c r="J21" s="18">
        <f>14669.0781558157/1000</f>
        <v>14.669078155815699</v>
      </c>
      <c r="K21" s="18">
        <f>17829.7385195929/1000</f>
        <v>17.829738519592897</v>
      </c>
      <c r="L21" s="18">
        <f>19080.4295810114/1000</f>
        <v>19.080429581011401</v>
      </c>
      <c r="M21" s="18">
        <f>21869.0990570193/1000</f>
        <v>21.869099057019298</v>
      </c>
      <c r="N21" s="18">
        <f>25010.7563023764/1000</f>
        <v>25.0107563023764</v>
      </c>
      <c r="P21" s="9"/>
      <c r="Q21" s="9"/>
    </row>
    <row r="22" spans="1:17" x14ac:dyDescent="0.25">
      <c r="A22" t="s">
        <v>99</v>
      </c>
      <c r="B22" s="18">
        <f>12542.0672815398/1000</f>
        <v>12.542067281539799</v>
      </c>
      <c r="C22" s="18">
        <f>13433.790345158/1000</f>
        <v>13.433790345158</v>
      </c>
      <c r="D22" s="18">
        <f>13970.4492896145/1000</f>
        <v>13.9704492896145</v>
      </c>
      <c r="E22" s="18">
        <f>14496.3516343807/1000</f>
        <v>14.4963516343807</v>
      </c>
      <c r="F22" s="18">
        <f>14191.1476079333/1000</f>
        <v>14.191147607933301</v>
      </c>
      <c r="G22" s="18">
        <f>15489.0516780699/1000</f>
        <v>15.489051678069901</v>
      </c>
      <c r="H22" s="18">
        <f>16250.5635231042/1000</f>
        <v>16.250563523104201</v>
      </c>
      <c r="I22" s="18">
        <f>17569.7759964233/1000</f>
        <v>17.569775996423299</v>
      </c>
      <c r="J22" s="18">
        <f>18086.3027042451/1000</f>
        <v>18.086302704245099</v>
      </c>
      <c r="K22" s="18">
        <f>19927.7371485934/1000</f>
        <v>19.927737148593401</v>
      </c>
      <c r="L22" s="18">
        <f>20843.172871277/1000</f>
        <v>20.843172871276998</v>
      </c>
      <c r="M22" s="18">
        <f>22457.721793662/1000</f>
        <v>22.457721793661999</v>
      </c>
      <c r="N22" s="18">
        <f>24335.9599051673/1000</f>
        <v>24.3359599051673</v>
      </c>
      <c r="P22" s="9"/>
      <c r="Q22" s="9"/>
    </row>
    <row r="23" spans="1:17" x14ac:dyDescent="0.25">
      <c r="A23" t="s">
        <v>89</v>
      </c>
      <c r="B23" s="18">
        <f>7383.627211538/1000</f>
        <v>7.3836272115380002</v>
      </c>
      <c r="C23" s="18">
        <f>8587.93654670941/1000</f>
        <v>8.5879365467094111</v>
      </c>
      <c r="D23" s="18">
        <f>8363.26374113906/1000</f>
        <v>8.3632637411390611</v>
      </c>
      <c r="E23" s="18">
        <f>8608.94774031944/1000</f>
        <v>8.6089477403194401</v>
      </c>
      <c r="F23" s="18">
        <f>9615.38562817378/1000</f>
        <v>9.6153856281737813</v>
      </c>
      <c r="G23" s="18">
        <f>10467.9194962536/1000</f>
        <v>10.4679194962536</v>
      </c>
      <c r="H23" s="18">
        <f>10402.3707448854/1000</f>
        <v>10.402370744885401</v>
      </c>
      <c r="I23" s="18">
        <f>10160.6482172404/1000</f>
        <v>10.1606482172404</v>
      </c>
      <c r="J23" s="18">
        <f>10269.2060952967/1000</f>
        <v>10.269206095296701</v>
      </c>
      <c r="K23" s="18">
        <f>11034.4334948979/1000</f>
        <v>11.034433494897899</v>
      </c>
      <c r="L23" s="18">
        <f>12326.5239927996/1000</f>
        <v>12.326523992799601</v>
      </c>
      <c r="M23" s="18"/>
      <c r="N23" s="18"/>
      <c r="O23">
        <v>2020</v>
      </c>
      <c r="P23" s="9"/>
      <c r="Q23" s="9"/>
    </row>
    <row r="24" spans="1:17" x14ac:dyDescent="0.25">
      <c r="A24" t="s">
        <v>61</v>
      </c>
      <c r="B24" s="18">
        <f>6957.9629146189/1000</f>
        <v>6.9579629146188999</v>
      </c>
      <c r="C24" s="18">
        <f>7283.66101614858/1000</f>
        <v>7.2836610161485797</v>
      </c>
      <c r="D24" s="18">
        <f>7468.75736598043/1000</f>
        <v>7.4687573659804301</v>
      </c>
      <c r="E24" s="18">
        <f>7793.59657076345/1000</f>
        <v>7.7935965707634498</v>
      </c>
      <c r="F24" s="18">
        <f>7877.68662063106/1000</f>
        <v>7.8776866206310601</v>
      </c>
      <c r="G24" s="18">
        <f>8515.66911287879/1000</f>
        <v>8.5156691128787898</v>
      </c>
      <c r="H24" s="18">
        <f>9207.95501255248/1000</f>
        <v>9.2079550125524801</v>
      </c>
      <c r="I24" s="18">
        <f>9354.48259028879/1000</f>
        <v>9.3544825902887894</v>
      </c>
      <c r="J24" s="18">
        <f>9877.92323331182/1000</f>
        <v>9.8779232333118205</v>
      </c>
      <c r="K24" s="18">
        <f>10238.7573634862/1000</f>
        <v>10.238757363486201</v>
      </c>
      <c r="L24" s="18">
        <f>10839.0234019271/1000</f>
        <v>10.839023401927099</v>
      </c>
      <c r="M24" s="18">
        <f>11301.4578833816/1000</f>
        <v>11.3014578833816</v>
      </c>
      <c r="N24" s="18">
        <f>13301.0790159858/1000</f>
        <v>13.301079015985801</v>
      </c>
      <c r="P24" s="9"/>
      <c r="Q24" s="9"/>
    </row>
    <row r="25" spans="1:17" x14ac:dyDescent="0.25">
      <c r="A25" t="s">
        <v>65</v>
      </c>
      <c r="B25" s="18">
        <f>7740.45596978196/1000</f>
        <v>7.7404559697819604</v>
      </c>
      <c r="C25" s="18">
        <f>7976.78543396755/1000</f>
        <v>7.9767854339675495</v>
      </c>
      <c r="D25" s="18">
        <f>7520.00219087496/1000</f>
        <v>7.5200021908749601</v>
      </c>
      <c r="E25" s="18">
        <f>7382.83179961642/1000</f>
        <v>7.3828317996164197</v>
      </c>
      <c r="F25" s="18">
        <f>7178.16422746023/1000</f>
        <v>7.17816422746023</v>
      </c>
      <c r="G25" s="18">
        <f>6687.87247386876/1000</f>
        <v>6.6878724738687598</v>
      </c>
      <c r="H25" s="18">
        <f>6727.3648336282/1000</f>
        <v>6.7273648336281999</v>
      </c>
      <c r="I25" s="18">
        <f>7147.74737951669/1000</f>
        <v>7.1477473795166899</v>
      </c>
      <c r="J25" s="18">
        <f>7540.53186095561/1000</f>
        <v>7.5405318609556096</v>
      </c>
      <c r="K25" s="18">
        <f>8126.43495017182/1000</f>
        <v>8.12643495017182</v>
      </c>
      <c r="L25" s="18">
        <f>8643.05610025982/1000</f>
        <v>8.6430561002598214</v>
      </c>
      <c r="M25" s="18">
        <f>9569.45764423353/1000</f>
        <v>9.5694576442335286</v>
      </c>
      <c r="N25" s="18">
        <f>10311.4076019219/1000</f>
        <v>10.3114076019219</v>
      </c>
      <c r="P25" s="9"/>
      <c r="Q25" s="9"/>
    </row>
    <row r="26" spans="1:17" x14ac:dyDescent="0.25">
      <c r="A26" t="s">
        <v>85</v>
      </c>
      <c r="B26" s="18">
        <f>4671.69066528728/1000</f>
        <v>4.6716906652872803</v>
      </c>
      <c r="C26" s="18">
        <f>5002.9420238523/1000</f>
        <v>5.0029420238522997</v>
      </c>
      <c r="D26" s="18">
        <f>5316.26048136437/1000</f>
        <v>5.3162604813643703</v>
      </c>
      <c r="E26" s="18">
        <f>5620.36107937889/1000</f>
        <v>5.6203610793788901</v>
      </c>
      <c r="F26" s="18">
        <f>5805.58773914025/1000</f>
        <v>5.8055877391402504</v>
      </c>
      <c r="G26" s="18">
        <f>6061.82754730519/1000</f>
        <v>6.0618275473051897</v>
      </c>
      <c r="H26" s="18">
        <f>6308.04912906409/1000</f>
        <v>6.3080491290640905</v>
      </c>
      <c r="I26" s="18">
        <f>7095.11846366458/1000</f>
        <v>7.0951184636645799</v>
      </c>
      <c r="J26" s="18">
        <f>7593.60471790333/1000</f>
        <v>7.5936047179033306</v>
      </c>
      <c r="K26" s="18">
        <f>8103.48774449402/1000</f>
        <v>8.1034877444940197</v>
      </c>
      <c r="L26" s="18">
        <f>8102.59459865158/1000</f>
        <v>8.1025945986515797</v>
      </c>
      <c r="M26" s="18">
        <f>9107.31791863346/1000</f>
        <v>9.1073179186334592</v>
      </c>
      <c r="N26" s="18">
        <f>10560.9913885092/1000</f>
        <v>10.560991388509199</v>
      </c>
      <c r="P26" s="9"/>
      <c r="Q26" s="9"/>
    </row>
    <row r="27" spans="1:17" x14ac:dyDescent="0.25">
      <c r="A27" t="s">
        <v>69</v>
      </c>
      <c r="B27" s="18"/>
      <c r="C27" s="18"/>
      <c r="D27" s="18"/>
      <c r="E27" s="18">
        <f>1883.03530994/1000</f>
        <v>1.8830353099399999</v>
      </c>
      <c r="F27" s="18"/>
      <c r="G27" s="18"/>
      <c r="H27" s="18">
        <f>6309.53196009/1000</f>
        <v>6.3095319600900002</v>
      </c>
      <c r="I27" s="18">
        <f>6432.21932177999/1000</f>
        <v>6.4322193217799901</v>
      </c>
      <c r="J27" s="18">
        <f>6431.57235433/1000</f>
        <v>6.4315723543300001</v>
      </c>
      <c r="K27" s="18"/>
      <c r="L27" s="18"/>
      <c r="M27" s="18"/>
      <c r="N27" s="18"/>
      <c r="O27">
        <v>2018</v>
      </c>
      <c r="P27" s="9"/>
      <c r="Q27" s="9"/>
    </row>
    <row r="28" spans="1:17" x14ac:dyDescent="0.25">
      <c r="A28" t="s">
        <v>71</v>
      </c>
      <c r="B28" s="18">
        <f>3141.88955567427/1000</f>
        <v>3.1418895556742701</v>
      </c>
      <c r="C28" s="18">
        <f>3206.08354587342/1000</f>
        <v>3.2060835458734198</v>
      </c>
      <c r="D28" s="18">
        <f>3321.56904304825/1000</f>
        <v>3.3215690430482501</v>
      </c>
      <c r="E28" s="18">
        <f>3467.7544550319/1000</f>
        <v>3.4677544550318999</v>
      </c>
      <c r="F28" s="18">
        <f>3622.77200345921/1000</f>
        <v>3.6227720034592097</v>
      </c>
      <c r="G28" s="18">
        <f>3839.38771751253/1000</f>
        <v>3.8393877175125297</v>
      </c>
      <c r="H28" s="18">
        <f>3997.413066536/1000</f>
        <v>3.9974130665359997</v>
      </c>
      <c r="I28" s="18">
        <f>4692.32132331452/1000</f>
        <v>4.6923213233145198</v>
      </c>
      <c r="J28" s="18">
        <f>4575.43546685851/1000</f>
        <v>4.5754354668585098</v>
      </c>
      <c r="K28" s="18">
        <f>5208.3442491302/1000</f>
        <v>5.2083442491302003</v>
      </c>
      <c r="L28" s="18">
        <f>5543.28079552735/1000</f>
        <v>5.54328079552735</v>
      </c>
      <c r="M28" s="18">
        <f>6379.40326528976/1000</f>
        <v>6.3794032652897608</v>
      </c>
      <c r="N28" s="18">
        <f>6604.99643932072/1000</f>
        <v>6.6049964393207201</v>
      </c>
      <c r="P28" s="9"/>
      <c r="Q28" s="9"/>
    </row>
    <row r="29" spans="1:17" x14ac:dyDescent="0.25">
      <c r="A29" t="s">
        <v>97</v>
      </c>
      <c r="B29" s="18">
        <f>4383.96856680119/1000</f>
        <v>4.3839685668011894</v>
      </c>
      <c r="C29" s="18">
        <f>4649.55397471194/1000</f>
        <v>4.6495539747119405</v>
      </c>
      <c r="D29" s="18">
        <f>4673.4682195416/1000</f>
        <v>4.6734682195415997</v>
      </c>
      <c r="E29" s="18">
        <f>4845.51387058554/1000</f>
        <v>4.8455138705855401</v>
      </c>
      <c r="F29" s="18">
        <f>5266.60973408923/1000</f>
        <v>5.2666097340892302</v>
      </c>
      <c r="G29" s="18">
        <f>5551.11736138191/1000</f>
        <v>5.5511173613819098</v>
      </c>
      <c r="H29" s="18">
        <f>5795.16679985781/1000</f>
        <v>5.7951667998578094</v>
      </c>
      <c r="I29" s="18">
        <f>6025.57821567163/1000</f>
        <v>6.0255782156716293</v>
      </c>
      <c r="J29" s="18">
        <f>5636.14697862744/1000</f>
        <v>5.6361469786274405</v>
      </c>
      <c r="K29" s="18">
        <f>5141.45782208058/1000</f>
        <v>5.1414578220805796</v>
      </c>
      <c r="M29" s="18"/>
      <c r="N29" s="18"/>
      <c r="O29">
        <v>2019</v>
      </c>
      <c r="P29" s="9"/>
      <c r="Q29" s="9"/>
    </row>
    <row r="30" spans="1:17" x14ac:dyDescent="0.25">
      <c r="A30" t="s">
        <v>73</v>
      </c>
      <c r="B30" s="18"/>
      <c r="C30" s="18"/>
      <c r="D30" s="18"/>
      <c r="E30" s="18"/>
      <c r="F30" s="18"/>
      <c r="G30" s="18"/>
      <c r="H30" s="18"/>
      <c r="I30" s="18"/>
      <c r="J30" s="18"/>
      <c r="K30" s="18"/>
      <c r="L30" s="18"/>
      <c r="M30" s="18"/>
      <c r="N30" s="18"/>
      <c r="P30" s="9"/>
    </row>
    <row r="31" spans="1:17" x14ac:dyDescent="0.25">
      <c r="A31" t="s">
        <v>55</v>
      </c>
      <c r="B31" s="18"/>
      <c r="C31" s="18"/>
      <c r="D31" s="18"/>
      <c r="E31" s="18"/>
      <c r="F31" s="18"/>
      <c r="G31" s="18"/>
      <c r="H31" s="18"/>
      <c r="I31" s="18"/>
      <c r="J31" s="18"/>
      <c r="K31" s="18"/>
      <c r="L31" s="18"/>
      <c r="M31" s="18"/>
      <c r="N31" s="18"/>
      <c r="P31" s="9"/>
    </row>
    <row r="32" spans="1:17" x14ac:dyDescent="0.25">
      <c r="N32" s="19"/>
    </row>
    <row r="33" spans="1:14" x14ac:dyDescent="0.25">
      <c r="A33" t="s">
        <v>103</v>
      </c>
      <c r="B33" s="19">
        <f>SUM(B6:B31)</f>
        <v>1121.632688156827</v>
      </c>
      <c r="C33" s="19">
        <f t="shared" ref="C33:N33" si="0">SUM(C6:C31)</f>
        <v>1202.7572209909797</v>
      </c>
      <c r="D33" s="19">
        <f t="shared" si="0"/>
        <v>1258.3229111215794</v>
      </c>
      <c r="E33" s="19">
        <f t="shared" si="0"/>
        <v>1380.3712532742136</v>
      </c>
      <c r="F33" s="19">
        <f t="shared" si="0"/>
        <v>1454.8247141597139</v>
      </c>
      <c r="G33" s="19">
        <f t="shared" si="0"/>
        <v>1561.9967876595767</v>
      </c>
      <c r="H33" s="19">
        <f t="shared" si="0"/>
        <v>1599.9651968914682</v>
      </c>
      <c r="I33" s="19">
        <f t="shared" si="0"/>
        <v>1744.6023633298769</v>
      </c>
      <c r="J33" s="19">
        <f t="shared" si="0"/>
        <v>1840.2922020196359</v>
      </c>
      <c r="K33" s="19">
        <f t="shared" si="0"/>
        <v>2033.339877389586</v>
      </c>
      <c r="L33" s="19">
        <f t="shared" si="0"/>
        <v>2120.4376687451286</v>
      </c>
      <c r="M33" s="19">
        <f t="shared" si="0"/>
        <v>2376.8542326640113</v>
      </c>
      <c r="N33" s="19">
        <f t="shared" si="0"/>
        <v>2488.2911698759776</v>
      </c>
    </row>
    <row r="36" spans="1:14" x14ac:dyDescent="0.25">
      <c r="A36" t="s">
        <v>104</v>
      </c>
    </row>
    <row r="37" spans="1:14" x14ac:dyDescent="0.25">
      <c r="A37" t="s">
        <v>105</v>
      </c>
    </row>
    <row r="44" spans="1:14" ht="13" x14ac:dyDescent="0.3">
      <c r="B44" s="4" t="s">
        <v>283</v>
      </c>
    </row>
    <row r="45" spans="1:14" x14ac:dyDescent="0.25">
      <c r="B45" s="79" t="s">
        <v>106</v>
      </c>
      <c r="C45" s="80" t="s">
        <v>107</v>
      </c>
      <c r="D45" s="79" t="s">
        <v>108</v>
      </c>
      <c r="E45" s="79"/>
      <c r="F45" s="79" t="s">
        <v>109</v>
      </c>
    </row>
    <row r="46" spans="1:14" x14ac:dyDescent="0.25">
      <c r="A46" t="s">
        <v>95</v>
      </c>
      <c r="B46" s="87">
        <f>408495/1000</f>
        <v>408.495</v>
      </c>
      <c r="C46" s="87">
        <f>923243/1000</f>
        <v>923.24300000000005</v>
      </c>
      <c r="D46" s="79">
        <f>C46/B46</f>
        <v>2.2601084468598147</v>
      </c>
      <c r="E46" s="81">
        <f>D46^(1/12)</f>
        <v>1.07031293299207</v>
      </c>
      <c r="F46" s="80">
        <f>E46-1</f>
        <v>7.0312932992069976E-2</v>
      </c>
    </row>
    <row r="47" spans="1:14" x14ac:dyDescent="0.25">
      <c r="A47" t="s">
        <v>59</v>
      </c>
      <c r="B47" s="87">
        <f>184078.512143122/1000</f>
        <v>184.078512143122</v>
      </c>
      <c r="C47" s="87">
        <f>669429.088822552/1000</f>
        <v>669.42908882255199</v>
      </c>
      <c r="D47" s="79">
        <f t="shared" ref="D47:D69" si="1">C47/B47</f>
        <v>3.6366498241906009</v>
      </c>
      <c r="E47" s="81">
        <f t="shared" ref="E47:E68" si="2">D47^(1/12)</f>
        <v>1.1135894906996811</v>
      </c>
      <c r="F47" s="80">
        <f t="shared" ref="F47:F69" si="3">E47-1</f>
        <v>0.11358949069968105</v>
      </c>
    </row>
    <row r="48" spans="1:14" x14ac:dyDescent="0.25">
      <c r="A48" t="s">
        <v>79</v>
      </c>
      <c r="B48" s="87">
        <f>140511.507240036/1000</f>
        <v>140.511507240036</v>
      </c>
      <c r="C48" s="87">
        <f>200769.848877606/1000</f>
        <v>200.76984887760602</v>
      </c>
      <c r="D48" s="79">
        <f t="shared" si="1"/>
        <v>1.4288498701720609</v>
      </c>
      <c r="E48" s="81">
        <f t="shared" si="2"/>
        <v>1.0301857778673527</v>
      </c>
      <c r="F48" s="80">
        <f t="shared" si="3"/>
        <v>3.0185777867352659E-2</v>
      </c>
    </row>
    <row r="49" spans="1:9" x14ac:dyDescent="0.25">
      <c r="A49" t="s">
        <v>63</v>
      </c>
      <c r="B49" s="87">
        <f>86954.7778334928/1000</f>
        <v>86.954777833492798</v>
      </c>
      <c r="C49" s="87">
        <f>174857.347628424/1000</f>
        <v>174.85734762842401</v>
      </c>
      <c r="D49" s="79">
        <f t="shared" si="1"/>
        <v>2.0108998261516269</v>
      </c>
      <c r="E49" s="81">
        <f t="shared" si="2"/>
        <v>1.0599430617839234</v>
      </c>
      <c r="F49" s="80">
        <f t="shared" si="3"/>
        <v>5.994306178392339E-2</v>
      </c>
      <c r="I49" s="85"/>
    </row>
    <row r="50" spans="1:9" x14ac:dyDescent="0.25">
      <c r="A50" t="s">
        <v>81</v>
      </c>
      <c r="B50" s="87">
        <f>52146.5719139236/1000</f>
        <v>52.146571913923601</v>
      </c>
      <c r="C50" s="87">
        <f>138995.206476618/1000</f>
        <v>138.99520647661802</v>
      </c>
      <c r="D50" s="79">
        <f t="shared" si="1"/>
        <v>2.66547160005172</v>
      </c>
      <c r="E50" s="81">
        <f t="shared" si="2"/>
        <v>1.0851285040392114</v>
      </c>
      <c r="F50" s="80">
        <f t="shared" si="3"/>
        <v>8.512850403921135E-2</v>
      </c>
      <c r="I50" s="85"/>
    </row>
    <row r="51" spans="1:9" x14ac:dyDescent="0.25">
      <c r="A51" t="s">
        <v>93</v>
      </c>
      <c r="B51" s="87">
        <f>37533.2181509743/1000</f>
        <v>37.533218150974299</v>
      </c>
      <c r="C51" s="79">
        <v>102.60912515205099</v>
      </c>
      <c r="D51" s="79">
        <f t="shared" si="1"/>
        <v>2.7338216706948546</v>
      </c>
      <c r="E51" s="81">
        <f>D51^(1/11)</f>
        <v>1.095737134592873</v>
      </c>
      <c r="F51" s="80">
        <f t="shared" si="3"/>
        <v>9.573713459287303E-2</v>
      </c>
      <c r="I51" s="85">
        <v>2021</v>
      </c>
    </row>
    <row r="52" spans="1:9" x14ac:dyDescent="0.25">
      <c r="A52" t="s">
        <v>67</v>
      </c>
      <c r="B52" s="87">
        <f>50853.852282309/1000</f>
        <v>50.853852282308999</v>
      </c>
      <c r="C52" s="87">
        <f>85167.1673617304/1000</f>
        <v>85.167167361730407</v>
      </c>
      <c r="D52" s="79">
        <f t="shared" si="1"/>
        <v>1.6747436730837066</v>
      </c>
      <c r="E52" s="81">
        <f t="shared" si="2"/>
        <v>1.0439083276920889</v>
      </c>
      <c r="F52" s="80">
        <f t="shared" si="3"/>
        <v>4.3908327692088855E-2</v>
      </c>
      <c r="I52" s="85"/>
    </row>
    <row r="53" spans="1:9" x14ac:dyDescent="0.25">
      <c r="A53" t="s">
        <v>57</v>
      </c>
      <c r="B53" s="87">
        <f>24885.8269996792/1000</f>
        <v>24.8858269996792</v>
      </c>
      <c r="C53" s="87">
        <f>41351.0104514932/1000</f>
        <v>41.351010451493202</v>
      </c>
      <c r="D53" s="79">
        <f t="shared" si="1"/>
        <v>1.6616289445404508</v>
      </c>
      <c r="E53" s="81">
        <f t="shared" si="2"/>
        <v>1.0432246430070578</v>
      </c>
      <c r="F53" s="80">
        <f t="shared" si="3"/>
        <v>4.322464300705775E-2</v>
      </c>
      <c r="I53" s="85"/>
    </row>
    <row r="54" spans="1:9" x14ac:dyDescent="0.25">
      <c r="A54" t="s">
        <v>77</v>
      </c>
      <c r="B54" s="87">
        <f>25379.3581266264/1000</f>
        <v>25.3793581266264</v>
      </c>
      <c r="C54" s="87">
        <f>43506.6311846846/1000</f>
        <v>43.506631184684601</v>
      </c>
      <c r="D54" s="79">
        <f t="shared" si="1"/>
        <v>1.7142526208746085</v>
      </c>
      <c r="E54" s="81">
        <f t="shared" si="2"/>
        <v>1.0459387069231818</v>
      </c>
      <c r="F54" s="80">
        <f t="shared" si="3"/>
        <v>4.5938706923181805E-2</v>
      </c>
      <c r="I54" s="85"/>
    </row>
    <row r="55" spans="1:9" x14ac:dyDescent="0.25">
      <c r="A55" t="s">
        <v>91</v>
      </c>
      <c r="B55" s="87">
        <f>20065.2690962247/1000</f>
        <v>20.0652690962247</v>
      </c>
      <c r="C55" s="87">
        <f>33387.020861821/1000</f>
        <v>33.387020861821</v>
      </c>
      <c r="D55" s="79">
        <f t="shared" si="1"/>
        <v>1.663920912384016</v>
      </c>
      <c r="E55" s="81">
        <f t="shared" si="2"/>
        <v>1.0433444815875093</v>
      </c>
      <c r="F55" s="80">
        <f t="shared" si="3"/>
        <v>4.3344481587509254E-2</v>
      </c>
      <c r="I55" s="85"/>
    </row>
    <row r="56" spans="1:9" x14ac:dyDescent="0.25">
      <c r="A56" t="s">
        <v>75</v>
      </c>
      <c r="B56" s="87">
        <f>8627.78962558438/1000</f>
        <v>8.6277896255843807</v>
      </c>
      <c r="C56" s="87">
        <f>29991.8732716353/1000</f>
        <v>29.991873271635299</v>
      </c>
      <c r="D56" s="79">
        <f t="shared" si="1"/>
        <v>3.4761943178005894</v>
      </c>
      <c r="E56" s="81">
        <f t="shared" si="2"/>
        <v>1.1094098149863056</v>
      </c>
      <c r="F56" s="80">
        <f t="shared" si="3"/>
        <v>0.10940981498630564</v>
      </c>
      <c r="I56" s="85"/>
    </row>
    <row r="57" spans="1:9" x14ac:dyDescent="0.25">
      <c r="A57" s="62" t="s">
        <v>83</v>
      </c>
      <c r="B57" s="87">
        <f>17840.9013367686/1000</f>
        <v>17.840901336768599</v>
      </c>
      <c r="C57" s="87">
        <f>30297.7969389675/1000</f>
        <v>30.297796938967501</v>
      </c>
      <c r="D57" s="87">
        <f t="shared" si="1"/>
        <v>1.6982212034616371</v>
      </c>
      <c r="E57" s="88">
        <f>D57^(1/10)</f>
        <v>1.0543855025940663</v>
      </c>
      <c r="F57" s="80">
        <f t="shared" si="3"/>
        <v>5.4385502594066271E-2</v>
      </c>
      <c r="I57" s="85" t="s">
        <v>110</v>
      </c>
    </row>
    <row r="58" spans="1:9" x14ac:dyDescent="0.25">
      <c r="A58" t="s">
        <v>51</v>
      </c>
      <c r="B58" s="87">
        <f>20560.333868112/1000</f>
        <v>20.560333868112</v>
      </c>
      <c r="C58" s="79">
        <v>27.353335803606399</v>
      </c>
      <c r="D58" s="79">
        <f t="shared" si="1"/>
        <v>1.3303935616546572</v>
      </c>
      <c r="E58" s="81">
        <f>D58^(1/11)</f>
        <v>1.0262919474125578</v>
      </c>
      <c r="F58" s="80">
        <f t="shared" si="3"/>
        <v>2.6291947412557803E-2</v>
      </c>
      <c r="I58" s="85">
        <v>2021</v>
      </c>
    </row>
    <row r="59" spans="1:9" x14ac:dyDescent="0.25">
      <c r="A59" t="s">
        <v>101</v>
      </c>
      <c r="B59" s="87">
        <f>13663.9851282309/1000</f>
        <v>13.6639851282309</v>
      </c>
      <c r="C59" s="79">
        <v>23.486335416186201</v>
      </c>
      <c r="D59" s="79">
        <f t="shared" si="1"/>
        <v>1.718849603228968</v>
      </c>
      <c r="E59" s="81">
        <f>D59^(1/9)</f>
        <v>1.0620318517864142</v>
      </c>
      <c r="F59" s="80">
        <f t="shared" si="3"/>
        <v>6.2031851786414238E-2</v>
      </c>
      <c r="I59" s="85" t="s">
        <v>111</v>
      </c>
    </row>
    <row r="60" spans="1:9" x14ac:dyDescent="0.25">
      <c r="A60" t="s">
        <v>53</v>
      </c>
      <c r="B60" s="87">
        <f>8948.66678776379/1000</f>
        <v>8.9486667877637895</v>
      </c>
      <c r="C60" s="87">
        <f>27169.9873471653/1000</f>
        <v>27.1699873471653</v>
      </c>
      <c r="D60" s="79">
        <f t="shared" si="1"/>
        <v>3.0362050561897047</v>
      </c>
      <c r="E60" s="81">
        <f t="shared" si="2"/>
        <v>1.0969687563582657</v>
      </c>
      <c r="F60" s="80">
        <f t="shared" si="3"/>
        <v>9.696875635826574E-2</v>
      </c>
      <c r="I60" s="85"/>
    </row>
    <row r="61" spans="1:9" x14ac:dyDescent="0.25">
      <c r="A61" t="s">
        <v>87</v>
      </c>
      <c r="B61" s="87">
        <f>5770.34192373741/1000</f>
        <v>5.7703419237374103</v>
      </c>
      <c r="C61" s="87">
        <f>25010.7563023764/1000</f>
        <v>25.0107563023764</v>
      </c>
      <c r="D61" s="79">
        <f t="shared" si="1"/>
        <v>4.3343629602762093</v>
      </c>
      <c r="E61" s="81">
        <f t="shared" si="2"/>
        <v>1.1299965209327418</v>
      </c>
      <c r="F61" s="80">
        <f t="shared" si="3"/>
        <v>0.12999652093274183</v>
      </c>
      <c r="I61" s="85"/>
    </row>
    <row r="62" spans="1:9" x14ac:dyDescent="0.25">
      <c r="A62" t="s">
        <v>99</v>
      </c>
      <c r="B62" s="87">
        <f>12542.0672815398/1000</f>
        <v>12.542067281539799</v>
      </c>
      <c r="C62" s="87">
        <f>24335.9599051673/1000</f>
        <v>24.3359599051673</v>
      </c>
      <c r="D62" s="79">
        <f t="shared" si="1"/>
        <v>1.9403467832600845</v>
      </c>
      <c r="E62" s="81">
        <f t="shared" si="2"/>
        <v>1.0567930445745024</v>
      </c>
      <c r="F62" s="80">
        <f t="shared" si="3"/>
        <v>5.6793044574502405E-2</v>
      </c>
      <c r="I62" s="85"/>
    </row>
    <row r="63" spans="1:9" x14ac:dyDescent="0.25">
      <c r="A63" t="s">
        <v>89</v>
      </c>
      <c r="B63" s="87">
        <f>7383.627211538/1000</f>
        <v>7.3836272115380002</v>
      </c>
      <c r="C63" s="87">
        <f>12326.5239927996/1000</f>
        <v>12.326523992799601</v>
      </c>
      <c r="D63" s="79">
        <f t="shared" si="1"/>
        <v>1.6694401870042408</v>
      </c>
      <c r="E63" s="81">
        <f>D63^(1/110)</f>
        <v>1.0046698549712241</v>
      </c>
      <c r="F63" s="80">
        <f t="shared" si="3"/>
        <v>4.6698549712240744E-3</v>
      </c>
      <c r="I63" s="85">
        <v>2020</v>
      </c>
    </row>
    <row r="64" spans="1:9" x14ac:dyDescent="0.25">
      <c r="A64" t="s">
        <v>61</v>
      </c>
      <c r="B64" s="87">
        <f>6957.9629146189/1000</f>
        <v>6.9579629146188999</v>
      </c>
      <c r="C64" s="87">
        <f>13301.0790159858/1000</f>
        <v>13.301079015985801</v>
      </c>
      <c r="D64" s="79">
        <f t="shared" si="1"/>
        <v>1.9116340772727911</v>
      </c>
      <c r="E64" s="81">
        <f t="shared" si="2"/>
        <v>1.055480944391298</v>
      </c>
      <c r="F64" s="80">
        <f t="shared" si="3"/>
        <v>5.5480944391298026E-2</v>
      </c>
      <c r="I64" s="85"/>
    </row>
    <row r="65" spans="1:9" x14ac:dyDescent="0.25">
      <c r="A65" t="s">
        <v>65</v>
      </c>
      <c r="B65" s="87">
        <f>7740.45596978196/1000</f>
        <v>7.7404559697819604</v>
      </c>
      <c r="C65" s="87">
        <f>10311.4076019219/1000</f>
        <v>10.3114076019219</v>
      </c>
      <c r="D65" s="79">
        <f t="shared" si="1"/>
        <v>1.3321447266384179</v>
      </c>
      <c r="E65" s="81">
        <f t="shared" si="2"/>
        <v>1.0241870592543694</v>
      </c>
      <c r="F65" s="80">
        <f t="shared" si="3"/>
        <v>2.418705925436937E-2</v>
      </c>
      <c r="I65" s="85"/>
    </row>
    <row r="66" spans="1:9" x14ac:dyDescent="0.25">
      <c r="A66" t="s">
        <v>85</v>
      </c>
      <c r="B66" s="87">
        <f>4671.69066528728/1000</f>
        <v>4.6716906652872803</v>
      </c>
      <c r="C66" s="87">
        <f>10560.9913885092/1000</f>
        <v>10.560991388509199</v>
      </c>
      <c r="D66" s="79">
        <f t="shared" si="1"/>
        <v>2.2606358479558626</v>
      </c>
      <c r="E66" s="81">
        <f t="shared" si="2"/>
        <v>1.0703337440822946</v>
      </c>
      <c r="F66" s="80">
        <f t="shared" si="3"/>
        <v>7.0333744082294647E-2</v>
      </c>
      <c r="I66" s="85"/>
    </row>
    <row r="67" spans="1:9" x14ac:dyDescent="0.25">
      <c r="A67" t="s">
        <v>69</v>
      </c>
      <c r="B67" s="87">
        <f>1883.03530994/1000</f>
        <v>1.8830353099399999</v>
      </c>
      <c r="C67" s="87">
        <f>6431.57235433/1000</f>
        <v>6.4315723543300001</v>
      </c>
      <c r="D67" s="79">
        <f t="shared" si="1"/>
        <v>3.4155346532163184</v>
      </c>
      <c r="E67" s="81">
        <f>D67^(1/3)</f>
        <v>1.5059812518596531</v>
      </c>
      <c r="F67" s="80">
        <f t="shared" si="3"/>
        <v>0.50598125185965315</v>
      </c>
      <c r="I67" s="85" t="s">
        <v>112</v>
      </c>
    </row>
    <row r="68" spans="1:9" x14ac:dyDescent="0.25">
      <c r="A68" t="s">
        <v>71</v>
      </c>
      <c r="B68" s="87">
        <f>3141.88955567427/1000</f>
        <v>3.1418895556742701</v>
      </c>
      <c r="C68" s="87">
        <f>6604.99643932072/1000</f>
        <v>6.6049964393207201</v>
      </c>
      <c r="D68" s="79">
        <f t="shared" si="1"/>
        <v>2.1022369890093877</v>
      </c>
      <c r="E68" s="81">
        <f t="shared" si="2"/>
        <v>1.063873863148499</v>
      </c>
      <c r="F68" s="80">
        <f t="shared" si="3"/>
        <v>6.3873863148498966E-2</v>
      </c>
      <c r="I68" s="85"/>
    </row>
    <row r="69" spans="1:9" x14ac:dyDescent="0.25">
      <c r="A69" t="s">
        <v>97</v>
      </c>
      <c r="B69" s="87">
        <f>4383.96856680119/1000</f>
        <v>4.3839685668011894</v>
      </c>
      <c r="C69" s="87">
        <f>5141.45782208058/1000</f>
        <v>5.1414578220805796</v>
      </c>
      <c r="D69" s="79">
        <f t="shared" si="1"/>
        <v>1.172786196738655</v>
      </c>
      <c r="E69" s="81">
        <f>D69^(1/9)</f>
        <v>1.0178668791249881</v>
      </c>
      <c r="F69" s="80">
        <f t="shared" si="3"/>
        <v>1.7866879124988078E-2</v>
      </c>
      <c r="I69" s="85">
        <v>2020</v>
      </c>
    </row>
    <row r="70" spans="1:9" x14ac:dyDescent="0.25">
      <c r="B70" s="15"/>
      <c r="F70" s="15"/>
    </row>
    <row r="71" spans="1:9" x14ac:dyDescent="0.25">
      <c r="B71" s="15"/>
      <c r="F71" s="15"/>
    </row>
    <row r="72" spans="1:9" x14ac:dyDescent="0.25">
      <c r="A72">
        <f>69-46</f>
        <v>23</v>
      </c>
      <c r="B72" s="9"/>
    </row>
    <row r="73" spans="1:9" x14ac:dyDescent="0.25">
      <c r="C73" s="9"/>
    </row>
    <row r="74" spans="1:9" x14ac:dyDescent="0.25">
      <c r="C74" s="9"/>
    </row>
    <row r="75" spans="1:9" x14ac:dyDescent="0.25">
      <c r="C75" s="9"/>
    </row>
    <row r="76" spans="1:9" x14ac:dyDescent="0.25">
      <c r="C76" s="9"/>
    </row>
    <row r="77" spans="1:9" x14ac:dyDescent="0.25">
      <c r="C77" s="9"/>
    </row>
    <row r="78" spans="1:9" x14ac:dyDescent="0.25">
      <c r="C78" s="9"/>
    </row>
    <row r="79" spans="1:9" x14ac:dyDescent="0.25">
      <c r="C79" s="9"/>
    </row>
    <row r="80" spans="1:9" x14ac:dyDescent="0.25">
      <c r="C80" s="9"/>
    </row>
    <row r="81" spans="3:3" x14ac:dyDescent="0.25">
      <c r="C81" s="9"/>
    </row>
    <row r="82" spans="3:3" x14ac:dyDescent="0.25">
      <c r="C82" s="9"/>
    </row>
    <row r="83" spans="3:3" x14ac:dyDescent="0.25">
      <c r="C83" s="9"/>
    </row>
    <row r="84" spans="3:3" x14ac:dyDescent="0.25">
      <c r="C84" s="9"/>
    </row>
    <row r="85" spans="3:3" x14ac:dyDescent="0.25">
      <c r="C85" s="9"/>
    </row>
    <row r="86" spans="3:3" x14ac:dyDescent="0.25">
      <c r="C86" s="9"/>
    </row>
    <row r="87" spans="3:3" x14ac:dyDescent="0.25">
      <c r="C87" s="9"/>
    </row>
  </sheetData>
  <hyperlinks>
    <hyperlink ref="A2" location="Overzicht!A1" display="Terug naar tabblad Overzicht" xr:uid="{EC6CA674-6EB6-4BB6-AD22-DD9AC2490B3E}"/>
  </hyperlinks>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1589F6-486A-4DED-BE63-A733A6C566B5}">
  <sheetPr>
    <tabColor theme="7" tint="0.59999389629810485"/>
  </sheetPr>
  <dimension ref="A1:N35"/>
  <sheetViews>
    <sheetView workbookViewId="0"/>
  </sheetViews>
  <sheetFormatPr defaultRowHeight="12.5" x14ac:dyDescent="0.25"/>
  <sheetData>
    <row r="1" spans="1:14" ht="18.5" x14ac:dyDescent="0.45">
      <c r="A1" s="1" t="s">
        <v>17</v>
      </c>
    </row>
    <row r="2" spans="1:14" x14ac:dyDescent="0.25">
      <c r="A2" s="52" t="s">
        <v>48</v>
      </c>
    </row>
    <row r="5" spans="1:14" x14ac:dyDescent="0.25">
      <c r="B5" s="11"/>
    </row>
    <row r="6" spans="1:14" x14ac:dyDescent="0.25">
      <c r="A6" t="s">
        <v>127</v>
      </c>
    </row>
    <row r="7" spans="1:14" x14ac:dyDescent="0.25">
      <c r="A7" t="s">
        <v>128</v>
      </c>
    </row>
    <row r="10" spans="1:14" x14ac:dyDescent="0.25">
      <c r="B10" t="s">
        <v>114</v>
      </c>
      <c r="C10" t="s">
        <v>115</v>
      </c>
      <c r="D10" t="s">
        <v>116</v>
      </c>
      <c r="E10" t="s">
        <v>117</v>
      </c>
      <c r="F10" t="s">
        <v>118</v>
      </c>
      <c r="G10" t="s">
        <v>119</v>
      </c>
      <c r="H10" t="s">
        <v>120</v>
      </c>
      <c r="I10" t="s">
        <v>121</v>
      </c>
      <c r="J10" t="s">
        <v>122</v>
      </c>
      <c r="K10" t="s">
        <v>123</v>
      </c>
      <c r="L10" t="s">
        <v>124</v>
      </c>
      <c r="M10" t="s">
        <v>125</v>
      </c>
      <c r="N10" t="s">
        <v>126</v>
      </c>
    </row>
    <row r="11" spans="1:14" x14ac:dyDescent="0.25">
      <c r="A11" t="s">
        <v>75</v>
      </c>
      <c r="B11">
        <v>3.8544205010999999</v>
      </c>
      <c r="C11">
        <v>3.9261669919000002</v>
      </c>
      <c r="D11">
        <v>4.0706291866999997</v>
      </c>
      <c r="E11">
        <v>4.1181277321999996</v>
      </c>
      <c r="F11">
        <v>4.2085064354000004</v>
      </c>
      <c r="G11">
        <v>4.3082104760000002</v>
      </c>
      <c r="H11">
        <v>4.6045518776999996</v>
      </c>
      <c r="I11">
        <v>4.7565650615999999</v>
      </c>
      <c r="J11">
        <v>4.9346925697000001</v>
      </c>
      <c r="K11">
        <v>5.3685784115999997</v>
      </c>
      <c r="L11">
        <v>5.8184500646000004</v>
      </c>
      <c r="M11">
        <v>5.7687831841000001</v>
      </c>
      <c r="N11">
        <v>6.0192374897000001</v>
      </c>
    </row>
    <row r="12" spans="1:14" x14ac:dyDescent="0.25">
      <c r="A12" t="s">
        <v>81</v>
      </c>
      <c r="B12">
        <v>3.3157767212999998</v>
      </c>
      <c r="C12">
        <v>3.5919852207999998</v>
      </c>
      <c r="D12">
        <v>3.850404604</v>
      </c>
      <c r="E12">
        <v>3.9512389821</v>
      </c>
      <c r="F12">
        <v>4.0778647572000004</v>
      </c>
      <c r="G12">
        <v>3.9782002518000001</v>
      </c>
      <c r="H12">
        <v>3.9870371806999998</v>
      </c>
      <c r="I12">
        <v>4.2920555991000002</v>
      </c>
      <c r="J12">
        <v>4.5163338397999997</v>
      </c>
      <c r="K12">
        <v>4.6270285805000002</v>
      </c>
      <c r="L12">
        <v>4.7957144335999997</v>
      </c>
      <c r="M12">
        <v>4.9098796842999999</v>
      </c>
      <c r="N12">
        <v>5.2108135952000003</v>
      </c>
    </row>
    <row r="13" spans="1:14" x14ac:dyDescent="0.25">
      <c r="A13" t="s">
        <v>95</v>
      </c>
      <c r="B13">
        <v>2.7144380835000002</v>
      </c>
      <c r="C13">
        <v>2.7380278070999999</v>
      </c>
      <c r="D13">
        <v>2.6727254940999998</v>
      </c>
      <c r="E13">
        <v>2.6959157990999998</v>
      </c>
      <c r="F13">
        <v>2.7088099832000001</v>
      </c>
      <c r="G13">
        <v>2.7732794373999998</v>
      </c>
      <c r="H13">
        <v>2.8367639882</v>
      </c>
      <c r="I13">
        <v>2.8835715825000001</v>
      </c>
      <c r="J13">
        <v>2.9904462108000001</v>
      </c>
      <c r="K13">
        <v>3.1470357753</v>
      </c>
      <c r="L13">
        <v>3.4246715393999998</v>
      </c>
      <c r="M13">
        <v>3.4831309665000001</v>
      </c>
      <c r="N13">
        <v>3.5862302938999999</v>
      </c>
    </row>
    <row r="14" spans="1:14" x14ac:dyDescent="0.25">
      <c r="A14" t="s">
        <v>99</v>
      </c>
      <c r="B14">
        <v>3.1678867780000002</v>
      </c>
      <c r="C14">
        <v>3.1870179095000002</v>
      </c>
      <c r="D14">
        <v>3.2302490511999999</v>
      </c>
      <c r="E14">
        <v>3.260416604</v>
      </c>
      <c r="F14">
        <v>3.1018375898000001</v>
      </c>
      <c r="G14">
        <v>3.2190345197000001</v>
      </c>
      <c r="H14">
        <v>3.2473611171000001</v>
      </c>
      <c r="I14">
        <v>3.3627857077000001</v>
      </c>
      <c r="J14">
        <v>3.3210612582999999</v>
      </c>
      <c r="K14">
        <v>3.3875823107</v>
      </c>
      <c r="L14">
        <v>3.4896035317999998</v>
      </c>
      <c r="M14">
        <v>3.4021567200999998</v>
      </c>
      <c r="N14">
        <v>3.4082219509999998</v>
      </c>
    </row>
    <row r="15" spans="1:14" x14ac:dyDescent="0.25">
      <c r="A15" t="s">
        <v>53</v>
      </c>
      <c r="B15">
        <v>2.0618763943</v>
      </c>
      <c r="C15">
        <v>2.1733244177</v>
      </c>
      <c r="D15">
        <v>2.2811406339999998</v>
      </c>
      <c r="E15">
        <v>2.3307251577999999</v>
      </c>
      <c r="F15">
        <v>2.3700163248999999</v>
      </c>
      <c r="G15">
        <v>2.4281655881000002</v>
      </c>
      <c r="H15">
        <v>2.5233771067999999</v>
      </c>
      <c r="I15">
        <v>2.6666617982999998</v>
      </c>
      <c r="J15">
        <v>2.8601752240999998</v>
      </c>
      <c r="K15">
        <v>3.1566010592999998</v>
      </c>
      <c r="L15">
        <v>3.3901868636999999</v>
      </c>
      <c r="M15">
        <v>3.3932704453999998</v>
      </c>
      <c r="N15">
        <v>3.4064848244000001</v>
      </c>
    </row>
    <row r="16" spans="1:14" x14ac:dyDescent="0.25">
      <c r="A16" t="s">
        <v>79</v>
      </c>
      <c r="B16">
        <v>3.1049513124999999</v>
      </c>
      <c r="C16">
        <v>3.2053660184999999</v>
      </c>
      <c r="D16">
        <v>3.1737052842</v>
      </c>
      <c r="E16">
        <v>3.2789560302999998</v>
      </c>
      <c r="F16">
        <v>3.3678751992999998</v>
      </c>
      <c r="G16">
        <v>3.2407072958000001</v>
      </c>
      <c r="H16">
        <v>3.1066564578000002</v>
      </c>
      <c r="I16">
        <v>3.1663561590999998</v>
      </c>
      <c r="J16">
        <v>3.2191960155000001</v>
      </c>
      <c r="K16">
        <v>3.2182373957000001</v>
      </c>
      <c r="L16">
        <v>3.2645758253000001</v>
      </c>
      <c r="M16">
        <v>3.2767709295</v>
      </c>
      <c r="N16">
        <v>3.4053677072999999</v>
      </c>
    </row>
    <row r="17" spans="1:14" x14ac:dyDescent="0.25">
      <c r="A17" t="s">
        <v>101</v>
      </c>
      <c r="D17">
        <v>2.8745654929</v>
      </c>
      <c r="G17">
        <v>3.0783207411000002</v>
      </c>
      <c r="I17">
        <v>3.0769761168</v>
      </c>
      <c r="K17">
        <v>3.1967991031</v>
      </c>
      <c r="M17">
        <v>3.3064505870000001</v>
      </c>
    </row>
    <row r="18" spans="1:14" x14ac:dyDescent="0.25">
      <c r="A18" t="s">
        <v>63</v>
      </c>
      <c r="B18">
        <v>2.7302373881999999</v>
      </c>
      <c r="C18">
        <v>2.8055462835</v>
      </c>
      <c r="D18">
        <v>2.8816555507000001</v>
      </c>
      <c r="E18">
        <v>2.8359865474000001</v>
      </c>
      <c r="F18">
        <v>2.8778404949</v>
      </c>
      <c r="G18">
        <v>2.9337917440000001</v>
      </c>
      <c r="H18">
        <v>2.9403891870000001</v>
      </c>
      <c r="I18">
        <v>3.0470994992999998</v>
      </c>
      <c r="J18">
        <v>3.1101054837</v>
      </c>
      <c r="K18">
        <v>3.1670099679999999</v>
      </c>
      <c r="L18">
        <v>3.1313579807999998</v>
      </c>
      <c r="M18">
        <v>3.1288221813999999</v>
      </c>
      <c r="N18">
        <v>3.1323575569000002</v>
      </c>
    </row>
    <row r="19" spans="1:14" x14ac:dyDescent="0.25">
      <c r="A19" t="s">
        <v>65</v>
      </c>
      <c r="B19">
        <v>3.7053202616999998</v>
      </c>
      <c r="C19">
        <v>3.6180628087</v>
      </c>
      <c r="D19">
        <v>3.3983236916999999</v>
      </c>
      <c r="E19">
        <v>3.2713720078000001</v>
      </c>
      <c r="F19">
        <v>3.1475081804</v>
      </c>
      <c r="G19">
        <v>2.8719634790000002</v>
      </c>
      <c r="H19">
        <v>2.7244182091</v>
      </c>
      <c r="I19">
        <v>2.7278712865000001</v>
      </c>
      <c r="J19">
        <v>2.7574937249000002</v>
      </c>
      <c r="K19">
        <v>2.7996147721</v>
      </c>
      <c r="L19">
        <v>2.9124341492000001</v>
      </c>
      <c r="M19">
        <v>2.9885025373</v>
      </c>
      <c r="N19">
        <v>2.9646827650000001</v>
      </c>
    </row>
    <row r="20" spans="1:14" x14ac:dyDescent="0.25">
      <c r="A20" t="s">
        <v>93</v>
      </c>
      <c r="B20">
        <v>1.6388642463</v>
      </c>
      <c r="C20">
        <v>1.6468100975</v>
      </c>
      <c r="D20">
        <v>1.5758746348999999</v>
      </c>
      <c r="E20">
        <v>1.6209572344000001</v>
      </c>
      <c r="F20">
        <v>2.2648796196999998</v>
      </c>
      <c r="G20">
        <v>2.2756590175999998</v>
      </c>
      <c r="H20">
        <v>2.3205164575000001</v>
      </c>
      <c r="I20">
        <v>2.3260162633000001</v>
      </c>
      <c r="J20">
        <v>2.7112415347000001</v>
      </c>
      <c r="K20">
        <v>2.6708034885999998</v>
      </c>
      <c r="L20">
        <v>2.9388296659000002</v>
      </c>
      <c r="M20">
        <v>2.8971055730000002</v>
      </c>
    </row>
    <row r="21" spans="1:14" x14ac:dyDescent="0.25">
      <c r="A21" t="s">
        <v>61</v>
      </c>
      <c r="B21">
        <v>2.9170662764999999</v>
      </c>
      <c r="C21">
        <v>2.9446513581999998</v>
      </c>
      <c r="D21">
        <v>2.9812471135999998</v>
      </c>
      <c r="E21">
        <v>2.9704815359999999</v>
      </c>
      <c r="F21">
        <v>2.9140934884999998</v>
      </c>
      <c r="G21">
        <v>3.0549664817000002</v>
      </c>
      <c r="H21">
        <v>3.0928335625000001</v>
      </c>
      <c r="I21">
        <v>2.9312436132999999</v>
      </c>
      <c r="J21">
        <v>2.9660284049999999</v>
      </c>
      <c r="K21">
        <v>2.8968545375999999</v>
      </c>
      <c r="L21">
        <v>2.9725816011999999</v>
      </c>
      <c r="M21">
        <v>2.7614218356000002</v>
      </c>
      <c r="N21">
        <v>2.8905118073999998</v>
      </c>
    </row>
    <row r="22" spans="1:14" x14ac:dyDescent="0.25">
      <c r="A22" s="86" t="s">
        <v>113</v>
      </c>
      <c r="B22" s="86">
        <v>2.0099999999999998</v>
      </c>
      <c r="C22" s="86">
        <v>1.99</v>
      </c>
      <c r="D22" s="86">
        <v>2.02</v>
      </c>
      <c r="E22" s="86">
        <v>1.98</v>
      </c>
      <c r="F22" s="86">
        <v>2.09</v>
      </c>
      <c r="G22" s="86">
        <v>2.12</v>
      </c>
      <c r="H22" s="86">
        <v>2.17</v>
      </c>
      <c r="I22" s="86">
        <v>2.16</v>
      </c>
      <c r="J22" s="86">
        <v>2.2400000000000002</v>
      </c>
      <c r="K22" s="86">
        <v>2.31</v>
      </c>
      <c r="L22" s="86">
        <v>2.4900000000000002</v>
      </c>
      <c r="M22" s="86">
        <v>2.71</v>
      </c>
      <c r="N22" s="86"/>
    </row>
    <row r="23" spans="1:14" x14ac:dyDescent="0.25">
      <c r="A23" t="s">
        <v>59</v>
      </c>
      <c r="B23">
        <v>1.7137214879</v>
      </c>
      <c r="C23">
        <v>1.7803430215</v>
      </c>
      <c r="D23">
        <v>1.9121410003999999</v>
      </c>
      <c r="E23">
        <v>1.99786394</v>
      </c>
      <c r="F23">
        <v>2.0224325602</v>
      </c>
      <c r="G23">
        <v>2.0570103702</v>
      </c>
      <c r="H23">
        <v>2.1003284198999999</v>
      </c>
      <c r="I23">
        <v>2.1160297739999998</v>
      </c>
      <c r="J23">
        <v>2.1405780419</v>
      </c>
      <c r="K23">
        <v>2.2446260727</v>
      </c>
      <c r="L23">
        <v>2.4066600758000001</v>
      </c>
      <c r="M23">
        <v>2.4325972162</v>
      </c>
    </row>
    <row r="24" spans="1:14" x14ac:dyDescent="0.25">
      <c r="A24" s="27" t="s">
        <v>83</v>
      </c>
      <c r="B24" s="27"/>
      <c r="C24" s="27"/>
      <c r="D24" s="27"/>
      <c r="E24" s="27">
        <v>2.1560632465</v>
      </c>
      <c r="F24" s="27">
        <v>2.1732979926999998</v>
      </c>
      <c r="G24" s="27">
        <v>2.1460620746000001</v>
      </c>
      <c r="H24" s="27">
        <v>2.1508123958000001</v>
      </c>
      <c r="I24" s="27">
        <v>2.1785662998999999</v>
      </c>
      <c r="J24" s="27">
        <v>2.1387956128000001</v>
      </c>
      <c r="K24" s="27">
        <v>2.1843540720000001</v>
      </c>
      <c r="L24" s="27">
        <v>2.3218208980999999</v>
      </c>
      <c r="M24" s="27">
        <v>2.2687659016000001</v>
      </c>
      <c r="N24" s="27">
        <v>2.296222937</v>
      </c>
    </row>
    <row r="25" spans="1:14" x14ac:dyDescent="0.25">
      <c r="A25" t="s">
        <v>67</v>
      </c>
      <c r="B25">
        <v>2.1785732192</v>
      </c>
      <c r="C25">
        <v>2.1916145258999999</v>
      </c>
      <c r="D25">
        <v>2.2270658232999998</v>
      </c>
      <c r="E25">
        <v>2.2370251310000002</v>
      </c>
      <c r="F25">
        <v>2.27591667</v>
      </c>
      <c r="G25">
        <v>2.2270168466000002</v>
      </c>
      <c r="H25">
        <v>2.2223838909999998</v>
      </c>
      <c r="I25">
        <v>2.1988801354</v>
      </c>
      <c r="J25">
        <v>2.1966601024000001</v>
      </c>
      <c r="K25">
        <v>2.1917887624999999</v>
      </c>
      <c r="L25">
        <v>2.2746373127999999</v>
      </c>
      <c r="M25">
        <v>2.2180751986999998</v>
      </c>
      <c r="N25">
        <v>2.1755484083000001</v>
      </c>
    </row>
    <row r="26" spans="1:14" x14ac:dyDescent="0.25">
      <c r="A26" t="s">
        <v>89</v>
      </c>
      <c r="B26">
        <v>1.9291816230000001</v>
      </c>
      <c r="C26">
        <v>2.069548755</v>
      </c>
      <c r="D26">
        <v>1.9183340315999999</v>
      </c>
      <c r="E26">
        <v>1.9210393735</v>
      </c>
      <c r="F26">
        <v>2.082281922</v>
      </c>
      <c r="G26">
        <v>2.1744499451000001</v>
      </c>
      <c r="H26">
        <v>2.0729126655000001</v>
      </c>
      <c r="I26">
        <v>1.8990469250999999</v>
      </c>
      <c r="J26">
        <v>1.8095776545</v>
      </c>
      <c r="K26">
        <v>1.8850595059999999</v>
      </c>
      <c r="L26">
        <v>2.1630497916000002</v>
      </c>
    </row>
    <row r="27" spans="1:14" x14ac:dyDescent="0.25">
      <c r="A27" t="s">
        <v>51</v>
      </c>
      <c r="B27">
        <v>2.1791828997999998</v>
      </c>
      <c r="C27">
        <v>2.1120670125999998</v>
      </c>
      <c r="E27">
        <v>2.0923676076</v>
      </c>
      <c r="G27">
        <v>1.8794576765</v>
      </c>
      <c r="I27">
        <v>1.7924368727</v>
      </c>
      <c r="K27">
        <v>1.7939149389</v>
      </c>
      <c r="M27">
        <v>1.6608371003</v>
      </c>
    </row>
    <row r="28" spans="1:14" x14ac:dyDescent="0.25">
      <c r="A28" t="s">
        <v>85</v>
      </c>
      <c r="B28">
        <v>1.6412030471000001</v>
      </c>
      <c r="C28">
        <v>1.6171369455</v>
      </c>
      <c r="D28">
        <v>1.6105323286</v>
      </c>
      <c r="E28">
        <v>1.6421585362</v>
      </c>
      <c r="F28">
        <v>1.7036912166</v>
      </c>
      <c r="G28">
        <v>1.9235041530000001</v>
      </c>
      <c r="H28">
        <v>2.0328654844999998</v>
      </c>
      <c r="I28">
        <v>2.0816748682999999</v>
      </c>
      <c r="J28">
        <v>2.0348232013000001</v>
      </c>
      <c r="K28">
        <v>2.1359951537000001</v>
      </c>
      <c r="L28">
        <v>2.2443627539</v>
      </c>
      <c r="M28">
        <v>1.8876381927000001</v>
      </c>
      <c r="N28">
        <v>1.5575224194999999</v>
      </c>
    </row>
    <row r="29" spans="1:14" x14ac:dyDescent="0.25">
      <c r="A29" t="s">
        <v>87</v>
      </c>
      <c r="B29">
        <v>0.72618742189999996</v>
      </c>
      <c r="C29">
        <v>0.75221367100000003</v>
      </c>
      <c r="D29">
        <v>0.8899704168</v>
      </c>
      <c r="E29">
        <v>0.88482730779999996</v>
      </c>
      <c r="F29">
        <v>0.95076187030000003</v>
      </c>
      <c r="G29">
        <v>1.0042252558</v>
      </c>
      <c r="H29">
        <v>0.96821452559999999</v>
      </c>
      <c r="I29">
        <v>1.0378536549999999</v>
      </c>
      <c r="J29">
        <v>1.2061001285999999</v>
      </c>
      <c r="K29">
        <v>1.3233527581</v>
      </c>
      <c r="L29">
        <v>1.3860836379000001</v>
      </c>
      <c r="M29">
        <v>1.4318329557</v>
      </c>
      <c r="N29">
        <v>1.4572929768</v>
      </c>
    </row>
    <row r="30" spans="1:14" x14ac:dyDescent="0.25">
      <c r="A30" t="s">
        <v>91</v>
      </c>
      <c r="B30">
        <v>1.3599638858</v>
      </c>
      <c r="C30">
        <v>1.3334074037000001</v>
      </c>
      <c r="D30">
        <v>1.2987639268</v>
      </c>
      <c r="E30">
        <v>1.2748203398</v>
      </c>
      <c r="F30">
        <v>1.2415898773</v>
      </c>
      <c r="G30">
        <v>1.221788122</v>
      </c>
      <c r="H30">
        <v>1.1898566070000001</v>
      </c>
      <c r="I30">
        <v>1.2097669575000001</v>
      </c>
      <c r="J30">
        <v>1.2415075187</v>
      </c>
      <c r="K30">
        <v>1.2502478898</v>
      </c>
      <c r="L30">
        <v>1.409102689</v>
      </c>
      <c r="M30">
        <v>1.4112239755</v>
      </c>
      <c r="N30">
        <v>1.4353152943</v>
      </c>
    </row>
    <row r="31" spans="1:14" x14ac:dyDescent="0.25">
      <c r="A31" t="s">
        <v>77</v>
      </c>
      <c r="B31">
        <v>1.2179700180999999</v>
      </c>
      <c r="C31">
        <v>1.2015484646000001</v>
      </c>
      <c r="D31">
        <v>1.2621904262999999</v>
      </c>
      <c r="E31">
        <v>1.3010747534</v>
      </c>
      <c r="F31">
        <v>1.3384048205000001</v>
      </c>
      <c r="G31">
        <v>1.3385044295999999</v>
      </c>
      <c r="H31">
        <v>1.3664224772</v>
      </c>
      <c r="I31">
        <v>1.3701340925000001</v>
      </c>
      <c r="J31">
        <v>1.4244308654</v>
      </c>
      <c r="K31">
        <v>1.4615914577</v>
      </c>
      <c r="L31">
        <v>1.5066010940000001</v>
      </c>
      <c r="M31">
        <v>1.4265785391000001</v>
      </c>
      <c r="N31">
        <v>1.3202802278000001</v>
      </c>
    </row>
    <row r="32" spans="1:14" x14ac:dyDescent="0.25">
      <c r="A32" t="s">
        <v>71</v>
      </c>
      <c r="B32">
        <v>1.5947683403999999</v>
      </c>
      <c r="C32">
        <v>1.5515338888000001</v>
      </c>
      <c r="D32">
        <v>1.5602760571000001</v>
      </c>
      <c r="E32">
        <v>1.5690828369000001</v>
      </c>
      <c r="F32">
        <v>1.5179832583999999</v>
      </c>
      <c r="G32">
        <v>1.1797417056999999</v>
      </c>
      <c r="H32">
        <v>1.1771626208999999</v>
      </c>
      <c r="I32">
        <v>1.2486598021999999</v>
      </c>
      <c r="J32">
        <v>1.1069848195000001</v>
      </c>
      <c r="K32">
        <v>1.1606809664</v>
      </c>
      <c r="L32">
        <v>1.1455087557999999</v>
      </c>
      <c r="M32">
        <v>1.1106451914</v>
      </c>
      <c r="N32">
        <v>0.96264202060000004</v>
      </c>
    </row>
    <row r="33" spans="1:12" x14ac:dyDescent="0.25">
      <c r="A33" t="s">
        <v>97</v>
      </c>
      <c r="B33">
        <v>0.66283928879999998</v>
      </c>
      <c r="C33">
        <v>0.66753481680000004</v>
      </c>
      <c r="D33">
        <v>0.6693393607</v>
      </c>
      <c r="E33">
        <v>0.66329880050000001</v>
      </c>
      <c r="F33">
        <v>0.70986638469999996</v>
      </c>
      <c r="G33">
        <v>0.73146795870000003</v>
      </c>
      <c r="H33">
        <v>0.74992267859999995</v>
      </c>
      <c r="I33">
        <v>0.76256673880000003</v>
      </c>
      <c r="J33">
        <v>0.68585982099999998</v>
      </c>
      <c r="K33">
        <v>0.61304171029999999</v>
      </c>
      <c r="L33">
        <v>0.60239746199999999</v>
      </c>
    </row>
    <row r="34" spans="1:12" x14ac:dyDescent="0.25">
      <c r="A34" t="s">
        <v>73</v>
      </c>
      <c r="B34">
        <v>0.8</v>
      </c>
      <c r="C34">
        <v>0.8</v>
      </c>
      <c r="D34">
        <v>0.7</v>
      </c>
      <c r="E34">
        <v>0.7</v>
      </c>
      <c r="F34">
        <v>0.7</v>
      </c>
      <c r="G34">
        <v>0.7</v>
      </c>
      <c r="H34">
        <v>0.7</v>
      </c>
      <c r="I34">
        <v>0.7</v>
      </c>
      <c r="J34">
        <v>0.7</v>
      </c>
      <c r="K34">
        <v>0.7</v>
      </c>
      <c r="L34" s="63">
        <v>0.6</v>
      </c>
    </row>
    <row r="35" spans="1:12" x14ac:dyDescent="0.25">
      <c r="A35" t="s">
        <v>69</v>
      </c>
      <c r="E35">
        <v>8.4699999999999998E-2</v>
      </c>
      <c r="H35">
        <v>0.24535000000000001</v>
      </c>
      <c r="I35">
        <v>0.23805000000000001</v>
      </c>
      <c r="J35">
        <v>0.22631999999999999</v>
      </c>
      <c r="K35">
        <v>0.27128999999999998</v>
      </c>
      <c r="L35">
        <v>0.28067999999999999</v>
      </c>
    </row>
  </sheetData>
  <sortState xmlns:xlrd2="http://schemas.microsoft.com/office/spreadsheetml/2017/richdata2" ref="A11:N36">
    <sortCondition descending="1" ref="N11:N36"/>
    <sortCondition descending="1" ref="M11:M36"/>
    <sortCondition descending="1" ref="L11:L36"/>
    <sortCondition descending="1" ref="K11:K36"/>
    <sortCondition descending="1" ref="J11:J36"/>
    <sortCondition descending="1" ref="I11:I36"/>
    <sortCondition descending="1" ref="H11:H36"/>
    <sortCondition descending="1" ref="G11:G36"/>
    <sortCondition descending="1" ref="F11:F36"/>
    <sortCondition descending="1" ref="E11:E36"/>
    <sortCondition descending="1" ref="D11:D36"/>
    <sortCondition descending="1" ref="C11:C36"/>
    <sortCondition descending="1" ref="B11:B36"/>
    <sortCondition descending="1" ref="A11:A36"/>
  </sortState>
  <hyperlinks>
    <hyperlink ref="A2" location="Overzicht!A1" display="Terug naar tabblad Overzicht" xr:uid="{FF0570A7-7595-493A-920C-D9356FC4FA63}"/>
  </hyperlink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1AC24E-EE12-4262-98D4-BD3A54D75DAC}">
  <sheetPr>
    <tabColor theme="7" tint="0.59999389629810485"/>
  </sheetPr>
  <dimension ref="A1:T111"/>
  <sheetViews>
    <sheetView workbookViewId="0"/>
  </sheetViews>
  <sheetFormatPr defaultColWidth="9.1796875" defaultRowHeight="13" x14ac:dyDescent="0.3"/>
  <cols>
    <col min="2" max="2" width="10.54296875" bestFit="1" customWidth="1"/>
    <col min="3" max="4" width="9.7265625" bestFit="1" customWidth="1"/>
    <col min="5" max="5" width="10.54296875" style="24" bestFit="1" customWidth="1"/>
    <col min="6" max="6" width="9.54296875" bestFit="1" customWidth="1"/>
    <col min="15" max="15" width="9.54296875" bestFit="1" customWidth="1"/>
    <col min="17" max="17" width="9.54296875" bestFit="1" customWidth="1"/>
    <col min="19" max="19" width="9.54296875" bestFit="1" customWidth="1"/>
    <col min="21" max="21" width="9.54296875" bestFit="1" customWidth="1"/>
  </cols>
  <sheetData>
    <row r="1" spans="1:8" ht="18.5" x14ac:dyDescent="0.45">
      <c r="A1" s="1" t="s">
        <v>19</v>
      </c>
    </row>
    <row r="2" spans="1:8" x14ac:dyDescent="0.3">
      <c r="A2" s="52" t="s">
        <v>48</v>
      </c>
    </row>
    <row r="5" spans="1:8" ht="12.5" x14ac:dyDescent="0.25">
      <c r="A5" s="11"/>
      <c r="B5" t="s">
        <v>129</v>
      </c>
      <c r="C5" s="32" t="s">
        <v>130</v>
      </c>
      <c r="D5" s="32" t="s">
        <v>131</v>
      </c>
      <c r="E5" s="32" t="s">
        <v>132</v>
      </c>
    </row>
    <row r="6" spans="1:8" ht="12.5" x14ac:dyDescent="0.25">
      <c r="A6" s="11" t="s">
        <v>101</v>
      </c>
      <c r="B6">
        <v>1778.3663360719352</v>
      </c>
      <c r="C6" s="34">
        <v>723.45437364699205</v>
      </c>
      <c r="D6" s="34">
        <v>48.242870178459583</v>
      </c>
      <c r="E6" s="34">
        <v>148.1063661220544</v>
      </c>
      <c r="F6" s="11">
        <f t="shared" ref="F6:F29" si="0">SUM(A6:E6)</f>
        <v>2698.1699460194413</v>
      </c>
      <c r="H6" s="11"/>
    </row>
    <row r="7" spans="1:8" ht="12.5" x14ac:dyDescent="0.25">
      <c r="A7" s="11" t="s">
        <v>75</v>
      </c>
      <c r="B7">
        <v>1200.9038093552706</v>
      </c>
      <c r="C7" s="34">
        <v>211.16245273224635</v>
      </c>
      <c r="D7" s="34">
        <v>18.630840909509615</v>
      </c>
      <c r="E7" s="34">
        <v>1237.8480818228441</v>
      </c>
      <c r="F7" s="11">
        <f t="shared" si="0"/>
        <v>2668.5451848198704</v>
      </c>
      <c r="H7" s="11"/>
    </row>
    <row r="8" spans="1:8" ht="12.5" x14ac:dyDescent="0.25">
      <c r="A8" s="11" t="s">
        <v>95</v>
      </c>
      <c r="B8">
        <v>1704.3990528542245</v>
      </c>
      <c r="C8" s="34">
        <v>464.36018016229048</v>
      </c>
      <c r="D8" s="34">
        <v>132.00167284959099</v>
      </c>
      <c r="E8" s="34">
        <v>171.8371559149976</v>
      </c>
      <c r="F8" s="11">
        <f t="shared" si="0"/>
        <v>2472.5980617811038</v>
      </c>
      <c r="H8" s="11"/>
    </row>
    <row r="9" spans="1:8" ht="12.5" x14ac:dyDescent="0.25">
      <c r="A9" s="11" t="s">
        <v>81</v>
      </c>
      <c r="B9">
        <v>1816.0937855935781</v>
      </c>
      <c r="C9" s="34">
        <v>544.04534709216773</v>
      </c>
      <c r="D9" s="34">
        <v>18.82470691164113</v>
      </c>
      <c r="E9" s="34">
        <v>6.9659851340067211</v>
      </c>
      <c r="F9" s="11">
        <f t="shared" si="0"/>
        <v>2385.9298247313932</v>
      </c>
      <c r="H9" s="11"/>
    </row>
    <row r="10" spans="1:8" ht="12.5" x14ac:dyDescent="0.25">
      <c r="A10" s="11" t="s">
        <v>89</v>
      </c>
      <c r="B10">
        <v>1277.2476416953882</v>
      </c>
      <c r="C10" s="34">
        <v>751.30379738102056</v>
      </c>
      <c r="D10" s="34">
        <v>65.244370931965406</v>
      </c>
      <c r="E10" s="34">
        <v>97.155385801121625</v>
      </c>
      <c r="F10" s="11">
        <f t="shared" si="0"/>
        <v>2190.9511958094959</v>
      </c>
      <c r="G10" s="34">
        <v>2020</v>
      </c>
      <c r="H10" s="11"/>
    </row>
    <row r="11" spans="1:8" ht="13" customHeight="1" x14ac:dyDescent="0.25">
      <c r="A11" s="84" t="s">
        <v>99</v>
      </c>
      <c r="B11" s="85">
        <v>1307.7585943623035</v>
      </c>
      <c r="C11" s="34">
        <v>501.40265007179789</v>
      </c>
      <c r="D11" s="34">
        <v>89.194935991473542</v>
      </c>
      <c r="E11" s="34">
        <v>252.53051471902577</v>
      </c>
      <c r="F11" s="84">
        <f t="shared" si="0"/>
        <v>2150.8866951446007</v>
      </c>
      <c r="H11" s="11"/>
    </row>
    <row r="12" spans="1:8" ht="12.5" x14ac:dyDescent="0.25">
      <c r="A12" s="11" t="s">
        <v>53</v>
      </c>
      <c r="B12">
        <v>1357.6107269060437</v>
      </c>
      <c r="C12" s="34">
        <v>363.8396356821512</v>
      </c>
      <c r="D12" s="34">
        <v>64.937938198989301</v>
      </c>
      <c r="E12" s="34">
        <v>321.10929555251192</v>
      </c>
      <c r="F12" s="11">
        <f t="shared" si="0"/>
        <v>2107.497596339696</v>
      </c>
      <c r="H12" s="11"/>
    </row>
    <row r="13" spans="1:8" ht="12.5" x14ac:dyDescent="0.25">
      <c r="A13" s="11" t="s">
        <v>63</v>
      </c>
      <c r="B13">
        <v>1216.6386112300393</v>
      </c>
      <c r="C13" s="34">
        <v>580.70117911410432</v>
      </c>
      <c r="D13" s="34">
        <v>6.2169676674766503</v>
      </c>
      <c r="E13" s="34">
        <v>134.42701212754514</v>
      </c>
      <c r="F13" s="11">
        <f t="shared" si="0"/>
        <v>1937.9837701391655</v>
      </c>
      <c r="H13" s="11"/>
    </row>
    <row r="14" spans="1:8" ht="12.5" x14ac:dyDescent="0.25">
      <c r="A14" s="11" t="s">
        <v>61</v>
      </c>
      <c r="B14">
        <v>1042.8087144387471</v>
      </c>
      <c r="C14" s="34">
        <v>504.3405970542093</v>
      </c>
      <c r="D14" s="34">
        <v>113.68828806497763</v>
      </c>
      <c r="E14" s="34">
        <v>99.332643919862505</v>
      </c>
      <c r="F14" s="11">
        <f t="shared" si="0"/>
        <v>1760.1702434777962</v>
      </c>
      <c r="G14" s="34">
        <v>2019</v>
      </c>
      <c r="H14" s="11"/>
    </row>
    <row r="15" spans="1:8" ht="12.5" x14ac:dyDescent="0.25">
      <c r="A15" s="11" t="s">
        <v>65</v>
      </c>
      <c r="B15">
        <v>1003.0413727947703</v>
      </c>
      <c r="C15" s="34">
        <v>441.66629368210306</v>
      </c>
      <c r="D15" s="34">
        <v>40.13406627381368</v>
      </c>
      <c r="E15" s="34">
        <v>242.02962775342385</v>
      </c>
      <c r="F15" s="11">
        <f t="shared" si="0"/>
        <v>1726.871360504111</v>
      </c>
      <c r="H15" s="11"/>
    </row>
    <row r="16" spans="1:8" ht="12.5" x14ac:dyDescent="0.25">
      <c r="A16" s="11" t="s">
        <v>85</v>
      </c>
      <c r="B16">
        <v>731.70306799674142</v>
      </c>
      <c r="C16" s="34">
        <v>783.98757641472559</v>
      </c>
      <c r="D16" s="34">
        <v>32.393233094146609</v>
      </c>
      <c r="E16" s="34">
        <v>135.96159559384645</v>
      </c>
      <c r="F16" s="11">
        <f t="shared" si="0"/>
        <v>1684.04547309946</v>
      </c>
      <c r="H16" s="11"/>
    </row>
    <row r="17" spans="1:15" ht="12.5" x14ac:dyDescent="0.25">
      <c r="A17" s="28" t="s">
        <v>83</v>
      </c>
      <c r="B17" s="27">
        <v>868.10609259477405</v>
      </c>
      <c r="C17" s="98">
        <v>471.11221576121932</v>
      </c>
      <c r="D17" s="98">
        <v>37.939563595805168</v>
      </c>
      <c r="E17" s="98">
        <v>158.64923863209049</v>
      </c>
      <c r="F17" s="28">
        <f t="shared" si="0"/>
        <v>1535.807110583889</v>
      </c>
      <c r="H17" s="11"/>
    </row>
    <row r="18" spans="1:15" ht="12.5" x14ac:dyDescent="0.25">
      <c r="A18" s="11" t="s">
        <v>93</v>
      </c>
      <c r="B18">
        <v>896.2530944080537</v>
      </c>
      <c r="C18" s="34">
        <v>297.06434452744588</v>
      </c>
      <c r="D18" s="34">
        <v>174.80622346689466</v>
      </c>
      <c r="E18" s="34">
        <v>162.78464607631793</v>
      </c>
      <c r="F18" s="11">
        <f t="shared" si="0"/>
        <v>1530.9083084787121</v>
      </c>
      <c r="H18" s="11"/>
    </row>
    <row r="19" spans="1:15" ht="12.5" x14ac:dyDescent="0.25">
      <c r="A19" s="11" t="s">
        <v>79</v>
      </c>
      <c r="B19">
        <v>1141.2955291242508</v>
      </c>
      <c r="C19" s="34">
        <v>225.94647421687569</v>
      </c>
      <c r="D19" s="34">
        <v>85.665190085695087</v>
      </c>
      <c r="E19" s="34">
        <v>8.9613489007346239</v>
      </c>
      <c r="F19" s="11">
        <f t="shared" si="0"/>
        <v>1461.8685423275563</v>
      </c>
      <c r="H19" s="11"/>
      <c r="O19">
        <v>1</v>
      </c>
    </row>
    <row r="20" spans="1:15" ht="12.5" x14ac:dyDescent="0.25">
      <c r="A20" s="11" t="s">
        <v>71</v>
      </c>
      <c r="B20">
        <v>705.79906886576691</v>
      </c>
      <c r="C20" s="34">
        <v>213.09137180145589</v>
      </c>
      <c r="D20" s="34">
        <v>18.519493384579867</v>
      </c>
      <c r="E20" s="34">
        <v>333.73501891242483</v>
      </c>
      <c r="F20" s="11">
        <f t="shared" si="0"/>
        <v>1271.1449529642275</v>
      </c>
      <c r="H20" s="11"/>
    </row>
    <row r="21" spans="1:15" ht="12.5" x14ac:dyDescent="0.25">
      <c r="A21" s="11" t="s">
        <v>67</v>
      </c>
      <c r="B21">
        <v>657.2860482406976</v>
      </c>
      <c r="C21" s="34">
        <v>384.89052802480882</v>
      </c>
      <c r="D21" s="34">
        <v>52.50536085672173</v>
      </c>
      <c r="E21" s="34">
        <v>91.159971298468136</v>
      </c>
      <c r="F21" s="11">
        <f t="shared" si="0"/>
        <v>1185.8419084206964</v>
      </c>
      <c r="H21" s="11"/>
    </row>
    <row r="22" spans="1:15" ht="12.5" x14ac:dyDescent="0.25">
      <c r="A22" s="11" t="s">
        <v>57</v>
      </c>
      <c r="B22">
        <v>482.50920242789658</v>
      </c>
      <c r="C22" s="34">
        <v>301.60980319862551</v>
      </c>
      <c r="D22" s="34">
        <v>147.36996262093012</v>
      </c>
      <c r="E22" s="34">
        <v>108.4554281303507</v>
      </c>
      <c r="F22" s="11">
        <f t="shared" si="0"/>
        <v>1039.9443963778028</v>
      </c>
      <c r="H22" s="11"/>
    </row>
    <row r="23" spans="1:15" ht="12.5" x14ac:dyDescent="0.25">
      <c r="A23" s="11" t="s">
        <v>77</v>
      </c>
      <c r="B23">
        <v>383.79380082177801</v>
      </c>
      <c r="C23" s="34">
        <v>250.21293527951221</v>
      </c>
      <c r="D23" s="34">
        <v>15.203054225180095</v>
      </c>
      <c r="E23" s="34">
        <v>62.675458737510105</v>
      </c>
      <c r="F23" s="11">
        <f t="shared" si="0"/>
        <v>711.88524906398038</v>
      </c>
      <c r="H23" s="11"/>
    </row>
    <row r="24" spans="1:15" ht="12.5" x14ac:dyDescent="0.25">
      <c r="A24" s="11" t="s">
        <v>91</v>
      </c>
      <c r="B24">
        <v>309.54751643715093</v>
      </c>
      <c r="C24" s="34">
        <v>230.79030982330409</v>
      </c>
      <c r="D24" s="34">
        <v>29.873897756640687</v>
      </c>
      <c r="E24" s="34">
        <v>45.922965663657664</v>
      </c>
      <c r="F24" s="11">
        <f t="shared" si="0"/>
        <v>616.13468968075335</v>
      </c>
      <c r="H24" s="11"/>
    </row>
    <row r="25" spans="1:15" ht="12.5" x14ac:dyDescent="0.25">
      <c r="A25" s="11" t="s">
        <v>87</v>
      </c>
      <c r="B25">
        <v>292.09363036847776</v>
      </c>
      <c r="C25" s="34">
        <v>214.28765341470432</v>
      </c>
      <c r="D25" s="34">
        <v>19.844025107401013</v>
      </c>
      <c r="E25" s="34">
        <v>46.834254471382195</v>
      </c>
      <c r="F25" s="11">
        <f t="shared" si="0"/>
        <v>573.05956336196527</v>
      </c>
      <c r="H25" s="11"/>
    </row>
    <row r="26" spans="1:15" ht="12.5" x14ac:dyDescent="0.25">
      <c r="A26" s="11" t="s">
        <v>59</v>
      </c>
      <c r="B26">
        <v>387.18791077530261</v>
      </c>
      <c r="C26" s="34">
        <v>94.088847179190438</v>
      </c>
      <c r="D26" s="34">
        <v>0</v>
      </c>
      <c r="E26" s="34">
        <v>1.0363932678207772</v>
      </c>
      <c r="F26" s="11">
        <f t="shared" si="0"/>
        <v>482.31315122231382</v>
      </c>
      <c r="H26" s="11"/>
    </row>
    <row r="27" spans="1:15" ht="12.5" x14ac:dyDescent="0.25">
      <c r="A27" s="11" t="s">
        <v>97</v>
      </c>
      <c r="B27">
        <v>25.5523897293067</v>
      </c>
      <c r="C27" s="34">
        <v>46.233741097995697</v>
      </c>
      <c r="D27" s="34">
        <v>3.4969204094347237</v>
      </c>
      <c r="E27" s="34">
        <v>12.773119242403036</v>
      </c>
      <c r="F27" s="11">
        <f t="shared" si="0"/>
        <v>88.056170479140164</v>
      </c>
      <c r="H27" s="11"/>
    </row>
    <row r="28" spans="1:15" ht="12.5" x14ac:dyDescent="0.25">
      <c r="A28" t="s">
        <v>73</v>
      </c>
      <c r="B28" s="63">
        <v>19.493600000000001</v>
      </c>
      <c r="C28" s="63">
        <v>27.706400000000002</v>
      </c>
      <c r="D28" s="63">
        <v>0</v>
      </c>
      <c r="E28" s="34">
        <v>0</v>
      </c>
      <c r="F28" s="11">
        <f t="shared" si="0"/>
        <v>47.2</v>
      </c>
      <c r="H28" s="11"/>
    </row>
    <row r="29" spans="1:15" ht="12.5" x14ac:dyDescent="0.25">
      <c r="A29" t="s">
        <v>69</v>
      </c>
      <c r="B29" s="63">
        <v>2.1072000000000002</v>
      </c>
      <c r="C29" s="63">
        <v>24.232800000000001</v>
      </c>
      <c r="D29" s="63">
        <v>0</v>
      </c>
      <c r="E29" s="34">
        <v>0</v>
      </c>
      <c r="F29" s="11">
        <f t="shared" si="0"/>
        <v>26.34</v>
      </c>
      <c r="H29" s="11"/>
    </row>
    <row r="31" spans="1:15" x14ac:dyDescent="0.3">
      <c r="A31" t="s">
        <v>133</v>
      </c>
    </row>
    <row r="32" spans="1:15" x14ac:dyDescent="0.3">
      <c r="A32" t="s">
        <v>134</v>
      </c>
      <c r="F32" s="2"/>
    </row>
    <row r="33" spans="1:7" x14ac:dyDescent="0.3">
      <c r="B33" s="2"/>
      <c r="C33" s="2"/>
      <c r="D33" s="2"/>
      <c r="F33" s="2"/>
    </row>
    <row r="34" spans="1:7" x14ac:dyDescent="0.3">
      <c r="A34" s="4"/>
      <c r="B34" s="4"/>
      <c r="C34" s="4"/>
      <c r="D34" s="4"/>
    </row>
    <row r="35" spans="1:7" x14ac:dyDescent="0.3">
      <c r="A35" s="4"/>
      <c r="B35" s="4"/>
      <c r="C35" s="4"/>
      <c r="D35" s="4"/>
    </row>
    <row r="36" spans="1:7" x14ac:dyDescent="0.3">
      <c r="A36" s="4"/>
      <c r="B36" s="4"/>
      <c r="C36" s="4"/>
      <c r="D36" s="4"/>
    </row>
    <row r="37" spans="1:7" x14ac:dyDescent="0.3">
      <c r="A37" s="4"/>
      <c r="B37" s="4"/>
      <c r="C37" s="4"/>
      <c r="D37" s="4"/>
    </row>
    <row r="38" spans="1:7" x14ac:dyDescent="0.3">
      <c r="A38" s="4"/>
      <c r="B38" s="4"/>
      <c r="C38" s="4"/>
      <c r="D38" s="4"/>
    </row>
    <row r="39" spans="1:7" x14ac:dyDescent="0.3">
      <c r="A39" s="4"/>
      <c r="B39" s="4"/>
      <c r="C39" s="4"/>
      <c r="D39" s="4"/>
      <c r="F39" s="2"/>
    </row>
    <row r="40" spans="1:7" x14ac:dyDescent="0.3">
      <c r="A40" s="4"/>
      <c r="B40" s="4"/>
      <c r="C40" s="4"/>
      <c r="D40" s="4"/>
      <c r="F40" s="2"/>
    </row>
    <row r="41" spans="1:7" x14ac:dyDescent="0.3">
      <c r="A41" s="4"/>
      <c r="B41" s="4"/>
      <c r="C41" s="4"/>
      <c r="D41" s="4"/>
      <c r="F41" s="2"/>
    </row>
    <row r="42" spans="1:7" x14ac:dyDescent="0.3">
      <c r="A42" s="4"/>
      <c r="B42" s="4"/>
      <c r="C42" s="4"/>
      <c r="D42" s="4"/>
      <c r="F42" s="2"/>
    </row>
    <row r="43" spans="1:7" x14ac:dyDescent="0.3">
      <c r="A43" s="4"/>
      <c r="B43" s="4" t="s">
        <v>129</v>
      </c>
      <c r="C43" s="4" t="s">
        <v>130</v>
      </c>
      <c r="D43" s="4" t="s">
        <v>135</v>
      </c>
      <c r="E43" s="4" t="s">
        <v>132</v>
      </c>
      <c r="F43" s="2" t="s">
        <v>103</v>
      </c>
      <c r="G43" s="4" t="s">
        <v>136</v>
      </c>
    </row>
    <row r="44" spans="1:7" ht="12.5" x14ac:dyDescent="0.25">
      <c r="A44" t="s">
        <v>137</v>
      </c>
      <c r="B44">
        <v>1357.6107269060437</v>
      </c>
      <c r="C44">
        <v>363.8396356821512</v>
      </c>
      <c r="D44">
        <v>64.937938198989301</v>
      </c>
      <c r="E44">
        <v>321.10929555251192</v>
      </c>
      <c r="F44" s="2">
        <v>2107.497596339696</v>
      </c>
    </row>
    <row r="45" spans="1:7" ht="12.5" x14ac:dyDescent="0.25">
      <c r="A45" t="s">
        <v>58</v>
      </c>
      <c r="B45">
        <v>482.50920242789658</v>
      </c>
      <c r="C45">
        <v>301.60980319862551</v>
      </c>
      <c r="D45">
        <v>147.36996262093012</v>
      </c>
      <c r="E45">
        <v>108.4554281303507</v>
      </c>
      <c r="F45" s="2">
        <v>1039.9443963778028</v>
      </c>
    </row>
    <row r="46" spans="1:7" ht="12.5" x14ac:dyDescent="0.25">
      <c r="A46" t="s">
        <v>138</v>
      </c>
      <c r="B46">
        <v>1042.8087144387471</v>
      </c>
      <c r="C46">
        <v>504.3405970542093</v>
      </c>
      <c r="D46">
        <v>113.68828806497763</v>
      </c>
      <c r="E46">
        <v>99.332643919862505</v>
      </c>
      <c r="F46" s="2">
        <v>1760.1702434777962</v>
      </c>
    </row>
    <row r="47" spans="1:7" ht="12.5" x14ac:dyDescent="0.25">
      <c r="A47" t="s">
        <v>66</v>
      </c>
      <c r="B47">
        <v>1003.0413727947703</v>
      </c>
      <c r="C47">
        <v>441.66629368210306</v>
      </c>
      <c r="D47">
        <v>40.13406627381368</v>
      </c>
      <c r="E47">
        <v>242.02962775342385</v>
      </c>
      <c r="F47" s="2">
        <v>1726.871360504111</v>
      </c>
    </row>
    <row r="48" spans="1:7" ht="12.5" x14ac:dyDescent="0.25">
      <c r="A48" t="s">
        <v>139</v>
      </c>
      <c r="B48">
        <v>657.2860482406976</v>
      </c>
      <c r="C48">
        <v>384.89052802480882</v>
      </c>
      <c r="D48">
        <v>52.50536085672173</v>
      </c>
      <c r="E48">
        <v>91.159971298468136</v>
      </c>
      <c r="F48" s="2">
        <v>1185.8419084206964</v>
      </c>
    </row>
    <row r="49" spans="1:6" ht="12.5" x14ac:dyDescent="0.25">
      <c r="A49" t="s">
        <v>140</v>
      </c>
      <c r="B49">
        <v>1216.6386112300393</v>
      </c>
      <c r="C49">
        <v>580.70117911410432</v>
      </c>
      <c r="D49">
        <v>6.2169676674766503</v>
      </c>
      <c r="E49">
        <v>134.42701212754514</v>
      </c>
      <c r="F49" s="2">
        <v>1937.9837701391655</v>
      </c>
    </row>
    <row r="50" spans="1:6" ht="12.5" x14ac:dyDescent="0.25">
      <c r="A50" t="s">
        <v>141</v>
      </c>
      <c r="B50">
        <v>705.79906886576691</v>
      </c>
      <c r="C50">
        <v>213.09137180145589</v>
      </c>
      <c r="D50">
        <v>18.519493384579867</v>
      </c>
      <c r="E50">
        <v>333.73501891242483</v>
      </c>
      <c r="F50" s="2">
        <v>1271.1449529642275</v>
      </c>
    </row>
    <row r="51" spans="1:6" ht="12.5" x14ac:dyDescent="0.25">
      <c r="A51" t="s">
        <v>142</v>
      </c>
      <c r="B51">
        <v>1200.9038093552706</v>
      </c>
      <c r="C51">
        <v>211.16245273224635</v>
      </c>
      <c r="D51">
        <v>18.630840909509615</v>
      </c>
      <c r="E51">
        <v>1237.8480818228441</v>
      </c>
      <c r="F51" s="2">
        <v>2668.5451848198704</v>
      </c>
    </row>
    <row r="52" spans="1:6" ht="12.5" x14ac:dyDescent="0.25">
      <c r="A52" t="s">
        <v>143</v>
      </c>
      <c r="B52">
        <v>383.79380082177801</v>
      </c>
      <c r="C52">
        <v>250.21293527951221</v>
      </c>
      <c r="D52">
        <v>15.203054225180095</v>
      </c>
      <c r="E52">
        <v>62.675458737510105</v>
      </c>
      <c r="F52" s="2">
        <v>711.88524906398038</v>
      </c>
    </row>
    <row r="53" spans="1:6" ht="12.5" x14ac:dyDescent="0.25">
      <c r="A53" t="s">
        <v>80</v>
      </c>
      <c r="B53">
        <v>1141.2955291242508</v>
      </c>
      <c r="C53">
        <v>225.94647421687569</v>
      </c>
      <c r="D53">
        <v>85.665190085695087</v>
      </c>
      <c r="E53">
        <v>8.9613489007346239</v>
      </c>
      <c r="F53" s="2">
        <v>1461.8685423275563</v>
      </c>
    </row>
    <row r="54" spans="1:6" ht="12.5" x14ac:dyDescent="0.25">
      <c r="A54" t="s">
        <v>144</v>
      </c>
      <c r="B54">
        <v>1816.0937855935781</v>
      </c>
      <c r="C54">
        <v>544.04534709216773</v>
      </c>
      <c r="D54">
        <v>18.82470691164113</v>
      </c>
      <c r="E54">
        <v>6.9659851340067211</v>
      </c>
      <c r="F54" s="2">
        <v>2385.9298247313932</v>
      </c>
    </row>
    <row r="55" spans="1:6" ht="12.5" x14ac:dyDescent="0.25">
      <c r="A55" t="s">
        <v>145</v>
      </c>
      <c r="B55">
        <v>868.10609259477405</v>
      </c>
      <c r="C55">
        <v>471.11221576121932</v>
      </c>
      <c r="D55">
        <v>37.939563595805168</v>
      </c>
      <c r="E55">
        <v>158.64923863209049</v>
      </c>
      <c r="F55" s="2">
        <v>1535.807110583889</v>
      </c>
    </row>
    <row r="56" spans="1:6" ht="12.5" x14ac:dyDescent="0.25">
      <c r="A56" t="s">
        <v>146</v>
      </c>
      <c r="B56">
        <v>731.70306799674142</v>
      </c>
      <c r="C56">
        <v>783.98757641472559</v>
      </c>
      <c r="D56">
        <v>32.393233094146609</v>
      </c>
      <c r="E56">
        <v>135.96159559384645</v>
      </c>
      <c r="F56" s="2">
        <v>1684.04547309946</v>
      </c>
    </row>
    <row r="57" spans="1:6" ht="12.5" x14ac:dyDescent="0.25">
      <c r="A57" t="s">
        <v>147</v>
      </c>
      <c r="B57">
        <v>292.09363036847776</v>
      </c>
      <c r="C57">
        <v>214.28765341470432</v>
      </c>
      <c r="D57">
        <v>19.844025107401013</v>
      </c>
      <c r="E57">
        <v>46.834254471382195</v>
      </c>
      <c r="F57" s="2">
        <v>573.05956336196527</v>
      </c>
    </row>
    <row r="58" spans="1:6" ht="12.5" x14ac:dyDescent="0.25">
      <c r="A58" t="s">
        <v>148</v>
      </c>
      <c r="B58">
        <v>309.54751643715093</v>
      </c>
      <c r="C58">
        <v>230.79030982330409</v>
      </c>
      <c r="D58">
        <v>29.873897756640687</v>
      </c>
      <c r="E58">
        <v>45.922965663657664</v>
      </c>
      <c r="F58" s="2">
        <v>616.13468968075335</v>
      </c>
    </row>
    <row r="59" spans="1:6" ht="12.5" x14ac:dyDescent="0.25">
      <c r="A59" t="s">
        <v>149</v>
      </c>
      <c r="B59">
        <v>1307.7585943623035</v>
      </c>
      <c r="C59">
        <v>501.40265007179789</v>
      </c>
      <c r="D59">
        <v>89.194935991473542</v>
      </c>
      <c r="E59">
        <v>252.53051471902577</v>
      </c>
      <c r="F59" s="2">
        <v>2150.8866951446007</v>
      </c>
    </row>
    <row r="60" spans="1:6" ht="12.5" x14ac:dyDescent="0.25">
      <c r="A60" t="s">
        <v>150</v>
      </c>
      <c r="B60">
        <v>1778.3663360719352</v>
      </c>
      <c r="C60">
        <v>723.45437364699205</v>
      </c>
      <c r="D60">
        <v>48.242870178459583</v>
      </c>
      <c r="E60">
        <v>148.1063661220544</v>
      </c>
      <c r="F60" s="2">
        <v>2698.1699460194413</v>
      </c>
    </row>
    <row r="61" spans="1:6" ht="12.5" x14ac:dyDescent="0.25">
      <c r="A61" t="s">
        <v>151</v>
      </c>
      <c r="B61">
        <v>896.2530944080537</v>
      </c>
      <c r="C61">
        <v>297.06434452744588</v>
      </c>
      <c r="D61">
        <v>174.80622346689466</v>
      </c>
      <c r="E61">
        <v>162.78464607631793</v>
      </c>
      <c r="F61">
        <v>1530.9083084787121</v>
      </c>
    </row>
    <row r="62" spans="1:6" ht="12.5" x14ac:dyDescent="0.25">
      <c r="A62" t="s">
        <v>152</v>
      </c>
      <c r="B62">
        <v>1704.3990528542245</v>
      </c>
      <c r="C62">
        <v>464.36018016229048</v>
      </c>
      <c r="D62">
        <v>132.00167284959099</v>
      </c>
      <c r="E62">
        <v>171.8371559149976</v>
      </c>
      <c r="F62">
        <v>2472.5980617811038</v>
      </c>
    </row>
    <row r="63" spans="1:6" ht="12.5" x14ac:dyDescent="0.25">
      <c r="A63" t="s">
        <v>60</v>
      </c>
      <c r="B63">
        <v>387.18791077530261</v>
      </c>
      <c r="C63">
        <v>94.088847179190438</v>
      </c>
      <c r="D63">
        <v>0</v>
      </c>
      <c r="E63">
        <v>1.0363932678207772</v>
      </c>
      <c r="F63">
        <v>482.31315122231382</v>
      </c>
    </row>
    <row r="64" spans="1:6" ht="12.5" x14ac:dyDescent="0.25">
      <c r="A64" t="s">
        <v>90</v>
      </c>
      <c r="B64">
        <v>1277.2476416953882</v>
      </c>
      <c r="C64">
        <v>751.30379738102056</v>
      </c>
      <c r="D64">
        <v>65.244370931965406</v>
      </c>
      <c r="E64">
        <v>97.155385801121625</v>
      </c>
      <c r="F64">
        <v>2190.9511958094959</v>
      </c>
    </row>
    <row r="65" spans="1:20" x14ac:dyDescent="0.3">
      <c r="A65" t="s">
        <v>153</v>
      </c>
      <c r="B65">
        <v>25.5523897293067</v>
      </c>
      <c r="C65">
        <v>46.233741097995697</v>
      </c>
      <c r="D65">
        <v>3.4969204094347237</v>
      </c>
      <c r="E65">
        <v>12.773119242403036</v>
      </c>
      <c r="F65">
        <v>88.056170479140164</v>
      </c>
      <c r="J65" s="4"/>
    </row>
    <row r="66" spans="1:20" ht="12.5" x14ac:dyDescent="0.25">
      <c r="A66" t="s">
        <v>73</v>
      </c>
      <c r="B66">
        <v>19.493600000000001</v>
      </c>
      <c r="C66">
        <v>27.706400000000002</v>
      </c>
      <c r="D66" t="s">
        <v>154</v>
      </c>
      <c r="E66" t="s">
        <v>154</v>
      </c>
      <c r="F66">
        <v>47.2</v>
      </c>
      <c r="G66">
        <v>2018</v>
      </c>
    </row>
    <row r="67" spans="1:20" ht="12.5" x14ac:dyDescent="0.25">
      <c r="A67" t="s">
        <v>69</v>
      </c>
      <c r="B67">
        <v>2.1072000000000002</v>
      </c>
      <c r="C67">
        <v>24.232800000000001</v>
      </c>
      <c r="D67" t="s">
        <v>154</v>
      </c>
      <c r="E67" t="s">
        <v>154</v>
      </c>
      <c r="F67">
        <v>26.34</v>
      </c>
      <c r="G67">
        <v>2019</v>
      </c>
    </row>
    <row r="68" spans="1:20" x14ac:dyDescent="0.3">
      <c r="A68" s="4"/>
      <c r="B68" s="4"/>
      <c r="C68" s="4"/>
      <c r="D68" s="4"/>
    </row>
    <row r="69" spans="1:20" x14ac:dyDescent="0.3">
      <c r="A69" s="4"/>
      <c r="B69" s="4"/>
      <c r="C69" s="4"/>
      <c r="D69" s="4"/>
    </row>
    <row r="70" spans="1:20" x14ac:dyDescent="0.3">
      <c r="A70" s="4"/>
      <c r="B70" s="4"/>
      <c r="C70" s="4"/>
      <c r="D70" s="4"/>
    </row>
    <row r="71" spans="1:20" x14ac:dyDescent="0.3">
      <c r="A71" s="4"/>
      <c r="B71" s="4"/>
      <c r="C71" s="4"/>
      <c r="D71" s="4"/>
    </row>
    <row r="72" spans="1:20" x14ac:dyDescent="0.3">
      <c r="A72" s="4"/>
      <c r="B72" s="4"/>
      <c r="C72" s="4"/>
      <c r="D72" s="4"/>
      <c r="G72" t="s">
        <v>129</v>
      </c>
      <c r="H72" t="s">
        <v>130</v>
      </c>
      <c r="I72" t="s">
        <v>135</v>
      </c>
      <c r="J72" t="s">
        <v>132</v>
      </c>
      <c r="O72" t="s">
        <v>129</v>
      </c>
      <c r="P72" t="s">
        <v>130</v>
      </c>
      <c r="Q72" t="s">
        <v>135</v>
      </c>
      <c r="R72" t="s">
        <v>132</v>
      </c>
      <c r="S72" t="s">
        <v>103</v>
      </c>
    </row>
    <row r="73" spans="1:20" x14ac:dyDescent="0.3">
      <c r="A73" t="s">
        <v>137</v>
      </c>
      <c r="B73">
        <v>2107.497596339696</v>
      </c>
      <c r="C73" s="4"/>
      <c r="D73" s="4"/>
      <c r="F73" t="s">
        <v>137</v>
      </c>
      <c r="G73" s="2">
        <v>64.418138804236051</v>
      </c>
      <c r="H73" s="2">
        <v>17.264059342894068</v>
      </c>
      <c r="I73" s="2">
        <v>3.0812817206422238</v>
      </c>
      <c r="J73" s="2">
        <v>15.236520132227666</v>
      </c>
      <c r="K73" s="11">
        <f t="shared" ref="K73:K94" si="1">SUM(G73+H73+I73+J73)</f>
        <v>100.00000000000001</v>
      </c>
      <c r="N73" t="s">
        <v>137</v>
      </c>
      <c r="O73" s="11">
        <f>$B$73*G73/100</f>
        <v>1357.6107269060437</v>
      </c>
      <c r="P73" s="11">
        <f t="shared" ref="P73:R73" si="2">$B$73*H73/100</f>
        <v>363.8396356821512</v>
      </c>
      <c r="Q73" s="11">
        <f t="shared" si="2"/>
        <v>64.937938198989301</v>
      </c>
      <c r="R73" s="11">
        <f t="shared" si="2"/>
        <v>321.10929555251192</v>
      </c>
      <c r="S73" s="11">
        <f>SUM(O73:R73)</f>
        <v>2107.497596339696</v>
      </c>
      <c r="T73" s="11">
        <f>B73-S73</f>
        <v>0</v>
      </c>
    </row>
    <row r="74" spans="1:20" x14ac:dyDescent="0.3">
      <c r="A74" t="s">
        <v>58</v>
      </c>
      <c r="B74">
        <v>1039.9443963778028</v>
      </c>
      <c r="C74" s="4"/>
      <c r="D74" s="4"/>
      <c r="F74" t="s">
        <v>58</v>
      </c>
      <c r="G74" s="2">
        <v>46.397596266541655</v>
      </c>
      <c r="H74" s="2">
        <v>29.002493234172228</v>
      </c>
      <c r="I74" s="2">
        <v>14.170946363500756</v>
      </c>
      <c r="J74" s="2">
        <v>10.428964135785369</v>
      </c>
      <c r="K74" s="11">
        <f t="shared" si="1"/>
        <v>100</v>
      </c>
      <c r="N74" t="s">
        <v>58</v>
      </c>
      <c r="O74" s="11">
        <f>$B$74*G74/100</f>
        <v>482.50920242789658</v>
      </c>
      <c r="P74" s="11">
        <f t="shared" ref="P74:R74" si="3">$B$74*H74/100</f>
        <v>301.60980319862551</v>
      </c>
      <c r="Q74" s="11">
        <f t="shared" si="3"/>
        <v>147.36996262093012</v>
      </c>
      <c r="R74" s="11">
        <f t="shared" si="3"/>
        <v>108.4554281303507</v>
      </c>
      <c r="S74" s="11">
        <f t="shared" ref="S74:S94" si="4">SUM(O74:R74)</f>
        <v>1039.9443963778028</v>
      </c>
      <c r="T74" s="11">
        <f t="shared" ref="T74:T94" si="5">B74-S74</f>
        <v>0</v>
      </c>
    </row>
    <row r="75" spans="1:20" x14ac:dyDescent="0.3">
      <c r="A75" t="s">
        <v>60</v>
      </c>
      <c r="B75">
        <v>496.32920648692703</v>
      </c>
      <c r="D75" s="4"/>
      <c r="F75" t="s">
        <v>60</v>
      </c>
      <c r="G75" s="2">
        <v>78.01030157299455</v>
      </c>
      <c r="H75" s="2">
        <v>18.956943486191694</v>
      </c>
      <c r="I75" s="2">
        <v>0</v>
      </c>
      <c r="J75" s="2">
        <v>0.20881166255689107</v>
      </c>
      <c r="K75" s="11">
        <f t="shared" si="1"/>
        <v>97.176056721743137</v>
      </c>
      <c r="N75" t="s">
        <v>60</v>
      </c>
      <c r="O75" s="11">
        <f>$B$75*G75/100</f>
        <v>387.18791077530261</v>
      </c>
      <c r="P75" s="11">
        <f t="shared" ref="P75:R75" si="6">$B$75*H75/100</f>
        <v>94.088847179190438</v>
      </c>
      <c r="Q75" s="11">
        <f t="shared" si="6"/>
        <v>0</v>
      </c>
      <c r="R75" s="11">
        <f t="shared" si="6"/>
        <v>1.0363932678207772</v>
      </c>
      <c r="S75" s="11">
        <f t="shared" si="4"/>
        <v>482.31315122231382</v>
      </c>
      <c r="T75" s="11">
        <f t="shared" si="5"/>
        <v>14.016055264613215</v>
      </c>
    </row>
    <row r="76" spans="1:20" x14ac:dyDescent="0.3">
      <c r="A76" t="s">
        <v>138</v>
      </c>
      <c r="B76">
        <v>1760.1439510892524</v>
      </c>
      <c r="C76">
        <v>2019</v>
      </c>
      <c r="D76" s="4"/>
      <c r="F76" t="s">
        <v>138</v>
      </c>
      <c r="G76" s="2">
        <v>59.245649413697812</v>
      </c>
      <c r="H76" s="2">
        <v>28.653372171185303</v>
      </c>
      <c r="I76" s="2">
        <v>6.459033534991411</v>
      </c>
      <c r="J76" s="2">
        <v>5.6434386436627086</v>
      </c>
      <c r="K76" s="11">
        <f t="shared" si="1"/>
        <v>100.00149376353723</v>
      </c>
      <c r="N76" t="s">
        <v>138</v>
      </c>
      <c r="O76" s="11">
        <f>$B$76*G76/100</f>
        <v>1042.8087144387471</v>
      </c>
      <c r="P76" s="11">
        <f t="shared" ref="P76:R76" si="7">$B$76*H76/100</f>
        <v>504.3405970542093</v>
      </c>
      <c r="Q76" s="11">
        <f t="shared" si="7"/>
        <v>113.68828806497763</v>
      </c>
      <c r="R76" s="11">
        <f t="shared" si="7"/>
        <v>99.332643919862505</v>
      </c>
      <c r="S76" s="11">
        <f t="shared" si="4"/>
        <v>1760.1702434777962</v>
      </c>
      <c r="T76" s="11">
        <f t="shared" si="5"/>
        <v>-2.6292388543879497E-2</v>
      </c>
    </row>
    <row r="77" spans="1:20" x14ac:dyDescent="0.3">
      <c r="A77" t="s">
        <v>66</v>
      </c>
      <c r="B77">
        <v>1726.871360504111</v>
      </c>
      <c r="C77" s="4"/>
      <c r="D77" s="4"/>
      <c r="F77" t="s">
        <v>66</v>
      </c>
      <c r="G77" s="2">
        <v>58.084313385217122</v>
      </c>
      <c r="H77" s="2">
        <v>25.576096968402506</v>
      </c>
      <c r="I77" s="2">
        <v>2.3240912549558805</v>
      </c>
      <c r="J77" s="2">
        <v>14.015498391424488</v>
      </c>
      <c r="K77" s="11">
        <f t="shared" si="1"/>
        <v>99.999999999999986</v>
      </c>
      <c r="N77" t="s">
        <v>66</v>
      </c>
      <c r="O77" s="11">
        <f>$B$77*G77/100</f>
        <v>1003.0413727947703</v>
      </c>
      <c r="P77" s="11">
        <f t="shared" ref="P77:R77" si="8">$B$77*H77/100</f>
        <v>441.66629368210306</v>
      </c>
      <c r="Q77" s="11">
        <f t="shared" si="8"/>
        <v>40.13406627381368</v>
      </c>
      <c r="R77" s="11">
        <f t="shared" si="8"/>
        <v>242.02962775342385</v>
      </c>
      <c r="S77" s="11">
        <f t="shared" si="4"/>
        <v>1726.871360504111</v>
      </c>
      <c r="T77" s="11">
        <f t="shared" si="5"/>
        <v>0</v>
      </c>
    </row>
    <row r="78" spans="1:20" x14ac:dyDescent="0.3">
      <c r="A78" t="s">
        <v>139</v>
      </c>
      <c r="B78">
        <v>1185.8419084206962</v>
      </c>
      <c r="C78" s="4"/>
      <c r="D78" s="4"/>
      <c r="F78" t="s">
        <v>139</v>
      </c>
      <c r="G78" s="2">
        <v>55.427797210850038</v>
      </c>
      <c r="H78" s="2">
        <v>32.457153461324864</v>
      </c>
      <c r="I78" s="2">
        <v>4.4276863959588297</v>
      </c>
      <c r="J78" s="2">
        <v>7.687362931866268</v>
      </c>
      <c r="K78" s="11">
        <f t="shared" si="1"/>
        <v>100</v>
      </c>
      <c r="N78" t="s">
        <v>139</v>
      </c>
      <c r="O78" s="11">
        <f>$B$78*G78/100</f>
        <v>657.2860482406976</v>
      </c>
      <c r="P78" s="11">
        <f t="shared" ref="P78:R78" si="9">$B$78*H78/100</f>
        <v>384.89052802480882</v>
      </c>
      <c r="Q78" s="11">
        <f t="shared" si="9"/>
        <v>52.50536085672173</v>
      </c>
      <c r="R78" s="11">
        <f t="shared" si="9"/>
        <v>91.159971298468136</v>
      </c>
      <c r="S78" s="11">
        <f t="shared" si="4"/>
        <v>1185.8419084206964</v>
      </c>
      <c r="T78" s="11">
        <f t="shared" si="5"/>
        <v>0</v>
      </c>
    </row>
    <row r="79" spans="1:20" x14ac:dyDescent="0.3">
      <c r="A79" t="s">
        <v>140</v>
      </c>
      <c r="B79">
        <v>1937.9837530166835</v>
      </c>
      <c r="C79" s="4"/>
      <c r="D79" s="4"/>
      <c r="F79" t="s">
        <v>140</v>
      </c>
      <c r="G79" s="2">
        <v>62.778576411500268</v>
      </c>
      <c r="H79" s="2">
        <v>29.964192331859309</v>
      </c>
      <c r="I79" s="2">
        <v>0.32079565464876891</v>
      </c>
      <c r="J79" s="2">
        <v>6.9364364855120595</v>
      </c>
      <c r="K79" s="11">
        <f t="shared" si="1"/>
        <v>100.0000008835204</v>
      </c>
      <c r="N79" t="s">
        <v>140</v>
      </c>
      <c r="O79" s="11">
        <f>$B$79*G79/100</f>
        <v>1216.6386112300393</v>
      </c>
      <c r="P79" s="11">
        <f t="shared" ref="P79:R79" si="10">$B$79*H79/100</f>
        <v>580.70117911410432</v>
      </c>
      <c r="Q79" s="11">
        <f t="shared" si="10"/>
        <v>6.2169676674766503</v>
      </c>
      <c r="R79" s="11">
        <f t="shared" si="10"/>
        <v>134.42701212754514</v>
      </c>
      <c r="S79" s="11">
        <f t="shared" si="4"/>
        <v>1937.9837701391655</v>
      </c>
      <c r="T79" s="11">
        <f t="shared" si="5"/>
        <v>-1.7122481949627399E-5</v>
      </c>
    </row>
    <row r="80" spans="1:20" x14ac:dyDescent="0.3">
      <c r="A80" t="s">
        <v>141</v>
      </c>
      <c r="B80">
        <v>1271.14487570901</v>
      </c>
      <c r="C80" s="4"/>
      <c r="D80" s="4"/>
      <c r="F80" t="s">
        <v>141</v>
      </c>
      <c r="G80" s="2">
        <v>55.524675617489429</v>
      </c>
      <c r="H80" s="2">
        <v>16.763736051927154</v>
      </c>
      <c r="I80" s="2">
        <v>1.4569144507820322</v>
      </c>
      <c r="J80" s="2">
        <v>26.254679957410566</v>
      </c>
      <c r="K80" s="11">
        <f t="shared" si="1"/>
        <v>100.00000607760919</v>
      </c>
      <c r="N80" t="s">
        <v>141</v>
      </c>
      <c r="O80" s="11">
        <f>$B$80*G80/100</f>
        <v>705.79906886576691</v>
      </c>
      <c r="P80" s="11">
        <f t="shared" ref="P80:R80" si="11">$B$80*H80/100</f>
        <v>213.09137180145589</v>
      </c>
      <c r="Q80" s="11">
        <f t="shared" si="11"/>
        <v>18.519493384579867</v>
      </c>
      <c r="R80" s="11">
        <f t="shared" si="11"/>
        <v>333.73501891242483</v>
      </c>
      <c r="S80" s="11">
        <f t="shared" si="4"/>
        <v>1271.1449529642275</v>
      </c>
      <c r="T80" s="11">
        <f t="shared" si="5"/>
        <v>-7.7255217547644861E-5</v>
      </c>
    </row>
    <row r="81" spans="1:20" x14ac:dyDescent="0.3">
      <c r="A81" t="s">
        <v>142</v>
      </c>
      <c r="B81">
        <v>2668.5451848198404</v>
      </c>
      <c r="C81" s="4"/>
      <c r="D81" s="4"/>
      <c r="F81" t="s">
        <v>142</v>
      </c>
      <c r="G81" s="2">
        <v>45.002191313329639</v>
      </c>
      <c r="H81" s="2">
        <v>7.9130176971877813</v>
      </c>
      <c r="I81" s="2">
        <v>0.69816471594680629</v>
      </c>
      <c r="J81" s="2">
        <v>46.386626273536905</v>
      </c>
      <c r="K81" s="11">
        <f t="shared" si="1"/>
        <v>100.00000000000114</v>
      </c>
      <c r="N81" t="s">
        <v>142</v>
      </c>
      <c r="O81" s="11">
        <f>$B$81*G81/100</f>
        <v>1200.9038093552706</v>
      </c>
      <c r="P81" s="11">
        <f t="shared" ref="P81:R81" si="12">$B$81*H81/100</f>
        <v>211.16245273224635</v>
      </c>
      <c r="Q81" s="11">
        <f t="shared" si="12"/>
        <v>18.630840909509615</v>
      </c>
      <c r="R81" s="11">
        <f t="shared" si="12"/>
        <v>1237.8480818228441</v>
      </c>
      <c r="S81" s="11">
        <f t="shared" si="4"/>
        <v>2668.5451848198704</v>
      </c>
      <c r="T81" s="11">
        <f t="shared" si="5"/>
        <v>-3.0013325158506632E-11</v>
      </c>
    </row>
    <row r="82" spans="1:20" x14ac:dyDescent="0.3">
      <c r="A82" t="s">
        <v>143</v>
      </c>
      <c r="B82">
        <v>711.88524906398038</v>
      </c>
      <c r="C82" s="4"/>
      <c r="D82" s="4"/>
      <c r="F82" t="s">
        <v>143</v>
      </c>
      <c r="G82" s="2">
        <v>53.912312599033029</v>
      </c>
      <c r="H82" s="2">
        <v>35.14793087909937</v>
      </c>
      <c r="I82" s="2">
        <v>2.1356046139697056</v>
      </c>
      <c r="J82" s="2">
        <v>8.8041519078978947</v>
      </c>
      <c r="K82" s="11">
        <f t="shared" si="1"/>
        <v>100</v>
      </c>
      <c r="N82" t="s">
        <v>143</v>
      </c>
      <c r="O82" s="11">
        <f>$B$82*G82/100</f>
        <v>383.79380082177801</v>
      </c>
      <c r="P82" s="11">
        <f t="shared" ref="P82:R82" si="13">$B$82*H82/100</f>
        <v>250.21293527951221</v>
      </c>
      <c r="Q82" s="11">
        <f t="shared" si="13"/>
        <v>15.203054225180095</v>
      </c>
      <c r="R82" s="11">
        <f t="shared" si="13"/>
        <v>62.675458737510105</v>
      </c>
      <c r="S82" s="11">
        <f t="shared" si="4"/>
        <v>711.88524906398038</v>
      </c>
      <c r="T82" s="11">
        <f t="shared" si="5"/>
        <v>0</v>
      </c>
    </row>
    <row r="83" spans="1:20" x14ac:dyDescent="0.3">
      <c r="A83" t="s">
        <v>80</v>
      </c>
      <c r="B83">
        <v>1461.8687038020305</v>
      </c>
      <c r="C83" s="4"/>
      <c r="D83" s="4"/>
      <c r="F83" t="s">
        <v>80</v>
      </c>
      <c r="G83" s="2">
        <v>78.071000915196251</v>
      </c>
      <c r="H83" s="2">
        <v>15.456003239499807</v>
      </c>
      <c r="I83" s="2">
        <v>5.859978386765988</v>
      </c>
      <c r="J83" s="2">
        <v>0.61300641278029511</v>
      </c>
      <c r="K83" s="11">
        <f t="shared" si="1"/>
        <v>99.99998895424234</v>
      </c>
      <c r="N83" t="s">
        <v>80</v>
      </c>
      <c r="O83" s="11">
        <f>$B$83*G83/100</f>
        <v>1141.2955291242508</v>
      </c>
      <c r="P83" s="11">
        <f t="shared" ref="P83:R83" si="14">$B$83*H83/100</f>
        <v>225.94647421687569</v>
      </c>
      <c r="Q83" s="11">
        <f t="shared" si="14"/>
        <v>85.665190085695087</v>
      </c>
      <c r="R83" s="11">
        <f t="shared" si="14"/>
        <v>8.9613489007346239</v>
      </c>
      <c r="S83" s="11">
        <f t="shared" si="4"/>
        <v>1461.8685423275563</v>
      </c>
      <c r="T83" s="11">
        <f t="shared" si="5"/>
        <v>1.6147447422554251E-4</v>
      </c>
    </row>
    <row r="84" spans="1:20" x14ac:dyDescent="0.3">
      <c r="A84" t="s">
        <v>144</v>
      </c>
      <c r="B84">
        <v>2385.9298247313604</v>
      </c>
      <c r="F84" t="s">
        <v>144</v>
      </c>
      <c r="G84" s="2">
        <v>76.116814785114556</v>
      </c>
      <c r="H84" s="2">
        <v>22.802235902031342</v>
      </c>
      <c r="I84" s="2">
        <v>0.78898828945066168</v>
      </c>
      <c r="J84" s="2">
        <v>0.29196102340482893</v>
      </c>
      <c r="K84" s="11">
        <f t="shared" si="1"/>
        <v>100.00000000000138</v>
      </c>
      <c r="N84" t="s">
        <v>144</v>
      </c>
      <c r="O84" s="11">
        <f>$B$84*G84/100</f>
        <v>1816.0937855935781</v>
      </c>
      <c r="P84" s="11">
        <f t="shared" ref="P84:R84" si="15">$B$84*H84/100</f>
        <v>544.04534709216773</v>
      </c>
      <c r="Q84" s="11">
        <f t="shared" si="15"/>
        <v>18.82470691164113</v>
      </c>
      <c r="R84" s="11">
        <f t="shared" si="15"/>
        <v>6.9659851340067211</v>
      </c>
      <c r="S84" s="11">
        <f t="shared" si="4"/>
        <v>2385.9298247313932</v>
      </c>
      <c r="T84" s="11">
        <f t="shared" si="5"/>
        <v>-3.2741809263825417E-11</v>
      </c>
    </row>
    <row r="85" spans="1:20" x14ac:dyDescent="0.3">
      <c r="A85" t="s">
        <v>145</v>
      </c>
      <c r="B85">
        <v>1535.807110583889</v>
      </c>
      <c r="F85" t="s">
        <v>145</v>
      </c>
      <c r="G85" s="2">
        <v>56.524422019685417</v>
      </c>
      <c r="H85" s="2">
        <v>30.67522037856109</v>
      </c>
      <c r="I85" s="2">
        <v>2.4703338937779211</v>
      </c>
      <c r="J85" s="2">
        <v>10.330023707975581</v>
      </c>
      <c r="K85" s="11">
        <f t="shared" si="1"/>
        <v>100.00000000000001</v>
      </c>
      <c r="N85" t="s">
        <v>145</v>
      </c>
      <c r="O85" s="11">
        <f>$B$85*G85/100</f>
        <v>868.10609259477405</v>
      </c>
      <c r="P85" s="11">
        <f t="shared" ref="P85:R85" si="16">$B$85*H85/100</f>
        <v>471.11221576121932</v>
      </c>
      <c r="Q85" s="11">
        <f t="shared" si="16"/>
        <v>37.939563595805168</v>
      </c>
      <c r="R85" s="11">
        <f t="shared" si="16"/>
        <v>158.64923863209049</v>
      </c>
      <c r="S85" s="11">
        <f t="shared" si="4"/>
        <v>1535.807110583889</v>
      </c>
      <c r="T85" s="11">
        <f t="shared" si="5"/>
        <v>0</v>
      </c>
    </row>
    <row r="86" spans="1:20" x14ac:dyDescent="0.3">
      <c r="A86" t="s">
        <v>146</v>
      </c>
      <c r="B86">
        <v>1684.045473120093</v>
      </c>
      <c r="F86" t="s">
        <v>146</v>
      </c>
      <c r="G86" s="2">
        <v>43.449127691373334</v>
      </c>
      <c r="H86" s="2">
        <v>46.553824640032019</v>
      </c>
      <c r="I86" s="2">
        <v>1.92353672220801</v>
      </c>
      <c r="J86" s="2">
        <v>8.0735109451614395</v>
      </c>
      <c r="K86" s="11">
        <f t="shared" si="1"/>
        <v>99.999999998774811</v>
      </c>
      <c r="N86" t="s">
        <v>146</v>
      </c>
      <c r="O86" s="11">
        <f>$B$86*G86/100</f>
        <v>731.70306799674142</v>
      </c>
      <c r="P86" s="11">
        <f t="shared" ref="P86:R86" si="17">$B$86*H86/100</f>
        <v>783.98757641472559</v>
      </c>
      <c r="Q86" s="11">
        <f t="shared" si="17"/>
        <v>32.393233094146609</v>
      </c>
      <c r="R86" s="11">
        <f t="shared" si="17"/>
        <v>135.96159559384645</v>
      </c>
      <c r="S86" s="11">
        <f t="shared" si="4"/>
        <v>1684.04547309946</v>
      </c>
      <c r="T86" s="11">
        <f t="shared" si="5"/>
        <v>2.0633024178096093E-8</v>
      </c>
    </row>
    <row r="87" spans="1:20" x14ac:dyDescent="0.3">
      <c r="A87" t="s">
        <v>147</v>
      </c>
      <c r="B87">
        <v>573.05956336196527</v>
      </c>
      <c r="F87" t="s">
        <v>147</v>
      </c>
      <c r="G87" s="2">
        <v>50.970902336024857</v>
      </c>
      <c r="H87" s="2">
        <v>37.393609166478988</v>
      </c>
      <c r="I87" s="2">
        <v>3.4628206867331874</v>
      </c>
      <c r="J87" s="2">
        <v>8.1726678107629755</v>
      </c>
      <c r="K87" s="11">
        <f t="shared" si="1"/>
        <v>100</v>
      </c>
      <c r="N87" t="s">
        <v>147</v>
      </c>
      <c r="O87" s="11">
        <f>$B$87*G87/100</f>
        <v>292.09363036847776</v>
      </c>
      <c r="P87" s="11">
        <f t="shared" ref="P87:R87" si="18">$B$87*H87/100</f>
        <v>214.28765341470432</v>
      </c>
      <c r="Q87" s="11">
        <f t="shared" si="18"/>
        <v>19.844025107401013</v>
      </c>
      <c r="R87" s="11">
        <f t="shared" si="18"/>
        <v>46.834254471382195</v>
      </c>
      <c r="S87" s="11">
        <f t="shared" si="4"/>
        <v>573.05956336196527</v>
      </c>
      <c r="T87" s="11">
        <f t="shared" si="5"/>
        <v>0</v>
      </c>
    </row>
    <row r="88" spans="1:20" x14ac:dyDescent="0.3">
      <c r="A88" t="s">
        <v>90</v>
      </c>
      <c r="B88">
        <v>616.13468978791195</v>
      </c>
      <c r="C88">
        <v>2020</v>
      </c>
      <c r="F88" t="s">
        <v>90</v>
      </c>
      <c r="G88" s="67">
        <v>58.296489859669407</v>
      </c>
      <c r="H88" s="2">
        <v>34.291215560528933</v>
      </c>
      <c r="I88" s="2">
        <v>2.9779016098922924</v>
      </c>
      <c r="J88" s="2">
        <v>4.4343929699093732</v>
      </c>
      <c r="K88" s="11">
        <f t="shared" si="1"/>
        <v>100</v>
      </c>
      <c r="N88" t="s">
        <v>90</v>
      </c>
      <c r="O88" s="11">
        <f>$B$88*G88/100</f>
        <v>359.18489695411569</v>
      </c>
      <c r="P88" s="11">
        <f t="shared" ref="P88:R88" si="19">$B$88*H88/100</f>
        <v>211.28007461836916</v>
      </c>
      <c r="Q88" s="11">
        <f t="shared" si="19"/>
        <v>18.347884846299113</v>
      </c>
      <c r="R88" s="11">
        <f t="shared" si="19"/>
        <v>27.321833369128093</v>
      </c>
      <c r="S88" s="11">
        <f t="shared" si="4"/>
        <v>616.13468978791207</v>
      </c>
      <c r="T88" s="11">
        <f t="shared" si="5"/>
        <v>0</v>
      </c>
    </row>
    <row r="89" spans="1:20" x14ac:dyDescent="0.3">
      <c r="A89" t="s">
        <v>153</v>
      </c>
      <c r="B89">
        <v>2156.1185078839512</v>
      </c>
      <c r="F89" t="s">
        <v>153</v>
      </c>
      <c r="G89" s="2">
        <v>29.01828411372928</v>
      </c>
      <c r="H89" s="2">
        <v>52.504828277704995</v>
      </c>
      <c r="I89" s="2">
        <v>3.9712383475308157</v>
      </c>
      <c r="J89" s="2">
        <v>14.505649261034909</v>
      </c>
      <c r="K89" s="11">
        <f t="shared" si="1"/>
        <v>99.999999999999986</v>
      </c>
      <c r="N89" t="s">
        <v>153</v>
      </c>
      <c r="O89" s="11">
        <f>$B$89*G89/100</f>
        <v>625.66859444646548</v>
      </c>
      <c r="P89" s="11">
        <f t="shared" ref="P89:R89" si="20">$B$89*H89/100</f>
        <v>1132.0663200282838</v>
      </c>
      <c r="Q89" s="11">
        <f t="shared" si="20"/>
        <v>85.624605003296708</v>
      </c>
      <c r="R89" s="11">
        <f t="shared" si="20"/>
        <v>312.75898840590531</v>
      </c>
      <c r="S89" s="11">
        <f t="shared" si="4"/>
        <v>2156.1185078839512</v>
      </c>
      <c r="T89" s="11">
        <f t="shared" si="5"/>
        <v>0</v>
      </c>
    </row>
    <row r="90" spans="1:20" x14ac:dyDescent="0.3">
      <c r="A90" t="s">
        <v>148</v>
      </c>
      <c r="B90">
        <v>2698.1690676654139</v>
      </c>
      <c r="F90" t="s">
        <v>148</v>
      </c>
      <c r="G90" s="2">
        <v>50.240235060243798</v>
      </c>
      <c r="H90" s="2">
        <v>37.457769161276659</v>
      </c>
      <c r="I90" s="2">
        <v>4.8485985697257172</v>
      </c>
      <c r="J90" s="2">
        <v>7.4533971913617503</v>
      </c>
      <c r="K90" s="11">
        <f t="shared" si="1"/>
        <v>99.999999982607918</v>
      </c>
      <c r="N90" t="s">
        <v>148</v>
      </c>
      <c r="O90" s="11">
        <f>$B$90*G90/100</f>
        <v>1355.5664819178926</v>
      </c>
      <c r="P90" s="11">
        <f t="shared" ref="P90:R90" si="21">$B$90*H90/100</f>
        <v>1010.6739409470813</v>
      </c>
      <c r="Q90" s="11">
        <f t="shared" si="21"/>
        <v>130.82338682360697</v>
      </c>
      <c r="R90" s="11">
        <f t="shared" si="21"/>
        <v>201.10525750756548</v>
      </c>
      <c r="S90" s="11">
        <f t="shared" si="4"/>
        <v>2698.1690671961464</v>
      </c>
      <c r="T90" s="11">
        <f t="shared" si="5"/>
        <v>4.6926743380026892E-7</v>
      </c>
    </row>
    <row r="91" spans="1:20" x14ac:dyDescent="0.3">
      <c r="A91" t="s">
        <v>149</v>
      </c>
      <c r="B91">
        <v>1530.885404948091</v>
      </c>
      <c r="F91" t="s">
        <v>149</v>
      </c>
      <c r="G91" s="2">
        <v>60.653372696371797</v>
      </c>
      <c r="H91" s="2">
        <v>23.254874360495258</v>
      </c>
      <c r="I91" s="2">
        <v>4.1368290131237204</v>
      </c>
      <c r="J91" s="2">
        <v>11.712274339079034</v>
      </c>
      <c r="K91" s="11">
        <f t="shared" si="1"/>
        <v>99.757350409069801</v>
      </c>
      <c r="N91" t="s">
        <v>149</v>
      </c>
      <c r="O91" s="11">
        <f>$B$91*G91/100</f>
        <v>928.53363021752625</v>
      </c>
      <c r="P91" s="11">
        <f t="shared" ref="P91:R91" si="22">$B$91*H91/100</f>
        <v>356.00547752383761</v>
      </c>
      <c r="Q91" s="11">
        <f t="shared" si="22"/>
        <v>63.330111589569185</v>
      </c>
      <c r="R91" s="11">
        <f t="shared" si="22"/>
        <v>179.30149844444142</v>
      </c>
      <c r="S91" s="11">
        <f t="shared" si="4"/>
        <v>1527.1707177753744</v>
      </c>
      <c r="T91" s="11">
        <f t="shared" si="5"/>
        <v>3.7146871727165944</v>
      </c>
    </row>
    <row r="92" spans="1:20" x14ac:dyDescent="0.3">
      <c r="A92" t="s">
        <v>150</v>
      </c>
      <c r="B92">
        <v>2472.6010705033896</v>
      </c>
      <c r="F92" t="s">
        <v>150</v>
      </c>
      <c r="G92" s="2">
        <v>65.910115025173852</v>
      </c>
      <c r="H92" s="2">
        <v>26.812788802480775</v>
      </c>
      <c r="I92" s="2">
        <v>1.787985443781017</v>
      </c>
      <c r="J92" s="2">
        <v>5.4891432822704163</v>
      </c>
      <c r="K92" s="11">
        <f t="shared" si="1"/>
        <v>100.00003255370605</v>
      </c>
      <c r="N92" t="s">
        <v>150</v>
      </c>
      <c r="O92" s="11">
        <f>$B$92*G92/100</f>
        <v>1629.6942096824641</v>
      </c>
      <c r="P92" s="11">
        <f t="shared" ref="P92:R92" si="23">$B$92*H92/100</f>
        <v>662.97330296195253</v>
      </c>
      <c r="Q92" s="11">
        <f t="shared" si="23"/>
        <v>44.209747223374208</v>
      </c>
      <c r="R92" s="11">
        <f t="shared" si="23"/>
        <v>135.72461555888322</v>
      </c>
      <c r="S92" s="11">
        <f t="shared" si="4"/>
        <v>2472.6018754266738</v>
      </c>
      <c r="T92" s="11">
        <f t="shared" si="5"/>
        <v>-8.0492328424952575E-4</v>
      </c>
    </row>
    <row r="93" spans="1:20" x14ac:dyDescent="0.3">
      <c r="A93" t="s">
        <v>151</v>
      </c>
      <c r="B93" s="67">
        <v>2190.9511958094959</v>
      </c>
      <c r="F93" t="s">
        <v>151</v>
      </c>
      <c r="G93" s="2">
        <v>58.544754003872924</v>
      </c>
      <c r="H93" s="2">
        <v>19.4047407838158</v>
      </c>
      <c r="I93" s="2">
        <v>11.418635444683852</v>
      </c>
      <c r="J93" s="2">
        <v>10.633365864627704</v>
      </c>
      <c r="K93" s="11">
        <f t="shared" si="1"/>
        <v>100.00149609700028</v>
      </c>
      <c r="N93" t="s">
        <v>151</v>
      </c>
      <c r="O93" s="11">
        <f>$B$93*G93/100</f>
        <v>1282.6869879315816</v>
      </c>
      <c r="P93" s="11">
        <f t="shared" ref="P93:R93" si="24">$B$93*H93/100</f>
        <v>425.14840024674521</v>
      </c>
      <c r="Q93" s="11">
        <f t="shared" si="24"/>
        <v>250.17672982042782</v>
      </c>
      <c r="R93" s="11">
        <f t="shared" si="24"/>
        <v>232.97185656585941</v>
      </c>
      <c r="S93" s="11">
        <f t="shared" si="4"/>
        <v>2190.9839745646141</v>
      </c>
      <c r="T93" s="11">
        <f t="shared" si="5"/>
        <v>-3.2778755118215486E-2</v>
      </c>
    </row>
    <row r="94" spans="1:20" x14ac:dyDescent="0.3">
      <c r="A94" t="s">
        <v>152</v>
      </c>
      <c r="B94">
        <v>88.056170479140164</v>
      </c>
      <c r="F94" t="s">
        <v>152</v>
      </c>
      <c r="G94" s="2">
        <v>68.931420971488578</v>
      </c>
      <c r="H94" s="2">
        <v>18.780230490952299</v>
      </c>
      <c r="I94" s="2">
        <v>5.3385754145417863</v>
      </c>
      <c r="J94" s="2">
        <v>6.9496514405380312</v>
      </c>
      <c r="K94" s="11">
        <f t="shared" si="1"/>
        <v>99.999878317520697</v>
      </c>
      <c r="N94" t="s">
        <v>152</v>
      </c>
      <c r="O94" s="11">
        <f>$B$94*G94/100</f>
        <v>60.698369564347757</v>
      </c>
      <c r="P94" s="11">
        <f t="shared" ref="P94:R94" si="25">$B$94*H94/100</f>
        <v>16.537151777488418</v>
      </c>
      <c r="Q94" s="11">
        <f t="shared" si="25"/>
        <v>4.7009450681863791</v>
      </c>
      <c r="R94" s="11">
        <f t="shared" si="25"/>
        <v>6.1195969201861882</v>
      </c>
      <c r="S94" s="11">
        <f t="shared" si="4"/>
        <v>88.056063330208744</v>
      </c>
      <c r="T94" s="11">
        <f t="shared" si="5"/>
        <v>1.0714893141994253E-4</v>
      </c>
    </row>
    <row r="95" spans="1:20" x14ac:dyDescent="0.3">
      <c r="R95" s="24"/>
    </row>
    <row r="99" spans="7:20" x14ac:dyDescent="0.3">
      <c r="G99" s="68">
        <v>61</v>
      </c>
      <c r="H99" s="68">
        <v>23</v>
      </c>
      <c r="I99" s="68">
        <v>4</v>
      </c>
      <c r="J99" s="68">
        <v>12</v>
      </c>
      <c r="K99" s="68"/>
      <c r="L99" s="68"/>
      <c r="M99" s="68"/>
      <c r="N99" s="68"/>
      <c r="O99" s="68">
        <f>$B$91*G99/100</f>
        <v>933.84009701833554</v>
      </c>
      <c r="P99" s="68">
        <f t="shared" ref="P99:R99" si="26">$B$91*H99/100</f>
        <v>352.10364313806093</v>
      </c>
      <c r="Q99" s="68">
        <f t="shared" si="26"/>
        <v>61.235416197923641</v>
      </c>
      <c r="R99" s="68">
        <f t="shared" si="26"/>
        <v>183.70624859377094</v>
      </c>
      <c r="S99" s="68">
        <f>SUM(O99:R99)</f>
        <v>1530.8854049480908</v>
      </c>
      <c r="T99">
        <f>S99-B91</f>
        <v>0</v>
      </c>
    </row>
    <row r="102" spans="7:20" x14ac:dyDescent="0.3">
      <c r="G102" s="3"/>
    </row>
    <row r="107" spans="7:20" x14ac:dyDescent="0.3">
      <c r="Q107" s="2"/>
      <c r="R107" s="2"/>
    </row>
    <row r="108" spans="7:20" x14ac:dyDescent="0.3">
      <c r="Q108" s="2"/>
      <c r="R108" s="2"/>
    </row>
    <row r="109" spans="7:20" x14ac:dyDescent="0.3">
      <c r="Q109" s="2"/>
      <c r="R109" s="2"/>
    </row>
    <row r="110" spans="7:20" x14ac:dyDescent="0.3">
      <c r="Q110" s="2"/>
      <c r="R110" s="2"/>
    </row>
    <row r="111" spans="7:20" x14ac:dyDescent="0.3">
      <c r="Q111" s="2"/>
      <c r="R111" s="2"/>
    </row>
  </sheetData>
  <sortState xmlns:xlrd2="http://schemas.microsoft.com/office/spreadsheetml/2017/richdata2" ref="F73:J94">
    <sortCondition ref="F72:F94"/>
  </sortState>
  <hyperlinks>
    <hyperlink ref="A2" location="Overzicht!A1" display="Terug naar tabblad Overzicht" xr:uid="{82F645FA-14F4-496D-BF27-6079B8FE91A2}"/>
  </hyperlinks>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E5BC0F-0E98-47B1-8337-B2B3FBFA3FE2}">
  <sheetPr>
    <tabColor theme="4" tint="0.39997558519241921"/>
  </sheetPr>
  <dimension ref="A1:E28"/>
  <sheetViews>
    <sheetView zoomScale="110" zoomScaleNormal="110" workbookViewId="0"/>
  </sheetViews>
  <sheetFormatPr defaultRowHeight="12.5" x14ac:dyDescent="0.25"/>
  <sheetData>
    <row r="1" spans="1:5" ht="18.5" x14ac:dyDescent="0.45">
      <c r="A1" s="1" t="s">
        <v>155</v>
      </c>
    </row>
    <row r="2" spans="1:5" x14ac:dyDescent="0.25">
      <c r="A2" s="52" t="s">
        <v>48</v>
      </c>
    </row>
    <row r="5" spans="1:5" x14ac:dyDescent="0.25">
      <c r="B5" t="s">
        <v>156</v>
      </c>
      <c r="C5" t="s">
        <v>157</v>
      </c>
      <c r="D5" t="s">
        <v>158</v>
      </c>
    </row>
    <row r="6" spans="1:5" x14ac:dyDescent="0.25">
      <c r="A6" t="s">
        <v>81</v>
      </c>
      <c r="B6" s="9">
        <v>5.5168644180655896E-2</v>
      </c>
      <c r="C6" s="2">
        <v>488773.76247999998</v>
      </c>
      <c r="D6" s="63">
        <v>17.400833863775986</v>
      </c>
      <c r="E6">
        <v>2022</v>
      </c>
    </row>
    <row r="7" spans="1:5" x14ac:dyDescent="0.25">
      <c r="A7" t="s">
        <v>99</v>
      </c>
      <c r="B7" s="9">
        <v>3.2449107627090801E-2</v>
      </c>
      <c r="C7" s="2">
        <v>90142</v>
      </c>
      <c r="D7" s="63">
        <v>17.352352352352352</v>
      </c>
      <c r="E7">
        <v>2022</v>
      </c>
    </row>
    <row r="8" spans="1:5" x14ac:dyDescent="0.25">
      <c r="A8" t="s">
        <v>65</v>
      </c>
      <c r="B8" s="9">
        <v>1.1138399702443701E-2</v>
      </c>
      <c r="C8" s="2">
        <v>44792</v>
      </c>
      <c r="D8" s="63">
        <v>16.222520010140887</v>
      </c>
      <c r="E8">
        <v>2022</v>
      </c>
    </row>
    <row r="9" spans="1:5" x14ac:dyDescent="0.25">
      <c r="A9" t="s">
        <v>61</v>
      </c>
      <c r="B9" s="9">
        <v>2.6599907927326302E-2</v>
      </c>
      <c r="C9" s="2">
        <v>51308</v>
      </c>
      <c r="D9" s="63">
        <v>16.196295004395676</v>
      </c>
      <c r="E9">
        <v>2022</v>
      </c>
    </row>
    <row r="10" spans="1:5" x14ac:dyDescent="0.25">
      <c r="A10" t="s">
        <v>53</v>
      </c>
      <c r="B10" s="9">
        <v>4.7344409895340299E-2</v>
      </c>
      <c r="C10" s="2">
        <v>80904</v>
      </c>
      <c r="D10" s="63">
        <v>15.875981161695448</v>
      </c>
      <c r="E10">
        <v>2022</v>
      </c>
    </row>
    <row r="11" spans="1:5" x14ac:dyDescent="0.25">
      <c r="A11" t="s">
        <v>85</v>
      </c>
      <c r="B11" s="9">
        <v>3.3248870653539098E-2</v>
      </c>
      <c r="C11" s="2">
        <v>40117.1</v>
      </c>
      <c r="D11" s="63">
        <v>13.673176550783912</v>
      </c>
      <c r="E11">
        <v>2022</v>
      </c>
    </row>
    <row r="12" spans="1:5" x14ac:dyDescent="0.25">
      <c r="A12" t="s">
        <v>159</v>
      </c>
      <c r="B12" s="9">
        <v>4.3373741019287301E-2</v>
      </c>
      <c r="C12" s="2">
        <v>56533.1</v>
      </c>
      <c r="D12" s="63">
        <v>12.416179461387426</v>
      </c>
      <c r="E12">
        <v>2021</v>
      </c>
    </row>
    <row r="13" spans="1:5" x14ac:dyDescent="0.25">
      <c r="A13" t="s">
        <v>89</v>
      </c>
      <c r="B13" s="9">
        <v>3.1133475411849298E-2</v>
      </c>
      <c r="C13" s="2">
        <v>42579.19</v>
      </c>
      <c r="D13" s="63">
        <v>11.816720783726028</v>
      </c>
      <c r="E13">
        <v>2020</v>
      </c>
    </row>
    <row r="14" spans="1:5" x14ac:dyDescent="0.25">
      <c r="A14" t="s">
        <v>67</v>
      </c>
      <c r="B14" s="9">
        <v>3.0154468846371699E-2</v>
      </c>
      <c r="C14" s="2">
        <v>345617</v>
      </c>
      <c r="D14" s="63">
        <v>11.494512438472794</v>
      </c>
      <c r="E14">
        <v>2022</v>
      </c>
    </row>
    <row r="15" spans="1:5" x14ac:dyDescent="0.25">
      <c r="A15" s="27" t="s">
        <v>83</v>
      </c>
      <c r="B15" s="33">
        <v>3.73546774105337E-2</v>
      </c>
      <c r="C15" s="99">
        <v>114913</v>
      </c>
      <c r="D15" s="100">
        <v>11.31367529782416</v>
      </c>
      <c r="E15">
        <v>2022</v>
      </c>
    </row>
    <row r="16" spans="1:5" x14ac:dyDescent="0.25">
      <c r="A16" t="s">
        <v>71</v>
      </c>
      <c r="B16" s="9">
        <v>7.0915873703667212E-2</v>
      </c>
      <c r="C16" s="2">
        <v>27857</v>
      </c>
      <c r="D16" s="63">
        <v>10.937833745869405</v>
      </c>
      <c r="E16">
        <v>2022</v>
      </c>
    </row>
    <row r="17" spans="1:5" x14ac:dyDescent="0.25">
      <c r="A17" t="s">
        <v>57</v>
      </c>
      <c r="B17" s="9">
        <v>3.1052710501718202E-2</v>
      </c>
      <c r="C17" s="2">
        <v>207410</v>
      </c>
      <c r="D17" s="63">
        <v>10.877879660473376</v>
      </c>
      <c r="E17">
        <v>2021</v>
      </c>
    </row>
    <row r="18" spans="1:5" x14ac:dyDescent="0.25">
      <c r="A18" t="s">
        <v>63</v>
      </c>
      <c r="B18" s="9">
        <v>3.3477389974518698E-2</v>
      </c>
      <c r="C18" s="2">
        <v>484823</v>
      </c>
      <c r="D18" s="63">
        <v>10.633016054039828</v>
      </c>
      <c r="E18">
        <v>2022</v>
      </c>
    </row>
    <row r="19" spans="1:5" x14ac:dyDescent="0.25">
      <c r="A19" t="s">
        <v>95</v>
      </c>
      <c r="B19" s="9">
        <v>2.9751191299541898E-2</v>
      </c>
      <c r="C19" s="2">
        <v>1639258</v>
      </c>
      <c r="D19" s="63">
        <v>10.59198521620015</v>
      </c>
      <c r="E19">
        <v>2021</v>
      </c>
    </row>
    <row r="20" spans="1:5" x14ac:dyDescent="0.25">
      <c r="A20" t="s">
        <v>79</v>
      </c>
      <c r="B20" s="20">
        <v>4.6169250966970402E-3</v>
      </c>
      <c r="C20" s="2">
        <v>705551</v>
      </c>
      <c r="D20" s="63">
        <v>10.328361049303197</v>
      </c>
      <c r="E20">
        <v>2022</v>
      </c>
    </row>
    <row r="21" spans="1:5" x14ac:dyDescent="0.25">
      <c r="A21" t="s">
        <v>101</v>
      </c>
      <c r="B21" s="9">
        <v>5.0372661084033599E-2</v>
      </c>
      <c r="C21" s="2">
        <v>52222</v>
      </c>
      <c r="D21" s="63">
        <v>10.22873862101649</v>
      </c>
      <c r="E21">
        <v>2021</v>
      </c>
    </row>
    <row r="22" spans="1:5" x14ac:dyDescent="0.25">
      <c r="A22" t="s">
        <v>93</v>
      </c>
      <c r="B22" s="9">
        <v>1.83658850209511E-2</v>
      </c>
      <c r="C22" s="2">
        <v>295842</v>
      </c>
      <c r="D22" s="63">
        <v>9.2277115186850232</v>
      </c>
      <c r="E22">
        <v>2017</v>
      </c>
    </row>
    <row r="23" spans="1:5" x14ac:dyDescent="0.25">
      <c r="A23" t="s">
        <v>87</v>
      </c>
      <c r="B23" s="9">
        <v>6.8761614648745292E-2</v>
      </c>
      <c r="C23" s="2">
        <v>141242.70000000001</v>
      </c>
      <c r="D23" s="63">
        <v>8.0844315850025339</v>
      </c>
      <c r="E23">
        <v>2022</v>
      </c>
    </row>
    <row r="24" spans="1:5" x14ac:dyDescent="0.25">
      <c r="A24" t="s">
        <v>91</v>
      </c>
      <c r="B24" s="9">
        <v>1.5198067904866702E-2</v>
      </c>
      <c r="C24" s="2">
        <v>161751</v>
      </c>
      <c r="D24" s="63">
        <v>7.9051002854126757</v>
      </c>
      <c r="E24">
        <v>2022</v>
      </c>
    </row>
    <row r="25" spans="1:5" x14ac:dyDescent="0.25">
      <c r="A25" t="s">
        <v>77</v>
      </c>
      <c r="B25" s="9">
        <v>3.39424313056629E-2</v>
      </c>
      <c r="C25" s="2">
        <v>160741</v>
      </c>
      <c r="D25" s="63">
        <v>6.2719873265595973</v>
      </c>
      <c r="E25">
        <v>2022</v>
      </c>
    </row>
    <row r="26" spans="1:5" x14ac:dyDescent="0.25">
      <c r="A26" t="s">
        <v>59</v>
      </c>
      <c r="B26" s="9">
        <v>6.3587282657461511E-2</v>
      </c>
      <c r="C26" s="2">
        <v>2405509.4</v>
      </c>
      <c r="D26" s="63">
        <v>3.2222973262605152</v>
      </c>
      <c r="E26">
        <v>2021</v>
      </c>
    </row>
    <row r="27" spans="1:5" x14ac:dyDescent="0.25">
      <c r="A27" t="s">
        <v>97</v>
      </c>
      <c r="B27" s="9">
        <v>3.2182226147954601E-2</v>
      </c>
      <c r="C27" s="2">
        <v>27635.83</v>
      </c>
      <c r="D27" s="63">
        <v>1.8348903492112218</v>
      </c>
      <c r="E27">
        <v>2020</v>
      </c>
    </row>
    <row r="28" spans="1:5" x14ac:dyDescent="0.25">
      <c r="A28" t="s">
        <v>69</v>
      </c>
      <c r="B28" s="9">
        <v>0.116218</v>
      </c>
      <c r="C28" s="2">
        <v>57815.11</v>
      </c>
      <c r="D28" s="63">
        <v>0.44</v>
      </c>
      <c r="E28">
        <v>2018</v>
      </c>
    </row>
  </sheetData>
  <hyperlinks>
    <hyperlink ref="A2" location="Overzicht!A1" display="Terug naar tabblad Overzicht" xr:uid="{0E9918F8-32F6-46A6-8E59-DA063E96B090}"/>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5C6B82-9807-4539-9FCA-005729BAFF9B}">
  <sheetPr codeName="Sheet8">
    <tabColor theme="8" tint="0.59999389629810485"/>
  </sheetPr>
  <dimension ref="A1:M37"/>
  <sheetViews>
    <sheetView zoomScale="130" zoomScaleNormal="130" workbookViewId="0">
      <selection activeCell="A2" sqref="A2"/>
    </sheetView>
  </sheetViews>
  <sheetFormatPr defaultColWidth="9.1796875" defaultRowHeight="12.5" x14ac:dyDescent="0.25"/>
  <cols>
    <col min="1" max="1" width="13.54296875" customWidth="1"/>
    <col min="3" max="3" width="9.7265625" bestFit="1" customWidth="1"/>
    <col min="5" max="10" width="9.7265625" bestFit="1" customWidth="1"/>
    <col min="13" max="13" width="11.54296875" bestFit="1" customWidth="1"/>
    <col min="15" max="21" width="9.7265625" bestFit="1" customWidth="1"/>
    <col min="23" max="27" width="9.7265625" bestFit="1" customWidth="1"/>
  </cols>
  <sheetData>
    <row r="1" spans="1:13" ht="18.5" x14ac:dyDescent="0.45">
      <c r="A1" s="1" t="s">
        <v>22</v>
      </c>
    </row>
    <row r="2" spans="1:13" ht="13" x14ac:dyDescent="0.3">
      <c r="A2" s="52" t="s">
        <v>48</v>
      </c>
      <c r="B2" s="4"/>
      <c r="C2" s="4"/>
      <c r="D2" s="4"/>
      <c r="E2" s="4"/>
      <c r="F2" s="4"/>
      <c r="G2" s="4"/>
      <c r="H2" s="4"/>
      <c r="I2" s="4"/>
      <c r="J2" s="4"/>
      <c r="K2" s="4"/>
      <c r="L2" s="4"/>
    </row>
    <row r="3" spans="1:13" x14ac:dyDescent="0.25">
      <c r="B3" s="11"/>
      <c r="C3" s="13"/>
      <c r="D3" s="11"/>
      <c r="E3" s="11"/>
      <c r="F3" s="11"/>
      <c r="G3" s="11"/>
      <c r="H3" s="11"/>
      <c r="I3" s="11"/>
      <c r="J3" s="11"/>
      <c r="K3" s="11"/>
      <c r="L3" s="11"/>
      <c r="M3" s="3"/>
    </row>
    <row r="4" spans="1:13" x14ac:dyDescent="0.25">
      <c r="B4" s="11"/>
      <c r="C4" s="13"/>
      <c r="D4" s="11"/>
      <c r="E4" s="11"/>
      <c r="F4" s="11"/>
      <c r="G4" s="11"/>
      <c r="H4" s="11"/>
      <c r="I4" s="11"/>
      <c r="J4" s="11"/>
      <c r="K4" s="11"/>
      <c r="L4" s="11"/>
      <c r="M4" s="3"/>
    </row>
    <row r="5" spans="1:13" x14ac:dyDescent="0.25">
      <c r="A5" t="s">
        <v>161</v>
      </c>
    </row>
    <row r="6" spans="1:13" x14ac:dyDescent="0.25">
      <c r="A6" t="s">
        <v>162</v>
      </c>
    </row>
    <row r="12" spans="1:13" x14ac:dyDescent="0.25">
      <c r="B12">
        <v>2010</v>
      </c>
      <c r="C12">
        <v>2011</v>
      </c>
      <c r="D12">
        <v>2012</v>
      </c>
      <c r="E12">
        <v>2013</v>
      </c>
      <c r="F12">
        <v>2014</v>
      </c>
      <c r="G12">
        <v>2015</v>
      </c>
      <c r="H12">
        <v>2016</v>
      </c>
      <c r="I12">
        <v>2017</v>
      </c>
      <c r="J12">
        <v>2018</v>
      </c>
      <c r="K12">
        <v>2019</v>
      </c>
      <c r="L12">
        <v>2020</v>
      </c>
      <c r="M12">
        <v>2021</v>
      </c>
    </row>
    <row r="13" spans="1:13" x14ac:dyDescent="0.25">
      <c r="A13" t="s">
        <v>81</v>
      </c>
      <c r="B13">
        <v>5424.8718399999998</v>
      </c>
      <c r="C13">
        <v>5903.2146199999997</v>
      </c>
      <c r="D13">
        <v>6388.4251599999998</v>
      </c>
      <c r="E13">
        <v>6453.8473700000004</v>
      </c>
      <c r="F13">
        <v>6864.2059900000004</v>
      </c>
      <c r="G13">
        <v>7018.3586500000001</v>
      </c>
      <c r="H13">
        <v>7056.3429699999997</v>
      </c>
      <c r="I13">
        <v>7450.5576000000001</v>
      </c>
      <c r="J13">
        <v>7913.5015000000003</v>
      </c>
      <c r="K13">
        <v>8322.5876200000002</v>
      </c>
      <c r="L13">
        <v>8614.6351799999993</v>
      </c>
      <c r="M13">
        <v>9081.9358499999998</v>
      </c>
    </row>
    <row r="14" spans="1:13" x14ac:dyDescent="0.25">
      <c r="A14" t="s">
        <v>99</v>
      </c>
      <c r="B14">
        <v>5279.9208200000003</v>
      </c>
      <c r="C14">
        <v>5167.9103999999998</v>
      </c>
      <c r="D14">
        <v>5181.4506600000004</v>
      </c>
      <c r="E14">
        <v>6686.0928700000004</v>
      </c>
      <c r="F14">
        <v>6872.7214599999998</v>
      </c>
      <c r="G14">
        <v>6810.7899799999996</v>
      </c>
      <c r="H14">
        <v>7107.98056</v>
      </c>
      <c r="I14">
        <v>7308.65913</v>
      </c>
      <c r="J14">
        <v>7433.2105499999998</v>
      </c>
      <c r="K14">
        <v>7697.8360700000003</v>
      </c>
      <c r="L14">
        <v>7759.4988400000002</v>
      </c>
      <c r="M14">
        <v>8130.7911199999999</v>
      </c>
    </row>
    <row r="15" spans="1:13" x14ac:dyDescent="0.25">
      <c r="A15" t="s">
        <v>65</v>
      </c>
      <c r="B15">
        <v>7741.0223400000004</v>
      </c>
      <c r="C15">
        <v>7442.0994099999998</v>
      </c>
      <c r="D15">
        <v>7492.5469599999997</v>
      </c>
      <c r="E15">
        <v>7223.0249599999997</v>
      </c>
      <c r="F15">
        <v>7022.4428500000004</v>
      </c>
      <c r="G15">
        <v>6856.33475</v>
      </c>
      <c r="H15">
        <v>6543.9658600000002</v>
      </c>
      <c r="I15">
        <v>6731.79223</v>
      </c>
      <c r="J15">
        <v>6872.9838799999998</v>
      </c>
      <c r="K15">
        <v>7246.2720099999997</v>
      </c>
      <c r="L15">
        <v>7548.5026399999997</v>
      </c>
      <c r="M15">
        <v>7870.6534000000001</v>
      </c>
    </row>
    <row r="16" spans="1:13" x14ac:dyDescent="0.25">
      <c r="A16" t="s">
        <v>61</v>
      </c>
      <c r="B16">
        <v>6759.59681</v>
      </c>
      <c r="C16">
        <v>7042.3446599999997</v>
      </c>
      <c r="D16">
        <v>7172.05026</v>
      </c>
      <c r="E16">
        <v>7102.1607299999996</v>
      </c>
      <c r="F16">
        <v>7345.6003000000001</v>
      </c>
      <c r="G16">
        <v>7561.0168199999998</v>
      </c>
      <c r="H16">
        <v>7873.9687100000001</v>
      </c>
      <c r="I16">
        <v>7683.4420499999997</v>
      </c>
      <c r="J16">
        <v>7635.7773800000004</v>
      </c>
      <c r="K16">
        <v>7727.2392300000001</v>
      </c>
      <c r="L16">
        <v>7667.3037599999998</v>
      </c>
      <c r="M16">
        <v>7707.7252200000003</v>
      </c>
    </row>
    <row r="17" spans="1:13" x14ac:dyDescent="0.25">
      <c r="A17" t="s">
        <v>85</v>
      </c>
      <c r="B17">
        <v>5444.0477000000001</v>
      </c>
      <c r="C17">
        <v>5533.2679900000003</v>
      </c>
      <c r="D17">
        <v>5583.4528799999998</v>
      </c>
      <c r="E17">
        <v>5604.37122</v>
      </c>
      <c r="F17">
        <v>5722.0123999999996</v>
      </c>
      <c r="G17">
        <v>5929.2167799999997</v>
      </c>
      <c r="H17">
        <v>6120.1296700000003</v>
      </c>
      <c r="I17">
        <v>6395.4398300000003</v>
      </c>
      <c r="J17">
        <v>6483.5259900000001</v>
      </c>
      <c r="K17">
        <v>6736.8514299999997</v>
      </c>
      <c r="L17">
        <v>6765.3324199999997</v>
      </c>
      <c r="M17">
        <v>7227.93066</v>
      </c>
    </row>
    <row r="18" spans="1:13" x14ac:dyDescent="0.25">
      <c r="A18" t="s">
        <v>160</v>
      </c>
      <c r="B18">
        <v>6284.9036299999998</v>
      </c>
      <c r="C18">
        <v>6444.8485199999996</v>
      </c>
      <c r="D18">
        <v>6401.9014399999996</v>
      </c>
      <c r="E18">
        <v>6631.4063500000002</v>
      </c>
      <c r="F18">
        <v>6632.2260200000001</v>
      </c>
      <c r="G18">
        <v>6977.6694699999998</v>
      </c>
      <c r="H18">
        <v>6897.0445799999998</v>
      </c>
      <c r="I18">
        <v>6777.63699</v>
      </c>
      <c r="J18">
        <v>6786.6959399999996</v>
      </c>
      <c r="K18">
        <v>7275.6315800000002</v>
      </c>
      <c r="L18">
        <v>7224.7480699999996</v>
      </c>
    </row>
    <row r="19" spans="1:13" x14ac:dyDescent="0.25">
      <c r="A19" t="s">
        <v>53</v>
      </c>
      <c r="B19">
        <v>3767.1688100000001</v>
      </c>
      <c r="C19">
        <v>3910.0779000000002</v>
      </c>
      <c r="D19">
        <v>4147.2082899999996</v>
      </c>
      <c r="E19">
        <v>4188.3372900000004</v>
      </c>
      <c r="F19">
        <v>4562.4058500000001</v>
      </c>
      <c r="G19">
        <v>4741.8602899999996</v>
      </c>
      <c r="H19">
        <v>4811.1947300000002</v>
      </c>
      <c r="I19">
        <v>4757.9255199999998</v>
      </c>
      <c r="J19">
        <v>5032.3678200000004</v>
      </c>
      <c r="K19">
        <v>5280.4219000000003</v>
      </c>
      <c r="L19">
        <v>5410.8320599999997</v>
      </c>
      <c r="M19">
        <v>6581.8923199999999</v>
      </c>
    </row>
    <row r="20" spans="1:13" x14ac:dyDescent="0.25">
      <c r="A20" s="27" t="s">
        <v>83</v>
      </c>
      <c r="B20" s="27"/>
      <c r="C20" s="27"/>
      <c r="D20" s="27"/>
      <c r="E20" s="27">
        <v>4920.6884600000003</v>
      </c>
      <c r="F20" s="27">
        <v>4950.7936900000004</v>
      </c>
      <c r="G20" s="27">
        <v>4911.1275800000003</v>
      </c>
      <c r="H20" s="27">
        <v>5128.7716099999998</v>
      </c>
      <c r="I20" s="27">
        <v>5302.3445499999998</v>
      </c>
      <c r="J20" s="27">
        <v>5535.4760699999997</v>
      </c>
      <c r="K20" s="27">
        <v>5640.2454699999998</v>
      </c>
      <c r="L20" s="27">
        <v>5865.7266499999996</v>
      </c>
      <c r="M20" s="27">
        <v>6074.3106500000004</v>
      </c>
    </row>
    <row r="21" spans="1:13" x14ac:dyDescent="0.25">
      <c r="A21" t="s">
        <v>101</v>
      </c>
      <c r="D21">
        <v>4499.3313600000001</v>
      </c>
      <c r="G21">
        <v>5310.2373200000002</v>
      </c>
      <c r="I21">
        <v>5258.5431600000002</v>
      </c>
      <c r="K21">
        <v>5562.9506099999999</v>
      </c>
      <c r="M21">
        <v>6022.74647</v>
      </c>
    </row>
    <row r="22" spans="1:13" x14ac:dyDescent="0.25">
      <c r="A22" t="s">
        <v>79</v>
      </c>
      <c r="B22">
        <v>5119.9940100000003</v>
      </c>
      <c r="C22">
        <v>5126.9031699999996</v>
      </c>
      <c r="D22">
        <v>5052.1494700000003</v>
      </c>
      <c r="E22">
        <v>5169.2649799999999</v>
      </c>
      <c r="F22">
        <v>5352.7624299999998</v>
      </c>
      <c r="G22">
        <v>5198.0974900000001</v>
      </c>
      <c r="H22">
        <v>5235.1567500000001</v>
      </c>
      <c r="I22">
        <v>5331.2713299999996</v>
      </c>
      <c r="J22">
        <v>5361.9659899999997</v>
      </c>
      <c r="K22">
        <v>5409.5354399999997</v>
      </c>
      <c r="L22">
        <v>5495.2507400000004</v>
      </c>
      <c r="M22">
        <v>5638.4179199999999</v>
      </c>
    </row>
    <row r="23" spans="1:13" x14ac:dyDescent="0.25">
      <c r="A23" t="s">
        <v>63</v>
      </c>
      <c r="B23">
        <v>4035.2135199999998</v>
      </c>
      <c r="C23">
        <v>4162.4988599999997</v>
      </c>
      <c r="D23">
        <v>4325.2205400000003</v>
      </c>
      <c r="E23">
        <v>4343.3172199999999</v>
      </c>
      <c r="F23">
        <v>4304.8653899999999</v>
      </c>
      <c r="G23">
        <v>4733.3585800000001</v>
      </c>
      <c r="H23">
        <v>4862.6252000000004</v>
      </c>
      <c r="I23">
        <v>5087.2542700000004</v>
      </c>
      <c r="J23">
        <v>5239.9718800000001</v>
      </c>
      <c r="K23">
        <v>5428.2153799999996</v>
      </c>
      <c r="L23">
        <v>5413.8241799999996</v>
      </c>
      <c r="M23">
        <v>5535.9542899999997</v>
      </c>
    </row>
    <row r="24" spans="1:13" x14ac:dyDescent="0.25">
      <c r="A24" t="s">
        <v>71</v>
      </c>
      <c r="B24">
        <v>3140.21749</v>
      </c>
      <c r="C24">
        <v>3367.04792</v>
      </c>
      <c r="D24">
        <v>4911.5436900000004</v>
      </c>
      <c r="E24">
        <v>5181.9360800000004</v>
      </c>
      <c r="F24">
        <v>5332.2667199999996</v>
      </c>
      <c r="G24">
        <v>5282.9495100000004</v>
      </c>
      <c r="H24">
        <v>5184.7151700000004</v>
      </c>
      <c r="I24">
        <v>5155.3707899999999</v>
      </c>
      <c r="J24">
        <v>4749.6171400000003</v>
      </c>
      <c r="K24">
        <v>4836.0744000000004</v>
      </c>
      <c r="L24">
        <v>4858.6072000000004</v>
      </c>
      <c r="M24">
        <v>5250.68228</v>
      </c>
    </row>
    <row r="25" spans="1:13" x14ac:dyDescent="0.25">
      <c r="A25" t="s">
        <v>67</v>
      </c>
      <c r="B25">
        <v>3910.74586</v>
      </c>
      <c r="C25">
        <v>3980.5386100000001</v>
      </c>
      <c r="D25">
        <v>4114.0246100000004</v>
      </c>
      <c r="E25">
        <v>4199.8373000000001</v>
      </c>
      <c r="F25">
        <v>4282.4568099999997</v>
      </c>
      <c r="G25">
        <v>4386.2364100000004</v>
      </c>
      <c r="H25">
        <v>4467.4281199999996</v>
      </c>
      <c r="I25">
        <v>4624.6967599999998</v>
      </c>
      <c r="J25">
        <v>4756.5841200000004</v>
      </c>
      <c r="K25">
        <v>4870.4561199999998</v>
      </c>
      <c r="L25">
        <v>4986.1800999999996</v>
      </c>
      <c r="M25">
        <v>5175.0055700000003</v>
      </c>
    </row>
    <row r="26" spans="1:13" x14ac:dyDescent="0.25">
      <c r="A26" t="s">
        <v>57</v>
      </c>
      <c r="B26">
        <v>4696.43912</v>
      </c>
      <c r="C26">
        <v>4835.4337299999997</v>
      </c>
      <c r="D26">
        <v>4683.6128200000003</v>
      </c>
      <c r="E26">
        <v>4678.2615800000003</v>
      </c>
      <c r="F26">
        <v>4595.6376799999998</v>
      </c>
      <c r="G26">
        <v>4582.3792299999996</v>
      </c>
      <c r="H26">
        <v>4428.1729599999999</v>
      </c>
      <c r="I26">
        <v>4467.1561199999996</v>
      </c>
      <c r="J26">
        <v>4758.1024699999998</v>
      </c>
      <c r="K26">
        <v>4894.2073200000004</v>
      </c>
      <c r="L26">
        <v>5076.2440399999996</v>
      </c>
    </row>
    <row r="27" spans="1:13" x14ac:dyDescent="0.25">
      <c r="A27" t="s">
        <v>95</v>
      </c>
      <c r="B27">
        <v>3549.2757700000002</v>
      </c>
      <c r="C27">
        <v>3663.7866199999999</v>
      </c>
      <c r="D27">
        <v>3649.93876</v>
      </c>
      <c r="E27">
        <v>3735.77673</v>
      </c>
      <c r="F27">
        <v>3836.5981499999998</v>
      </c>
      <c r="G27">
        <v>3874.7865999999999</v>
      </c>
      <c r="H27">
        <v>3830.4625999999998</v>
      </c>
      <c r="I27">
        <v>3958.56396</v>
      </c>
      <c r="J27">
        <v>4261.9894899999999</v>
      </c>
      <c r="K27">
        <v>4308.8739599999999</v>
      </c>
      <c r="L27">
        <v>4451.7810399999998</v>
      </c>
    </row>
    <row r="28" spans="1:13" x14ac:dyDescent="0.25">
      <c r="A28" t="s">
        <v>93</v>
      </c>
      <c r="B28">
        <v>4105.41626</v>
      </c>
      <c r="C28">
        <v>3988.47723</v>
      </c>
      <c r="D28">
        <v>4030.6723099999999</v>
      </c>
      <c r="E28">
        <v>4178.5012699999997</v>
      </c>
      <c r="F28">
        <v>4285.5349900000001</v>
      </c>
      <c r="G28">
        <v>4397.2220799999996</v>
      </c>
      <c r="H28">
        <v>4448.3519699999997</v>
      </c>
      <c r="I28">
        <v>4491.317</v>
      </c>
    </row>
    <row r="29" spans="1:13" x14ac:dyDescent="0.25">
      <c r="A29" t="s">
        <v>87</v>
      </c>
      <c r="B29">
        <v>1672.1477299999999</v>
      </c>
      <c r="C29">
        <v>1660.8295000000001</v>
      </c>
      <c r="D29">
        <v>1734.5689199999999</v>
      </c>
      <c r="E29">
        <v>1850.41678</v>
      </c>
      <c r="F29">
        <v>2037.3788</v>
      </c>
      <c r="G29">
        <v>2141.1824000000001</v>
      </c>
      <c r="H29">
        <v>2288.0817000000002</v>
      </c>
      <c r="I29">
        <v>2973.7661600000001</v>
      </c>
      <c r="J29">
        <v>3056.7677199999998</v>
      </c>
      <c r="K29">
        <v>3136.3904499999999</v>
      </c>
      <c r="L29">
        <v>3238.2091099999998</v>
      </c>
      <c r="M29">
        <v>3534.49865</v>
      </c>
    </row>
    <row r="30" spans="1:13" x14ac:dyDescent="0.25">
      <c r="A30" t="s">
        <v>91</v>
      </c>
      <c r="B30">
        <v>2896.49037</v>
      </c>
      <c r="C30">
        <v>2791.3132000000001</v>
      </c>
      <c r="D30">
        <v>2708.8487799999998</v>
      </c>
      <c r="E30">
        <v>2638.0277999999998</v>
      </c>
      <c r="F30">
        <v>2628.9438399999999</v>
      </c>
      <c r="G30">
        <v>2636.8475899999999</v>
      </c>
      <c r="H30">
        <v>2727.42868</v>
      </c>
      <c r="I30">
        <v>2863.7501299999999</v>
      </c>
      <c r="J30">
        <v>3003.56286</v>
      </c>
      <c r="K30">
        <v>3067.66122</v>
      </c>
      <c r="L30">
        <v>3071.4481599999999</v>
      </c>
      <c r="M30">
        <v>3251.7428100000002</v>
      </c>
    </row>
    <row r="31" spans="1:13" x14ac:dyDescent="0.25">
      <c r="A31" t="s">
        <v>77</v>
      </c>
      <c r="B31">
        <v>1732.5183300000001</v>
      </c>
      <c r="C31">
        <v>1770.69443</v>
      </c>
      <c r="D31">
        <v>1841.75359</v>
      </c>
      <c r="E31">
        <v>1927.1466399999999</v>
      </c>
      <c r="F31">
        <v>1958.36322</v>
      </c>
      <c r="G31">
        <v>2087.5575800000001</v>
      </c>
      <c r="H31">
        <v>2222.2084100000002</v>
      </c>
      <c r="I31">
        <v>2336.9388800000002</v>
      </c>
      <c r="J31">
        <v>2541.0382599999998</v>
      </c>
      <c r="K31">
        <v>2688.64671</v>
      </c>
      <c r="L31">
        <v>2632.2798200000002</v>
      </c>
      <c r="M31">
        <v>2677.84078</v>
      </c>
    </row>
    <row r="32" spans="1:13" x14ac:dyDescent="0.25">
      <c r="A32" t="s">
        <v>59</v>
      </c>
      <c r="B32">
        <v>901.12598000000003</v>
      </c>
      <c r="C32">
        <v>974.42187000000001</v>
      </c>
      <c r="D32">
        <v>1031.2236600000001</v>
      </c>
      <c r="E32">
        <v>1081.9645399999999</v>
      </c>
      <c r="F32">
        <v>1104.0830800000001</v>
      </c>
      <c r="G32">
        <v>1164.94031</v>
      </c>
      <c r="H32">
        <v>1210.7411300000001</v>
      </c>
      <c r="I32">
        <v>1237.7419500000001</v>
      </c>
      <c r="J32">
        <v>1319.3559600000001</v>
      </c>
      <c r="K32">
        <v>1485.81754</v>
      </c>
      <c r="L32">
        <v>1601.9221700000001</v>
      </c>
      <c r="M32">
        <v>1687.0567900000001</v>
      </c>
    </row>
    <row r="33" spans="1:12" x14ac:dyDescent="0.25">
      <c r="A33" t="s">
        <v>55</v>
      </c>
      <c r="B33">
        <v>687.11104</v>
      </c>
      <c r="C33">
        <v>738.61648000000002</v>
      </c>
      <c r="D33">
        <v>789.24593000000004</v>
      </c>
      <c r="E33">
        <v>839.21041000000002</v>
      </c>
      <c r="F33">
        <v>888.46387000000004</v>
      </c>
    </row>
    <row r="34" spans="1:12" x14ac:dyDescent="0.25">
      <c r="A34" t="s">
        <v>97</v>
      </c>
      <c r="B34">
        <v>363.72971000000001</v>
      </c>
      <c r="C34">
        <v>386.05380000000002</v>
      </c>
      <c r="D34">
        <v>405.10505000000001</v>
      </c>
      <c r="E34">
        <v>436.31117</v>
      </c>
      <c r="F34">
        <v>434.58897999999999</v>
      </c>
      <c r="G34">
        <v>473.73415999999997</v>
      </c>
      <c r="H34">
        <v>489.20080999999999</v>
      </c>
      <c r="I34">
        <v>524.14553000000001</v>
      </c>
      <c r="J34">
        <v>510.97357</v>
      </c>
      <c r="K34">
        <v>491.40996000000001</v>
      </c>
      <c r="L34">
        <v>472.68092000000001</v>
      </c>
    </row>
    <row r="35" spans="1:12" x14ac:dyDescent="0.25">
      <c r="A35" t="s">
        <v>69</v>
      </c>
      <c r="H35">
        <v>179.60321999999999</v>
      </c>
      <c r="I35">
        <v>216.37348</v>
      </c>
      <c r="J35">
        <v>217.51866999999999</v>
      </c>
      <c r="K35">
        <v>391.34138000000002</v>
      </c>
      <c r="L35">
        <v>399.60761000000002</v>
      </c>
    </row>
    <row r="36" spans="1:12" x14ac:dyDescent="0.25">
      <c r="A36" t="s">
        <v>73</v>
      </c>
      <c r="B36">
        <v>156.49807999999999</v>
      </c>
      <c r="G36">
        <v>215.18773999999999</v>
      </c>
      <c r="J36">
        <v>251.01397</v>
      </c>
      <c r="L36">
        <v>260.38328000000001</v>
      </c>
    </row>
    <row r="37" spans="1:12" x14ac:dyDescent="0.25">
      <c r="A37" t="s">
        <v>75</v>
      </c>
    </row>
  </sheetData>
  <sortState xmlns:xlrd2="http://schemas.microsoft.com/office/spreadsheetml/2017/richdata2" ref="A13:M37">
    <sortCondition descending="1" ref="M13:M37"/>
    <sortCondition descending="1" ref="L13:L37"/>
    <sortCondition descending="1" ref="K13:K37"/>
    <sortCondition descending="1" ref="J13:J37"/>
    <sortCondition descending="1" ref="I13:I37"/>
    <sortCondition descending="1" ref="H13:H37"/>
    <sortCondition descending="1" ref="G13:G37"/>
    <sortCondition descending="1" ref="F13:F37"/>
    <sortCondition descending="1" ref="E13:E37"/>
    <sortCondition descending="1" ref="D13:D37"/>
    <sortCondition descending="1" ref="C13:C37"/>
    <sortCondition descending="1" ref="B13:B37"/>
    <sortCondition descending="1" ref="A13:A37"/>
  </sortState>
  <hyperlinks>
    <hyperlink ref="A2" location="Overzicht!A1" display="Terug naar tabblad Overzicht" xr:uid="{7A7E3E3B-565B-4C76-900B-80F1542BCD76}"/>
  </hyperlinks>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8F83AC-7B72-4C00-A6BE-17ABD772981F}">
  <sheetPr codeName="Sheet15">
    <tabColor theme="8" tint="0.59999389629810485"/>
  </sheetPr>
  <dimension ref="A1:I65"/>
  <sheetViews>
    <sheetView zoomScaleNormal="100" workbookViewId="0"/>
  </sheetViews>
  <sheetFormatPr defaultRowHeight="12.5" x14ac:dyDescent="0.25"/>
  <sheetData>
    <row r="1" spans="1:8" ht="18" x14ac:dyDescent="0.4">
      <c r="A1" s="17" t="s">
        <v>24</v>
      </c>
      <c r="B1" s="17"/>
    </row>
    <row r="2" spans="1:8" x14ac:dyDescent="0.25">
      <c r="A2" s="52" t="s">
        <v>48</v>
      </c>
    </row>
    <row r="5" spans="1:8" x14ac:dyDescent="0.25">
      <c r="A5" t="s">
        <v>163</v>
      </c>
    </row>
    <row r="6" spans="1:8" x14ac:dyDescent="0.25">
      <c r="A6" t="s">
        <v>164</v>
      </c>
    </row>
    <row r="11" spans="1:8" ht="13" x14ac:dyDescent="0.3">
      <c r="B11" s="4">
        <v>2015</v>
      </c>
      <c r="C11" s="4">
        <v>2016</v>
      </c>
      <c r="D11" s="4">
        <v>2017</v>
      </c>
      <c r="E11" s="4">
        <v>2018</v>
      </c>
      <c r="F11" s="4">
        <v>2019</v>
      </c>
      <c r="G11" s="4">
        <v>2020</v>
      </c>
      <c r="H11" s="4">
        <v>2021</v>
      </c>
    </row>
    <row r="12" spans="1:8" x14ac:dyDescent="0.25">
      <c r="A12" t="s">
        <v>97</v>
      </c>
      <c r="B12">
        <v>44.979470671000001</v>
      </c>
      <c r="C12">
        <v>45.085534080999999</v>
      </c>
      <c r="D12">
        <v>44.912677877999997</v>
      </c>
      <c r="E12">
        <v>45.685744618999998</v>
      </c>
      <c r="F12">
        <v>46.16463985</v>
      </c>
      <c r="G12">
        <v>46.570367717000003</v>
      </c>
    </row>
    <row r="13" spans="1:8" x14ac:dyDescent="0.25">
      <c r="A13" t="s">
        <v>69</v>
      </c>
      <c r="C13">
        <v>45.5</v>
      </c>
      <c r="D13">
        <v>45.8</v>
      </c>
      <c r="E13">
        <v>45.8</v>
      </c>
      <c r="F13">
        <v>43.5</v>
      </c>
      <c r="G13">
        <v>43.5</v>
      </c>
    </row>
    <row r="14" spans="1:8" x14ac:dyDescent="0.25">
      <c r="A14" t="s">
        <v>91</v>
      </c>
      <c r="B14">
        <v>40.031835389999998</v>
      </c>
      <c r="C14">
        <v>40.151755623</v>
      </c>
      <c r="D14">
        <v>40.487033553000003</v>
      </c>
      <c r="E14">
        <v>40.765679435000003</v>
      </c>
      <c r="F14">
        <v>41.335366157000003</v>
      </c>
      <c r="G14">
        <v>41.469447594999998</v>
      </c>
      <c r="H14">
        <v>41.596804824000003</v>
      </c>
    </row>
    <row r="15" spans="1:8" x14ac:dyDescent="0.25">
      <c r="A15" t="s">
        <v>93</v>
      </c>
      <c r="B15">
        <v>38.589967260000002</v>
      </c>
      <c r="C15">
        <v>38.666092605999999</v>
      </c>
      <c r="D15">
        <v>38.749097777999999</v>
      </c>
    </row>
    <row r="16" spans="1:8" x14ac:dyDescent="0.25">
      <c r="A16" t="s">
        <v>85</v>
      </c>
      <c r="B16">
        <v>37.383338762999998</v>
      </c>
      <c r="C16">
        <v>37.581729271999997</v>
      </c>
      <c r="D16">
        <v>38.064003866</v>
      </c>
      <c r="E16">
        <v>38.759663922000001</v>
      </c>
      <c r="F16">
        <v>38.590914251000001</v>
      </c>
      <c r="G16">
        <v>38.662187218</v>
      </c>
      <c r="H16">
        <v>38.546742801999997</v>
      </c>
    </row>
    <row r="17" spans="1:8" x14ac:dyDescent="0.25">
      <c r="A17" t="s">
        <v>101</v>
      </c>
      <c r="B17">
        <v>33.546037214000002</v>
      </c>
      <c r="D17">
        <v>35.180094058999998</v>
      </c>
      <c r="F17">
        <v>35.673648823000001</v>
      </c>
      <c r="H17">
        <v>37.502872000000004</v>
      </c>
    </row>
    <row r="18" spans="1:8" x14ac:dyDescent="0.25">
      <c r="A18" t="s">
        <v>71</v>
      </c>
      <c r="B18">
        <v>36.114382341000002</v>
      </c>
      <c r="D18">
        <v>36.303677888999999</v>
      </c>
      <c r="F18">
        <v>38.262237183000003</v>
      </c>
      <c r="H18">
        <v>37.363509481999998</v>
      </c>
    </row>
    <row r="19" spans="1:8" x14ac:dyDescent="0.25">
      <c r="A19" t="s">
        <v>87</v>
      </c>
      <c r="B19">
        <v>37.022971626999997</v>
      </c>
      <c r="C19">
        <v>36.437640987999998</v>
      </c>
      <c r="D19">
        <v>38.110215267999997</v>
      </c>
      <c r="E19">
        <v>37.902226278999997</v>
      </c>
      <c r="F19">
        <v>37.601422354</v>
      </c>
      <c r="G19">
        <v>36.577232461000001</v>
      </c>
      <c r="H19">
        <v>36.235927715999999</v>
      </c>
    </row>
    <row r="20" spans="1:8" x14ac:dyDescent="0.25">
      <c r="A20" t="s">
        <v>77</v>
      </c>
      <c r="B20">
        <v>36.040315040000003</v>
      </c>
      <c r="C20">
        <v>35.193850986000001</v>
      </c>
      <c r="D20">
        <v>34.327572101000001</v>
      </c>
      <c r="E20">
        <v>33.778318497999997</v>
      </c>
      <c r="F20">
        <v>34.153894628000003</v>
      </c>
      <c r="G20">
        <v>34.904999724</v>
      </c>
      <c r="H20">
        <v>36.096276346000003</v>
      </c>
    </row>
    <row r="21" spans="1:8" x14ac:dyDescent="0.25">
      <c r="A21" t="s">
        <v>61</v>
      </c>
      <c r="B21">
        <v>33.837532236000001</v>
      </c>
      <c r="D21">
        <v>35.736040609</v>
      </c>
      <c r="F21">
        <v>35.317428092999997</v>
      </c>
    </row>
    <row r="22" spans="1:8" x14ac:dyDescent="0.25">
      <c r="A22" t="s">
        <v>99</v>
      </c>
      <c r="B22">
        <v>33.718888204000002</v>
      </c>
      <c r="D22">
        <v>32.632985183000002</v>
      </c>
      <c r="F22">
        <v>33.270671620000002</v>
      </c>
      <c r="H22">
        <v>34.625948043000001</v>
      </c>
    </row>
    <row r="23" spans="1:8" x14ac:dyDescent="0.25">
      <c r="A23" t="s">
        <v>53</v>
      </c>
      <c r="B23">
        <v>34.117950317999998</v>
      </c>
      <c r="D23">
        <v>34.824451291000003</v>
      </c>
      <c r="F23">
        <v>32.620944451</v>
      </c>
      <c r="H23">
        <v>33.520720849</v>
      </c>
    </row>
    <row r="24" spans="1:8" x14ac:dyDescent="0.25">
      <c r="A24" t="s">
        <v>65</v>
      </c>
      <c r="B24">
        <v>32.290769451999999</v>
      </c>
      <c r="C24">
        <v>32.517859801</v>
      </c>
      <c r="D24">
        <v>33.151702100000001</v>
      </c>
      <c r="E24">
        <v>33.703870793</v>
      </c>
      <c r="F24">
        <v>33.744488857999997</v>
      </c>
      <c r="G24">
        <v>33.400770084000001</v>
      </c>
      <c r="H24">
        <v>32.80407202</v>
      </c>
    </row>
    <row r="25" spans="1:8" x14ac:dyDescent="0.25">
      <c r="A25" t="s">
        <v>159</v>
      </c>
      <c r="B25">
        <v>29.493536277562104</v>
      </c>
      <c r="D25">
        <v>30.059296097934201</v>
      </c>
      <c r="F25">
        <v>30.392041125146225</v>
      </c>
      <c r="H25">
        <v>31.25168796094318</v>
      </c>
    </row>
    <row r="26" spans="1:8" x14ac:dyDescent="0.25">
      <c r="A26" t="s">
        <v>89</v>
      </c>
      <c r="B26">
        <v>30.248615584</v>
      </c>
      <c r="C26">
        <v>30.652893901999999</v>
      </c>
      <c r="D26">
        <v>30.7437322</v>
      </c>
      <c r="E26">
        <v>30.764614923</v>
      </c>
      <c r="F26">
        <v>30.615152169000002</v>
      </c>
    </row>
    <row r="27" spans="1:8" x14ac:dyDescent="0.25">
      <c r="A27" s="27" t="s">
        <v>83</v>
      </c>
      <c r="B27" s="27">
        <v>25.197221241000001</v>
      </c>
      <c r="C27" s="27">
        <v>26.054042771999999</v>
      </c>
      <c r="D27" s="27">
        <v>26.135507955000001</v>
      </c>
      <c r="E27" s="27">
        <v>27.038178144</v>
      </c>
      <c r="F27" s="27">
        <v>27.854065895000002</v>
      </c>
      <c r="G27" s="27">
        <v>28.586130010000002</v>
      </c>
      <c r="H27" s="27">
        <v>30.245041654000001</v>
      </c>
    </row>
    <row r="28" spans="1:8" x14ac:dyDescent="0.25">
      <c r="A28" t="s">
        <v>67</v>
      </c>
      <c r="B28">
        <v>26.96964346</v>
      </c>
      <c r="C28">
        <v>27.996893548999999</v>
      </c>
      <c r="D28">
        <v>28.291492177999999</v>
      </c>
      <c r="G28">
        <v>29.411100887</v>
      </c>
      <c r="H28">
        <v>29.870657662999999</v>
      </c>
    </row>
    <row r="29" spans="1:8" x14ac:dyDescent="0.25">
      <c r="A29" t="s">
        <v>63</v>
      </c>
      <c r="B29">
        <v>28.000955582</v>
      </c>
      <c r="D29">
        <v>27.875626880999999</v>
      </c>
      <c r="F29">
        <v>28.054043039</v>
      </c>
      <c r="H29">
        <v>29.357814091000002</v>
      </c>
    </row>
    <row r="30" spans="1:8" x14ac:dyDescent="0.25">
      <c r="A30" t="s">
        <v>81</v>
      </c>
      <c r="B30">
        <v>18.896796995999999</v>
      </c>
      <c r="C30">
        <v>19.666036560999999</v>
      </c>
      <c r="D30">
        <v>20.100000828999999</v>
      </c>
      <c r="E30">
        <v>20.368360659</v>
      </c>
      <c r="F30">
        <v>21.033158904</v>
      </c>
      <c r="G30">
        <v>21.423182718</v>
      </c>
      <c r="H30">
        <v>22.168491101000001</v>
      </c>
    </row>
    <row r="31" spans="1:8" x14ac:dyDescent="0.25">
      <c r="A31" t="s">
        <v>79</v>
      </c>
      <c r="B31">
        <v>15.253648941</v>
      </c>
      <c r="C31">
        <v>15.704704568</v>
      </c>
      <c r="D31">
        <v>16.175111740999998</v>
      </c>
      <c r="E31">
        <v>16.562034419</v>
      </c>
      <c r="F31">
        <v>16.868008236000001</v>
      </c>
      <c r="G31">
        <v>17.473936825999999</v>
      </c>
      <c r="H31">
        <v>17.834311369000002</v>
      </c>
    </row>
    <row r="57" spans="1:1" x14ac:dyDescent="0.25">
      <c r="A57" t="s">
        <v>165</v>
      </c>
    </row>
    <row r="65" spans="3:9" x14ac:dyDescent="0.25">
      <c r="C65" s="26"/>
      <c r="E65" s="26"/>
      <c r="G65" s="26"/>
      <c r="I65" s="26"/>
    </row>
  </sheetData>
  <sortState xmlns:xlrd2="http://schemas.microsoft.com/office/spreadsheetml/2017/richdata2" ref="A11:H31">
    <sortCondition descending="1" ref="H11:H31"/>
    <sortCondition descending="1" ref="G11:G31"/>
    <sortCondition descending="1" ref="F11:F31"/>
    <sortCondition descending="1" ref="E11:E31"/>
    <sortCondition descending="1" ref="D11:D31"/>
    <sortCondition descending="1" ref="C11:C31"/>
    <sortCondition descending="1" ref="B11:B31"/>
    <sortCondition descending="1" ref="A11:A31"/>
  </sortState>
  <hyperlinks>
    <hyperlink ref="A2" location="Overzicht!A1" display="Terug naar tabblad Overzicht" xr:uid="{A5A11548-6AE1-473D-998F-33E5A107916B}"/>
  </hyperlinks>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tabColor theme="9" tint="0.59999389629810485"/>
  </sheetPr>
  <dimension ref="A1:X44"/>
  <sheetViews>
    <sheetView zoomScaleNormal="100" workbookViewId="0"/>
  </sheetViews>
  <sheetFormatPr defaultRowHeight="12.5" x14ac:dyDescent="0.25"/>
  <cols>
    <col min="1" max="1" width="17" customWidth="1"/>
    <col min="2" max="19" width="10.453125" bestFit="1" customWidth="1"/>
    <col min="20" max="20" width="10.453125" customWidth="1"/>
    <col min="21" max="21" width="17" bestFit="1" customWidth="1"/>
    <col min="22" max="22" width="17" customWidth="1"/>
    <col min="23" max="23" width="10.453125" customWidth="1"/>
  </cols>
  <sheetData>
    <row r="1" spans="1:24" ht="18.5" x14ac:dyDescent="0.45">
      <c r="A1" s="1" t="s">
        <v>26</v>
      </c>
    </row>
    <row r="2" spans="1:24" x14ac:dyDescent="0.25">
      <c r="A2" s="52" t="s">
        <v>48</v>
      </c>
    </row>
    <row r="5" spans="1:24" s="4" customFormat="1" ht="13" x14ac:dyDescent="0.3">
      <c r="A5" s="4" t="s">
        <v>166</v>
      </c>
      <c r="B5" s="4">
        <v>2003</v>
      </c>
      <c r="C5" s="4">
        <v>2004</v>
      </c>
      <c r="D5" s="4">
        <v>2005</v>
      </c>
      <c r="E5" s="4">
        <v>2006</v>
      </c>
      <c r="F5" s="4">
        <v>2007</v>
      </c>
      <c r="G5" s="4">
        <v>2008</v>
      </c>
      <c r="H5" s="4">
        <v>2009</v>
      </c>
      <c r="I5" s="4">
        <v>2010</v>
      </c>
      <c r="J5" s="4">
        <v>2011</v>
      </c>
      <c r="K5" s="4">
        <v>2012</v>
      </c>
      <c r="L5" s="4">
        <v>2013</v>
      </c>
      <c r="M5" s="4">
        <v>2014</v>
      </c>
      <c r="N5" s="4">
        <v>2015</v>
      </c>
      <c r="O5" s="4">
        <v>2016</v>
      </c>
      <c r="P5" s="4">
        <v>2017</v>
      </c>
      <c r="Q5" s="4">
        <v>2018</v>
      </c>
      <c r="R5" s="4">
        <v>2019</v>
      </c>
      <c r="S5" s="4">
        <v>2020</v>
      </c>
    </row>
    <row r="6" spans="1:24" ht="14.5" x14ac:dyDescent="0.35">
      <c r="A6" s="7" t="s">
        <v>167</v>
      </c>
      <c r="B6" s="5">
        <v>15131.872799999957</v>
      </c>
      <c r="C6" s="5">
        <v>15098.065399999919</v>
      </c>
      <c r="D6" s="5">
        <v>14907.624399999972</v>
      </c>
      <c r="E6" s="5">
        <v>15145.134199999949</v>
      </c>
      <c r="F6" s="5">
        <v>15167.341699999981</v>
      </c>
      <c r="G6" s="5">
        <v>15222.442499999961</v>
      </c>
      <c r="H6" s="5">
        <v>15341.224299999971</v>
      </c>
      <c r="I6" s="5">
        <v>15338.884799999974</v>
      </c>
      <c r="J6" s="5">
        <v>15292.230599999972</v>
      </c>
      <c r="K6" s="5">
        <v>15305.84531578942</v>
      </c>
      <c r="L6" s="5">
        <v>15315.342699999934</v>
      </c>
      <c r="M6" s="5">
        <v>15330.264499999927</v>
      </c>
      <c r="N6" s="5">
        <v>15418.447999999957</v>
      </c>
      <c r="O6" s="5">
        <v>15534.431499999968</v>
      </c>
      <c r="P6" s="5">
        <v>15594.126630000002</v>
      </c>
      <c r="Q6" s="5">
        <v>15522.987699999929</v>
      </c>
      <c r="R6" s="5">
        <v>15729.348419999953</v>
      </c>
      <c r="S6" s="6">
        <v>16288.993171052589</v>
      </c>
      <c r="W6" s="6"/>
    </row>
    <row r="7" spans="1:24" ht="14.5" x14ac:dyDescent="0.35">
      <c r="A7" s="7" t="s">
        <v>168</v>
      </c>
      <c r="B7" s="8">
        <v>3907.9912000000004</v>
      </c>
      <c r="C7" s="8">
        <v>4154.8099999999986</v>
      </c>
      <c r="D7" s="8">
        <v>4436.9233999999997</v>
      </c>
      <c r="E7" s="8">
        <v>4956.8756999999996</v>
      </c>
      <c r="F7" s="8">
        <v>5471.1767999999993</v>
      </c>
      <c r="G7" s="8">
        <v>6098.2156000000014</v>
      </c>
      <c r="H7" s="8">
        <v>6848.4176000000016</v>
      </c>
      <c r="I7" s="8">
        <v>7289.9025000000001</v>
      </c>
      <c r="J7" s="8">
        <v>7637.1058999999987</v>
      </c>
      <c r="K7" s="8">
        <v>7874.0145999999995</v>
      </c>
      <c r="L7" s="8">
        <v>8153.4829</v>
      </c>
      <c r="M7" s="8">
        <v>8511.0814999999984</v>
      </c>
      <c r="N7" s="8">
        <v>8795.0996999999988</v>
      </c>
      <c r="O7" s="8">
        <v>9313.4549999999963</v>
      </c>
      <c r="P7" s="8">
        <v>9886.6522999999997</v>
      </c>
      <c r="Q7" s="8">
        <v>10467.543</v>
      </c>
      <c r="R7" s="8">
        <v>11351.829899999995</v>
      </c>
      <c r="S7" s="6">
        <v>12654.237168421045</v>
      </c>
      <c r="W7" s="31"/>
    </row>
    <row r="8" spans="1:24" ht="14.5" x14ac:dyDescent="0.35">
      <c r="A8" t="s">
        <v>79</v>
      </c>
      <c r="B8" s="5">
        <v>21.4</v>
      </c>
      <c r="C8" s="5">
        <v>24.4</v>
      </c>
      <c r="D8" s="5">
        <v>25</v>
      </c>
      <c r="E8" s="5">
        <v>31.8</v>
      </c>
      <c r="F8" s="5">
        <v>34.225000000000001</v>
      </c>
      <c r="G8" s="5">
        <v>33.600000000000009</v>
      </c>
      <c r="H8" s="5">
        <v>41.247399999999999</v>
      </c>
      <c r="I8" s="5">
        <v>39.647400000000005</v>
      </c>
      <c r="J8" s="5">
        <v>42.547400000000003</v>
      </c>
      <c r="K8" s="5">
        <v>36.300000000000004</v>
      </c>
      <c r="L8" s="5">
        <v>33.07</v>
      </c>
      <c r="M8" s="5">
        <v>32.1</v>
      </c>
      <c r="N8" s="5">
        <v>30.000000000000004</v>
      </c>
      <c r="O8" s="5">
        <v>29.534200000000002</v>
      </c>
      <c r="P8" s="5">
        <v>21.700000000000003</v>
      </c>
      <c r="Q8" s="5">
        <v>36.7684</v>
      </c>
      <c r="R8" s="5">
        <v>34.642099999999999</v>
      </c>
      <c r="S8" s="2">
        <v>39.142099999999999</v>
      </c>
      <c r="W8" s="30"/>
      <c r="X8" s="3"/>
    </row>
    <row r="9" spans="1:24" x14ac:dyDescent="0.25">
      <c r="A9" t="s">
        <v>69</v>
      </c>
      <c r="B9" s="2">
        <v>93.044799999999995</v>
      </c>
      <c r="C9" s="2">
        <v>91.06450000000001</v>
      </c>
      <c r="D9" s="2">
        <v>84.220000000000013</v>
      </c>
      <c r="E9" s="2">
        <v>86.717900000000014</v>
      </c>
      <c r="F9" s="2">
        <v>81.503199999999993</v>
      </c>
      <c r="G9" s="2">
        <v>90.081699999999998</v>
      </c>
      <c r="H9" s="2">
        <v>88.36</v>
      </c>
      <c r="I9" s="2">
        <v>83.509999999999991</v>
      </c>
      <c r="J9" s="2">
        <v>89.808400000000006</v>
      </c>
      <c r="K9" s="2">
        <v>83.306700000000006</v>
      </c>
      <c r="L9" s="2">
        <v>81.890000000000015</v>
      </c>
      <c r="M9" s="2">
        <v>70.560100000000006</v>
      </c>
      <c r="N9" s="2">
        <v>70.911599999999993</v>
      </c>
      <c r="O9" s="2">
        <v>56.28</v>
      </c>
      <c r="P9" s="2">
        <v>55.419999999999995</v>
      </c>
      <c r="Q9" s="2">
        <v>58.808899999999994</v>
      </c>
      <c r="R9" s="2">
        <v>72.349999999999994</v>
      </c>
      <c r="S9" s="2">
        <v>85.797899999999998</v>
      </c>
      <c r="W9" s="2"/>
      <c r="X9" s="3"/>
    </row>
    <row r="10" spans="1:24" x14ac:dyDescent="0.25">
      <c r="A10" t="s">
        <v>59</v>
      </c>
      <c r="B10" s="2">
        <v>223.20519999999996</v>
      </c>
      <c r="C10" s="2">
        <v>265.36020000000002</v>
      </c>
      <c r="D10" s="2">
        <v>332.24789999999996</v>
      </c>
      <c r="E10" s="2">
        <v>405.34009999999989</v>
      </c>
      <c r="F10" s="2">
        <v>462.529</v>
      </c>
      <c r="G10" s="2">
        <v>510.49739999999991</v>
      </c>
      <c r="H10" s="2">
        <v>561.46109999999999</v>
      </c>
      <c r="I10" s="2">
        <v>584.54739999999993</v>
      </c>
      <c r="J10" s="2">
        <v>571.56060000000002</v>
      </c>
      <c r="K10" s="2">
        <v>595.07690000000014</v>
      </c>
      <c r="L10" s="2">
        <v>646.08269999999993</v>
      </c>
      <c r="M10" s="2">
        <v>700.38050000000032</v>
      </c>
      <c r="N10" s="2">
        <v>707.60669999999993</v>
      </c>
      <c r="O10" s="2">
        <v>680.90309999999988</v>
      </c>
      <c r="P10" s="2">
        <v>652.89139999999986</v>
      </c>
      <c r="Q10" s="2">
        <v>709.78539999999975</v>
      </c>
      <c r="R10" s="2">
        <v>737.2931999999995</v>
      </c>
      <c r="S10" s="2">
        <v>819.35266842105239</v>
      </c>
      <c r="W10" s="2"/>
      <c r="X10" s="3"/>
    </row>
    <row r="11" spans="1:24" x14ac:dyDescent="0.25">
      <c r="A11" t="s">
        <v>63</v>
      </c>
      <c r="B11" s="2">
        <v>509.16210000000001</v>
      </c>
      <c r="C11" s="2">
        <v>595.68709999999987</v>
      </c>
      <c r="D11" s="2">
        <v>683.87479999999982</v>
      </c>
      <c r="E11" s="2">
        <v>754.73529999999971</v>
      </c>
      <c r="F11" s="2">
        <v>863.12189999999987</v>
      </c>
      <c r="G11" s="2">
        <v>966.05620000000033</v>
      </c>
      <c r="H11" s="2">
        <v>1078.7555</v>
      </c>
      <c r="I11" s="2">
        <v>1130.9432000000006</v>
      </c>
      <c r="J11" s="2">
        <v>1178.3050999999994</v>
      </c>
      <c r="K11" s="2">
        <v>1205.603499999999</v>
      </c>
      <c r="L11" s="2">
        <v>1253.5536999999993</v>
      </c>
      <c r="M11" s="2">
        <v>1300.4311999999995</v>
      </c>
      <c r="N11" s="2">
        <v>1350.650899999999</v>
      </c>
      <c r="O11" s="2">
        <v>1301.1484999999991</v>
      </c>
      <c r="P11" s="2">
        <v>1183.5283999999995</v>
      </c>
      <c r="Q11" s="2">
        <v>1456.336299999999</v>
      </c>
      <c r="R11" s="2">
        <v>1462.030299999999</v>
      </c>
      <c r="S11" s="2">
        <v>1589.7053000000005</v>
      </c>
      <c r="W11" s="2"/>
      <c r="X11" s="3"/>
    </row>
    <row r="12" spans="1:24" x14ac:dyDescent="0.25">
      <c r="A12" t="s">
        <v>73</v>
      </c>
      <c r="B12" s="2">
        <v>147.24209999999999</v>
      </c>
      <c r="C12" s="2">
        <v>155.00579999999999</v>
      </c>
      <c r="D12" s="2">
        <v>158.65899999999999</v>
      </c>
      <c r="E12" s="2">
        <v>201.35</v>
      </c>
      <c r="F12" s="2">
        <v>233.3571</v>
      </c>
      <c r="G12" s="2">
        <v>288.02839999999998</v>
      </c>
      <c r="H12" s="2">
        <v>340.34939999999995</v>
      </c>
      <c r="I12" s="2">
        <v>371.31569999999999</v>
      </c>
      <c r="J12" s="2">
        <v>386.6373000000001</v>
      </c>
      <c r="K12" s="2">
        <v>400.72160000000002</v>
      </c>
      <c r="L12" s="2">
        <v>412.25580000000002</v>
      </c>
      <c r="M12" s="2">
        <v>471.93209999999999</v>
      </c>
      <c r="N12" s="2">
        <v>475.49209999999999</v>
      </c>
      <c r="O12" s="2">
        <v>472.34999999999991</v>
      </c>
      <c r="P12" s="2">
        <v>493.00999999999993</v>
      </c>
      <c r="Q12" s="2">
        <v>568.47839999999997</v>
      </c>
      <c r="R12" s="2">
        <v>614.68639999999994</v>
      </c>
      <c r="S12" s="2">
        <v>725.44379999999978</v>
      </c>
      <c r="W12" s="2"/>
      <c r="X12" s="3"/>
    </row>
    <row r="13" spans="1:24" x14ac:dyDescent="0.25">
      <c r="A13" t="s">
        <v>93</v>
      </c>
      <c r="B13" s="2">
        <v>230.24780000000001</v>
      </c>
      <c r="C13" s="2">
        <v>234.88310000000001</v>
      </c>
      <c r="D13" s="2">
        <v>233.7073</v>
      </c>
      <c r="E13" s="2">
        <v>249.9529</v>
      </c>
      <c r="F13" s="2">
        <v>266.64570000000003</v>
      </c>
      <c r="G13" s="2">
        <v>290.16480000000001</v>
      </c>
      <c r="H13" s="2">
        <v>335.52149999999995</v>
      </c>
      <c r="I13" s="2">
        <v>347.22539999999998</v>
      </c>
      <c r="J13" s="2">
        <v>369.6422</v>
      </c>
      <c r="K13" s="2">
        <v>387.09190000000001</v>
      </c>
      <c r="L13" s="2">
        <v>401.65100000000007</v>
      </c>
      <c r="M13" s="2">
        <v>414.77880000000005</v>
      </c>
      <c r="N13" s="2">
        <v>438.94010000000009</v>
      </c>
      <c r="O13" s="2">
        <v>408.03399999999999</v>
      </c>
    </row>
    <row r="14" spans="1:24" x14ac:dyDescent="0.25">
      <c r="A14" t="s">
        <v>95</v>
      </c>
      <c r="B14" s="2">
        <v>160.60579999999999</v>
      </c>
      <c r="C14" s="2">
        <v>164.24859999999998</v>
      </c>
      <c r="D14" s="2">
        <v>161.26260000000002</v>
      </c>
      <c r="E14" s="2">
        <v>198.73479999999998</v>
      </c>
      <c r="F14" s="2">
        <v>215.58819999999997</v>
      </c>
      <c r="G14" s="2">
        <v>257.03879999999998</v>
      </c>
      <c r="H14" s="2">
        <v>279.06189999999998</v>
      </c>
      <c r="I14" s="2">
        <v>322.94150000000002</v>
      </c>
      <c r="J14" s="2">
        <v>347.13849999999996</v>
      </c>
      <c r="K14" s="2">
        <v>369.00990000000002</v>
      </c>
      <c r="L14" s="2">
        <v>375.91349999999994</v>
      </c>
      <c r="M14" s="2">
        <v>370.99259999999998</v>
      </c>
      <c r="N14" s="2">
        <v>401.02389999999991</v>
      </c>
      <c r="O14" s="2">
        <v>399.43720000000002</v>
      </c>
    </row>
    <row r="15" spans="1:24" x14ac:dyDescent="0.25">
      <c r="A15" t="s">
        <v>97</v>
      </c>
      <c r="B15" s="2">
        <v>44.642099999999992</v>
      </c>
      <c r="C15" s="2">
        <v>42.430499999999995</v>
      </c>
      <c r="D15" s="2">
        <v>36.636799999999994</v>
      </c>
      <c r="E15" s="2">
        <v>28.789499999999997</v>
      </c>
      <c r="F15" s="2">
        <v>25.839499999999997</v>
      </c>
      <c r="G15" s="2">
        <v>29.897400000000001</v>
      </c>
      <c r="H15" s="2">
        <v>37.8474</v>
      </c>
      <c r="I15" s="2">
        <v>40.447399999999995</v>
      </c>
      <c r="J15" s="2">
        <v>55.289500000000004</v>
      </c>
      <c r="K15" s="2">
        <v>50.289500000000004</v>
      </c>
      <c r="L15" s="2">
        <v>39.092100000000002</v>
      </c>
      <c r="M15" s="2">
        <v>39.492099999999994</v>
      </c>
      <c r="N15" s="2">
        <v>42.545100000000005</v>
      </c>
      <c r="O15" s="2">
        <v>42.612100000000005</v>
      </c>
    </row>
    <row r="16" spans="1:24" x14ac:dyDescent="0.25">
      <c r="A16" t="s">
        <v>55</v>
      </c>
      <c r="B16" s="2">
        <v>33.799999999999997</v>
      </c>
      <c r="C16" s="2">
        <v>37.631600000000006</v>
      </c>
      <c r="D16" s="2">
        <v>40.189500000000002</v>
      </c>
      <c r="E16" s="2">
        <v>43.992100000000001</v>
      </c>
      <c r="F16" s="2">
        <v>46.569999999999993</v>
      </c>
      <c r="G16" s="2">
        <v>61.873700000000007</v>
      </c>
      <c r="H16" s="2">
        <v>69.747399999999999</v>
      </c>
      <c r="I16" s="2">
        <v>75.615800000000007</v>
      </c>
      <c r="J16" s="2">
        <v>74.5</v>
      </c>
      <c r="K16" s="2">
        <v>66.745699999999999</v>
      </c>
      <c r="L16" s="2">
        <v>59.399900000000002</v>
      </c>
      <c r="M16" s="2">
        <v>68.24199999999999</v>
      </c>
      <c r="N16" s="2">
        <v>70.513199999999998</v>
      </c>
      <c r="O16" s="2">
        <v>82.160799999999995</v>
      </c>
    </row>
    <row r="17" spans="1:20" x14ac:dyDescent="0.25">
      <c r="A17" t="s">
        <v>67</v>
      </c>
      <c r="B17" s="2">
        <v>195.51789999999997</v>
      </c>
      <c r="C17" s="2">
        <v>193.11759999999995</v>
      </c>
      <c r="D17" s="2">
        <v>199.43939999999998</v>
      </c>
      <c r="E17" s="2">
        <v>221.38430000000002</v>
      </c>
      <c r="F17" s="2">
        <v>239.2715</v>
      </c>
      <c r="G17" s="2">
        <v>247.18259999999995</v>
      </c>
      <c r="H17" s="2">
        <v>264.76479999999998</v>
      </c>
      <c r="I17" s="2">
        <v>264.21469999999999</v>
      </c>
      <c r="J17" s="2">
        <v>266.07109999999994</v>
      </c>
      <c r="K17" s="2">
        <v>282.90359999999998</v>
      </c>
      <c r="L17" s="2">
        <v>285.26580000000001</v>
      </c>
      <c r="M17" s="2">
        <v>295.00629999999995</v>
      </c>
      <c r="N17" s="2">
        <v>304.3956</v>
      </c>
      <c r="O17" s="2">
        <v>281.67109999999997</v>
      </c>
    </row>
    <row r="18" spans="1:20" x14ac:dyDescent="0.25">
      <c r="A18" t="s">
        <v>81</v>
      </c>
      <c r="B18" s="2">
        <v>13.1</v>
      </c>
      <c r="C18" s="2">
        <v>17.200000000000003</v>
      </c>
      <c r="D18" s="2">
        <v>17.774999999999999</v>
      </c>
      <c r="E18" s="2">
        <v>18.074999999999999</v>
      </c>
      <c r="F18" s="2">
        <v>20.000000000000004</v>
      </c>
      <c r="G18" s="2">
        <v>23.000000000000004</v>
      </c>
      <c r="H18" s="2">
        <v>27.200000000000003</v>
      </c>
      <c r="I18" s="2"/>
      <c r="J18" s="2">
        <v>23.200000000000003</v>
      </c>
      <c r="K18" s="2">
        <v>26.6</v>
      </c>
      <c r="L18" s="2">
        <v>29.242100000000001</v>
      </c>
      <c r="M18" s="2">
        <v>34.6</v>
      </c>
      <c r="N18" s="2">
        <v>39.7789</v>
      </c>
      <c r="O18" s="2">
        <v>37.836799999999997</v>
      </c>
    </row>
    <row r="19" spans="1:20" x14ac:dyDescent="0.25">
      <c r="A19" t="s">
        <v>75</v>
      </c>
      <c r="B19" s="2">
        <v>25.5868</v>
      </c>
      <c r="C19" s="2">
        <v>33.799999999999997</v>
      </c>
      <c r="D19" s="2">
        <v>39.413200000000003</v>
      </c>
      <c r="E19" s="2">
        <v>44.436799999999991</v>
      </c>
      <c r="F19" s="2">
        <v>39.236800000000002</v>
      </c>
      <c r="G19" s="2">
        <v>46.936800000000005</v>
      </c>
      <c r="H19" s="2">
        <v>46.736800000000002</v>
      </c>
      <c r="I19" s="2">
        <v>42.089400000000005</v>
      </c>
      <c r="J19" s="2">
        <v>41.610500000000002</v>
      </c>
      <c r="K19" s="2">
        <v>43.349999999999994</v>
      </c>
      <c r="L19" s="2">
        <v>42.207900000000002</v>
      </c>
      <c r="M19" s="2">
        <v>41.8</v>
      </c>
      <c r="N19" s="2">
        <v>53.3</v>
      </c>
      <c r="O19" s="2">
        <v>47.334699999999998</v>
      </c>
    </row>
    <row r="20" spans="1:20" x14ac:dyDescent="0.25">
      <c r="A20" t="s">
        <v>101</v>
      </c>
      <c r="B20" s="2">
        <v>28.671900000000001</v>
      </c>
      <c r="C20" s="2">
        <v>30.445300000000003</v>
      </c>
      <c r="D20" s="2">
        <v>34.2211</v>
      </c>
      <c r="E20" s="2">
        <v>40.421100000000003</v>
      </c>
      <c r="F20" s="2">
        <v>45.151499999999999</v>
      </c>
      <c r="G20" s="2">
        <v>50.363099999999989</v>
      </c>
      <c r="H20" s="2">
        <v>56.352699999999992</v>
      </c>
      <c r="I20" s="2">
        <v>57.631599999999999</v>
      </c>
      <c r="J20" s="2">
        <v>65.073700000000002</v>
      </c>
      <c r="K20" s="2">
        <v>61.531599999999997</v>
      </c>
      <c r="L20" s="2">
        <v>55.2316</v>
      </c>
      <c r="M20" s="2">
        <v>59.147400000000005</v>
      </c>
      <c r="N20" s="2">
        <v>64.847399999999993</v>
      </c>
      <c r="O20" s="2">
        <v>64.587400000000002</v>
      </c>
    </row>
    <row r="22" spans="1:20" x14ac:dyDescent="0.25">
      <c r="A22" t="s">
        <v>169</v>
      </c>
    </row>
    <row r="28" spans="1:20" ht="13" x14ac:dyDescent="0.3">
      <c r="A28" s="4" t="s">
        <v>166</v>
      </c>
      <c r="B28" s="4">
        <v>2003</v>
      </c>
      <c r="C28" s="4">
        <v>2004</v>
      </c>
      <c r="D28" s="4">
        <v>2005</v>
      </c>
      <c r="E28" s="4">
        <v>2006</v>
      </c>
      <c r="F28" s="4">
        <v>2007</v>
      </c>
      <c r="G28" s="4">
        <v>2008</v>
      </c>
      <c r="H28" s="4">
        <v>2009</v>
      </c>
      <c r="I28" s="4">
        <v>2010</v>
      </c>
      <c r="J28" s="4">
        <v>2011</v>
      </c>
      <c r="K28" s="4">
        <v>2012</v>
      </c>
      <c r="L28" s="4">
        <v>2013</v>
      </c>
      <c r="M28" s="4">
        <v>2014</v>
      </c>
      <c r="N28" s="4">
        <v>2015</v>
      </c>
      <c r="O28" s="4">
        <v>2016</v>
      </c>
      <c r="P28" s="4">
        <v>2017</v>
      </c>
      <c r="Q28" s="4">
        <v>2018</v>
      </c>
      <c r="R28" s="4">
        <v>2019</v>
      </c>
      <c r="S28" s="4">
        <v>2020</v>
      </c>
    </row>
    <row r="29" spans="1:20" ht="14.5" x14ac:dyDescent="0.35">
      <c r="A29" s="7" t="s">
        <v>167</v>
      </c>
      <c r="B29">
        <f>B6/B6-1</f>
        <v>0</v>
      </c>
      <c r="C29" s="9">
        <f>C6/B6-1</f>
        <v>-2.2341847864355557E-3</v>
      </c>
      <c r="D29" s="9">
        <f t="shared" ref="D29:S29" si="0">D6/C6-1</f>
        <v>-1.2613602799730117E-2</v>
      </c>
      <c r="E29" s="9">
        <f t="shared" si="0"/>
        <v>1.5932102501856615E-2</v>
      </c>
      <c r="F29" s="9">
        <f t="shared" si="0"/>
        <v>1.4663125269653854E-3</v>
      </c>
      <c r="G29" s="9">
        <f t="shared" si="0"/>
        <v>3.6328580900883978E-3</v>
      </c>
      <c r="H29" s="9">
        <f t="shared" si="0"/>
        <v>7.8030710249035184E-3</v>
      </c>
      <c r="I29" s="9">
        <f t="shared" si="0"/>
        <v>-1.5249760737778839E-4</v>
      </c>
      <c r="J29" s="9">
        <f t="shared" si="0"/>
        <v>-3.0415640125286414E-3</v>
      </c>
      <c r="K29" s="9">
        <f t="shared" si="0"/>
        <v>8.9030280444823973E-4</v>
      </c>
      <c r="L29" s="9">
        <f t="shared" si="0"/>
        <v>6.2050700334181919E-4</v>
      </c>
      <c r="M29" s="9">
        <f t="shared" si="0"/>
        <v>9.7430402259246485E-4</v>
      </c>
      <c r="N29" s="9">
        <f t="shared" si="0"/>
        <v>5.7522490887245148E-3</v>
      </c>
      <c r="O29" s="9">
        <f t="shared" si="0"/>
        <v>7.5223848729788489E-3</v>
      </c>
      <c r="P29" s="9">
        <f t="shared" si="0"/>
        <v>3.8427624467645138E-3</v>
      </c>
      <c r="Q29" s="9">
        <f t="shared" si="0"/>
        <v>-4.5619053691161593E-3</v>
      </c>
      <c r="R29" s="9">
        <f t="shared" si="0"/>
        <v>1.3293878986970098E-2</v>
      </c>
      <c r="S29" s="9">
        <f t="shared" si="0"/>
        <v>3.557965251383477E-2</v>
      </c>
      <c r="T29" s="20">
        <f>AVERAGE(B29:S29)</f>
        <v>4.1503684060156072E-3</v>
      </c>
    </row>
    <row r="30" spans="1:20" ht="14.5" x14ac:dyDescent="0.35">
      <c r="A30" s="7" t="s">
        <v>168</v>
      </c>
      <c r="B30">
        <f t="shared" ref="B30:B43" si="1">B7/B7-1</f>
        <v>0</v>
      </c>
      <c r="C30" s="9">
        <f t="shared" ref="C30:S30" si="2">C7/B7-1</f>
        <v>6.3157460538805221E-2</v>
      </c>
      <c r="D30" s="9">
        <f t="shared" si="2"/>
        <v>6.7900433473492505E-2</v>
      </c>
      <c r="E30" s="9">
        <f t="shared" si="2"/>
        <v>0.11718757641838029</v>
      </c>
      <c r="F30" s="9">
        <f t="shared" si="2"/>
        <v>0.10375509315272913</v>
      </c>
      <c r="G30" s="9">
        <f t="shared" si="2"/>
        <v>0.11460766539293754</v>
      </c>
      <c r="H30" s="9">
        <f t="shared" si="2"/>
        <v>0.12301992077813706</v>
      </c>
      <c r="I30" s="9">
        <f t="shared" si="2"/>
        <v>6.4465242306485315E-2</v>
      </c>
      <c r="J30" s="9">
        <f t="shared" si="2"/>
        <v>4.7627989537582849E-2</v>
      </c>
      <c r="K30" s="9">
        <f t="shared" si="2"/>
        <v>3.1020743080176549E-2</v>
      </c>
      <c r="L30" s="9">
        <f t="shared" si="2"/>
        <v>3.5492479274803479E-2</v>
      </c>
      <c r="M30" s="9">
        <f t="shared" si="2"/>
        <v>4.3858385966566216E-2</v>
      </c>
      <c r="N30" s="9">
        <f t="shared" si="2"/>
        <v>3.3370400694670899E-2</v>
      </c>
      <c r="O30" s="9">
        <f t="shared" si="2"/>
        <v>5.8936830471631563E-2</v>
      </c>
      <c r="P30" s="9">
        <f t="shared" si="2"/>
        <v>6.1545076451220648E-2</v>
      </c>
      <c r="Q30" s="9">
        <f t="shared" si="2"/>
        <v>5.8755044920513644E-2</v>
      </c>
      <c r="R30" s="9">
        <f t="shared" si="2"/>
        <v>8.4478936461020115E-2</v>
      </c>
      <c r="S30" s="9">
        <f t="shared" si="2"/>
        <v>0.11473104159365977</v>
      </c>
      <c r="T30" s="20">
        <f t="shared" ref="T30:T35" si="3">AVERAGE(B30:S30)</f>
        <v>6.7995017806267377E-2</v>
      </c>
    </row>
    <row r="31" spans="1:20" x14ac:dyDescent="0.25">
      <c r="A31" t="s">
        <v>80</v>
      </c>
      <c r="B31">
        <f t="shared" si="1"/>
        <v>0</v>
      </c>
      <c r="C31" s="9">
        <f t="shared" ref="C31:S31" si="4">C8/B8-1</f>
        <v>0.14018691588785037</v>
      </c>
      <c r="D31" s="9">
        <f t="shared" si="4"/>
        <v>2.4590163934426368E-2</v>
      </c>
      <c r="E31" s="9">
        <f t="shared" si="4"/>
        <v>0.27200000000000002</v>
      </c>
      <c r="F31" s="9">
        <f t="shared" si="4"/>
        <v>7.6257861635220081E-2</v>
      </c>
      <c r="G31" s="9">
        <f t="shared" si="4"/>
        <v>-1.8261504747991042E-2</v>
      </c>
      <c r="H31" s="9">
        <f t="shared" si="4"/>
        <v>0.2276011904761901</v>
      </c>
      <c r="I31" s="9">
        <f t="shared" si="4"/>
        <v>-3.8790323753739475E-2</v>
      </c>
      <c r="J31" s="9">
        <f t="shared" si="4"/>
        <v>7.3144771157755528E-2</v>
      </c>
      <c r="K31" s="9">
        <f t="shared" si="4"/>
        <v>-0.14683388409162479</v>
      </c>
      <c r="L31" s="9">
        <f t="shared" si="4"/>
        <v>-8.8980716253443615E-2</v>
      </c>
      <c r="M31" s="9">
        <f t="shared" si="4"/>
        <v>-2.9331720592682187E-2</v>
      </c>
      <c r="N31" s="9">
        <f t="shared" si="4"/>
        <v>-6.5420560747663448E-2</v>
      </c>
      <c r="O31" s="9">
        <f t="shared" si="4"/>
        <v>-1.5526666666666689E-2</v>
      </c>
      <c r="P31" s="9">
        <f t="shared" si="4"/>
        <v>-0.26525858157661286</v>
      </c>
      <c r="Q31" s="9">
        <f t="shared" si="4"/>
        <v>0.69439631336405516</v>
      </c>
      <c r="R31" s="9">
        <f t="shared" si="4"/>
        <v>-5.782954928688766E-2</v>
      </c>
      <c r="S31" s="9">
        <f t="shared" si="4"/>
        <v>0.12989974626249556</v>
      </c>
      <c r="T31" s="95">
        <f t="shared" si="3"/>
        <v>5.0657969722260082E-2</v>
      </c>
    </row>
    <row r="32" spans="1:20" x14ac:dyDescent="0.25">
      <c r="A32" t="s">
        <v>70</v>
      </c>
      <c r="B32">
        <f t="shared" si="1"/>
        <v>0</v>
      </c>
      <c r="C32" s="9">
        <f t="shared" ref="C32:S32" si="5">C9/B9-1</f>
        <v>-2.1283295788695145E-2</v>
      </c>
      <c r="D32" s="9">
        <f t="shared" si="5"/>
        <v>-7.5161012249559289E-2</v>
      </c>
      <c r="E32" s="9">
        <f t="shared" si="5"/>
        <v>2.965922583709335E-2</v>
      </c>
      <c r="F32" s="9">
        <f t="shared" si="5"/>
        <v>-6.0134066899683036E-2</v>
      </c>
      <c r="G32" s="9">
        <f t="shared" si="5"/>
        <v>0.10525353605748</v>
      </c>
      <c r="H32" s="9">
        <f t="shared" si="5"/>
        <v>-1.9112649961090855E-2</v>
      </c>
      <c r="I32" s="9">
        <f t="shared" si="5"/>
        <v>-5.4889090086011838E-2</v>
      </c>
      <c r="J32" s="9">
        <f t="shared" si="5"/>
        <v>7.5420907675727733E-2</v>
      </c>
      <c r="K32" s="9">
        <f t="shared" si="5"/>
        <v>-7.2395232517225572E-2</v>
      </c>
      <c r="L32" s="9">
        <f t="shared" si="5"/>
        <v>-1.7005835064886621E-2</v>
      </c>
      <c r="M32" s="9">
        <f t="shared" si="5"/>
        <v>-0.13835511051410432</v>
      </c>
      <c r="N32" s="9">
        <f t="shared" si="5"/>
        <v>4.9815689036720734E-3</v>
      </c>
      <c r="O32" s="9">
        <f t="shared" si="5"/>
        <v>-0.2063357758110097</v>
      </c>
      <c r="P32" s="9">
        <f t="shared" si="5"/>
        <v>-1.5280739161336321E-2</v>
      </c>
      <c r="Q32" s="9">
        <f t="shared" si="5"/>
        <v>6.1149404547094832E-2</v>
      </c>
      <c r="R32" s="9">
        <f t="shared" si="5"/>
        <v>0.23025596465841058</v>
      </c>
      <c r="S32" s="9">
        <f t="shared" si="5"/>
        <v>0.18587284035936436</v>
      </c>
      <c r="T32" s="95">
        <f t="shared" si="3"/>
        <v>7.0225777695779061E-4</v>
      </c>
    </row>
    <row r="33" spans="1:20" x14ac:dyDescent="0.25">
      <c r="A33" t="s">
        <v>60</v>
      </c>
      <c r="B33">
        <f t="shared" si="1"/>
        <v>0</v>
      </c>
      <c r="C33" s="9">
        <f t="shared" ref="C33:S33" si="6">C10/B10-1</f>
        <v>0.18886208744240762</v>
      </c>
      <c r="D33" s="9">
        <f t="shared" si="6"/>
        <v>0.25206379856511996</v>
      </c>
      <c r="E33" s="9">
        <f t="shared" si="6"/>
        <v>0.21999296308569583</v>
      </c>
      <c r="F33" s="9">
        <f t="shared" si="6"/>
        <v>0.14108868083863424</v>
      </c>
      <c r="G33" s="9">
        <f t="shared" si="6"/>
        <v>0.10370895662758417</v>
      </c>
      <c r="H33" s="9">
        <f t="shared" si="6"/>
        <v>9.9831458495185377E-2</v>
      </c>
      <c r="I33" s="9">
        <f t="shared" si="6"/>
        <v>4.1118253784634407E-2</v>
      </c>
      <c r="J33" s="9">
        <f t="shared" si="6"/>
        <v>-2.221684674330926E-2</v>
      </c>
      <c r="K33" s="9">
        <f t="shared" si="6"/>
        <v>4.1144018674485361E-2</v>
      </c>
      <c r="L33" s="9">
        <f t="shared" si="6"/>
        <v>8.5712955754121412E-2</v>
      </c>
      <c r="M33" s="9">
        <f t="shared" si="6"/>
        <v>8.4041563100204275E-2</v>
      </c>
      <c r="N33" s="9">
        <f t="shared" si="6"/>
        <v>1.0317534540152939E-2</v>
      </c>
      <c r="O33" s="9">
        <f t="shared" si="6"/>
        <v>-3.7737912882961799E-2</v>
      </c>
      <c r="P33" s="9">
        <f t="shared" si="6"/>
        <v>-4.1139040195293575E-2</v>
      </c>
      <c r="Q33" s="9">
        <f t="shared" si="6"/>
        <v>8.7141598127957964E-2</v>
      </c>
      <c r="R33" s="9">
        <f t="shared" si="6"/>
        <v>3.8755094145356939E-2</v>
      </c>
      <c r="S33" s="9">
        <f t="shared" si="6"/>
        <v>0.11129828461872826</v>
      </c>
      <c r="T33" s="95">
        <f t="shared" si="3"/>
        <v>7.7999080443261343E-2</v>
      </c>
    </row>
    <row r="34" spans="1:20" x14ac:dyDescent="0.25">
      <c r="A34" t="s">
        <v>64</v>
      </c>
      <c r="B34">
        <f t="shared" si="1"/>
        <v>0</v>
      </c>
      <c r="C34" s="9">
        <f t="shared" ref="C34:S34" si="7">C11/B11-1</f>
        <v>0.16993605769164644</v>
      </c>
      <c r="D34" s="9">
        <f t="shared" si="7"/>
        <v>0.14804366252013845</v>
      </c>
      <c r="E34" s="9">
        <f t="shared" si="7"/>
        <v>0.10361618822626584</v>
      </c>
      <c r="F34" s="9">
        <f t="shared" si="7"/>
        <v>0.14360875925639127</v>
      </c>
      <c r="G34" s="9">
        <f t="shared" si="7"/>
        <v>0.11925812564830118</v>
      </c>
      <c r="H34" s="9">
        <f t="shared" si="7"/>
        <v>0.11665915502638424</v>
      </c>
      <c r="I34" s="9">
        <f t="shared" si="7"/>
        <v>4.8377690774230597E-2</v>
      </c>
      <c r="J34" s="9">
        <f t="shared" si="7"/>
        <v>4.1878230489381441E-2</v>
      </c>
      <c r="K34" s="9">
        <f t="shared" si="7"/>
        <v>2.3167514084424967E-2</v>
      </c>
      <c r="L34" s="9">
        <f t="shared" si="7"/>
        <v>3.9772777700131323E-2</v>
      </c>
      <c r="M34" s="9">
        <f t="shared" si="7"/>
        <v>3.7395685561775638E-2</v>
      </c>
      <c r="N34" s="9">
        <f t="shared" si="7"/>
        <v>3.8617729257802713E-2</v>
      </c>
      <c r="O34" s="9">
        <f t="shared" si="7"/>
        <v>-3.6650773341949328E-2</v>
      </c>
      <c r="P34" s="9">
        <f t="shared" si="7"/>
        <v>-9.0397137605738087E-2</v>
      </c>
      <c r="Q34" s="9">
        <f t="shared" si="7"/>
        <v>0.23050388989398107</v>
      </c>
      <c r="R34" s="9">
        <f t="shared" si="7"/>
        <v>3.9098112159945408E-3</v>
      </c>
      <c r="S34" s="9">
        <f t="shared" si="7"/>
        <v>8.7327191508959512E-2</v>
      </c>
      <c r="T34" s="95">
        <f t="shared" si="3"/>
        <v>6.8056919883784539E-2</v>
      </c>
    </row>
    <row r="35" spans="1:20" x14ac:dyDescent="0.25">
      <c r="A35" t="s">
        <v>74</v>
      </c>
      <c r="B35">
        <f t="shared" si="1"/>
        <v>0</v>
      </c>
      <c r="C35" s="9">
        <f t="shared" ref="C35:S35" si="8">C12/B12-1</f>
        <v>5.272744683755537E-2</v>
      </c>
      <c r="D35" s="9">
        <f t="shared" si="8"/>
        <v>2.3568150353083572E-2</v>
      </c>
      <c r="E35" s="9">
        <f t="shared" si="8"/>
        <v>0.26907392584095446</v>
      </c>
      <c r="F35" s="9">
        <f t="shared" si="8"/>
        <v>0.1589625031040478</v>
      </c>
      <c r="G35" s="9">
        <f t="shared" si="8"/>
        <v>0.23428170816315408</v>
      </c>
      <c r="H35" s="9">
        <f t="shared" si="8"/>
        <v>0.18165222596105091</v>
      </c>
      <c r="I35" s="9">
        <f t="shared" si="8"/>
        <v>9.0983853651571245E-2</v>
      </c>
      <c r="J35" s="9">
        <f t="shared" si="8"/>
        <v>4.1263000729568233E-2</v>
      </c>
      <c r="K35" s="9">
        <f t="shared" si="8"/>
        <v>3.642768041262423E-2</v>
      </c>
      <c r="L35" s="9">
        <f t="shared" si="8"/>
        <v>2.8783574431725079E-2</v>
      </c>
      <c r="M35" s="9">
        <f t="shared" si="8"/>
        <v>0.14475551344577808</v>
      </c>
      <c r="N35" s="9">
        <f t="shared" si="8"/>
        <v>7.5434580525461925E-3</v>
      </c>
      <c r="O35" s="9">
        <f t="shared" si="8"/>
        <v>-6.608101375396358E-3</v>
      </c>
      <c r="P35" s="9">
        <f t="shared" si="8"/>
        <v>4.3738753043294221E-2</v>
      </c>
      <c r="Q35" s="9">
        <f t="shared" si="8"/>
        <v>0.1530768138577312</v>
      </c>
      <c r="R35" s="9">
        <f t="shared" si="8"/>
        <v>8.1283651234594023E-2</v>
      </c>
      <c r="S35" s="9">
        <f t="shared" si="8"/>
        <v>0.18018521314283165</v>
      </c>
      <c r="T35" s="95">
        <f t="shared" si="3"/>
        <v>9.5649965049261876E-2</v>
      </c>
    </row>
    <row r="36" spans="1:20" x14ac:dyDescent="0.25">
      <c r="A36" t="s">
        <v>93</v>
      </c>
      <c r="B36">
        <f t="shared" si="1"/>
        <v>0</v>
      </c>
      <c r="C36" s="9">
        <f t="shared" ref="C36:O36" si="9">C13/B13-1</f>
        <v>2.0131788447055765E-2</v>
      </c>
      <c r="D36" s="9">
        <f t="shared" si="9"/>
        <v>-5.0058944215228829E-3</v>
      </c>
      <c r="E36" s="9">
        <f t="shared" si="9"/>
        <v>6.9512591177083527E-2</v>
      </c>
      <c r="F36" s="9">
        <f t="shared" si="9"/>
        <v>6.6783782064541164E-2</v>
      </c>
      <c r="G36" s="9">
        <f t="shared" si="9"/>
        <v>8.8203560004905368E-2</v>
      </c>
      <c r="H36" s="9">
        <f t="shared" si="9"/>
        <v>0.15631358455608657</v>
      </c>
      <c r="I36" s="9">
        <f t="shared" si="9"/>
        <v>3.4882712434225693E-2</v>
      </c>
      <c r="J36" s="9">
        <f t="shared" si="9"/>
        <v>6.4559793148773137E-2</v>
      </c>
      <c r="K36" s="9">
        <f t="shared" si="9"/>
        <v>4.7207001797954895E-2</v>
      </c>
      <c r="L36" s="9">
        <f t="shared" si="9"/>
        <v>3.7611481924576751E-2</v>
      </c>
      <c r="M36" s="9">
        <f t="shared" si="9"/>
        <v>3.268459433687454E-2</v>
      </c>
      <c r="N36" s="9">
        <f t="shared" si="9"/>
        <v>5.8251048510676195E-2</v>
      </c>
      <c r="O36" s="9">
        <f t="shared" si="9"/>
        <v>-7.0410746249887191E-2</v>
      </c>
      <c r="P36" s="9"/>
      <c r="Q36" s="9"/>
      <c r="R36" s="9"/>
      <c r="S36" s="9"/>
      <c r="T36" s="95">
        <f>AVERAGE(B36:O36)</f>
        <v>4.2908949837953111E-2</v>
      </c>
    </row>
    <row r="37" spans="1:20" x14ac:dyDescent="0.25">
      <c r="A37" t="s">
        <v>95</v>
      </c>
      <c r="B37">
        <f t="shared" si="1"/>
        <v>0</v>
      </c>
      <c r="C37" s="9">
        <f t="shared" ref="C37:O37" si="10">C14/B14-1</f>
        <v>2.2681621709801147E-2</v>
      </c>
      <c r="D37" s="9">
        <f t="shared" si="10"/>
        <v>-1.8179759218647562E-2</v>
      </c>
      <c r="E37" s="9">
        <f t="shared" si="10"/>
        <v>0.23236757933953656</v>
      </c>
      <c r="F37" s="9">
        <f t="shared" si="10"/>
        <v>8.4803466730537291E-2</v>
      </c>
      <c r="G37" s="9">
        <f t="shared" si="10"/>
        <v>0.19226748031664087</v>
      </c>
      <c r="H37" s="9">
        <f t="shared" si="10"/>
        <v>8.5680060753473786E-2</v>
      </c>
      <c r="I37" s="9">
        <f t="shared" si="10"/>
        <v>0.15723966618158935</v>
      </c>
      <c r="J37" s="9">
        <f t="shared" si="10"/>
        <v>7.4926883042284675E-2</v>
      </c>
      <c r="K37" s="9">
        <f t="shared" si="10"/>
        <v>6.3004823723096237E-2</v>
      </c>
      <c r="L37" s="9">
        <f t="shared" si="10"/>
        <v>1.8708441155643518E-2</v>
      </c>
      <c r="M37" s="9">
        <f t="shared" si="10"/>
        <v>-1.3090511513951908E-2</v>
      </c>
      <c r="N37" s="9">
        <f t="shared" si="10"/>
        <v>8.0948514876037825E-2</v>
      </c>
      <c r="O37" s="9">
        <f t="shared" si="10"/>
        <v>-3.9566220367411864E-3</v>
      </c>
      <c r="P37" s="9"/>
      <c r="Q37" s="9"/>
      <c r="R37" s="9"/>
      <c r="S37" s="9"/>
      <c r="T37" s="95">
        <f t="shared" ref="T37:T43" si="11">AVERAGE(B37:O37)</f>
        <v>6.9814403218521476E-2</v>
      </c>
    </row>
    <row r="38" spans="1:20" x14ac:dyDescent="0.25">
      <c r="A38" t="s">
        <v>98</v>
      </c>
      <c r="B38">
        <f t="shared" si="1"/>
        <v>0</v>
      </c>
      <c r="C38" s="9">
        <f t="shared" ref="C38:O38" si="12">C15/B15-1</f>
        <v>-4.9540680209936294E-2</v>
      </c>
      <c r="D38" s="9">
        <f t="shared" si="12"/>
        <v>-0.13654564523161405</v>
      </c>
      <c r="E38" s="9">
        <f t="shared" si="12"/>
        <v>-0.21419174163682408</v>
      </c>
      <c r="F38" s="9">
        <f t="shared" si="12"/>
        <v>-0.10246791364907348</v>
      </c>
      <c r="G38" s="9">
        <f t="shared" si="12"/>
        <v>0.15704251243251632</v>
      </c>
      <c r="H38" s="9">
        <f t="shared" si="12"/>
        <v>0.26590941018282521</v>
      </c>
      <c r="I38" s="9">
        <f t="shared" si="12"/>
        <v>6.8696925019948285E-2</v>
      </c>
      <c r="J38" s="9">
        <f t="shared" si="12"/>
        <v>0.36694818455574429</v>
      </c>
      <c r="K38" s="9">
        <f t="shared" si="12"/>
        <v>-9.0433084039465039E-2</v>
      </c>
      <c r="L38" s="9">
        <f t="shared" si="12"/>
        <v>-0.22265880551606199</v>
      </c>
      <c r="M38" s="9">
        <f t="shared" si="12"/>
        <v>1.0232246412957835E-2</v>
      </c>
      <c r="N38" s="9">
        <f t="shared" si="12"/>
        <v>7.7306600560618666E-2</v>
      </c>
      <c r="O38" s="9">
        <f t="shared" si="12"/>
        <v>1.5747994481150052E-3</v>
      </c>
      <c r="P38" s="9"/>
      <c r="Q38" s="9"/>
      <c r="R38" s="9"/>
      <c r="S38" s="9"/>
      <c r="T38" s="95">
        <f t="shared" si="11"/>
        <v>9.4194863092679059E-3</v>
      </c>
    </row>
    <row r="39" spans="1:20" x14ac:dyDescent="0.25">
      <c r="A39" t="s">
        <v>170</v>
      </c>
      <c r="B39">
        <f t="shared" si="1"/>
        <v>0</v>
      </c>
      <c r="C39" s="9">
        <f t="shared" ref="C39:O39" si="13">C16/B16-1</f>
        <v>0.1133609467455623</v>
      </c>
      <c r="D39" s="9">
        <f t="shared" si="13"/>
        <v>6.7972129805801362E-2</v>
      </c>
      <c r="E39" s="9">
        <f t="shared" si="13"/>
        <v>9.461675313203699E-2</v>
      </c>
      <c r="F39" s="9">
        <f t="shared" si="13"/>
        <v>5.859915757601919E-2</v>
      </c>
      <c r="G39" s="9">
        <f t="shared" si="13"/>
        <v>0.32861713549495408</v>
      </c>
      <c r="H39" s="9">
        <f t="shared" si="13"/>
        <v>0.12725439079932177</v>
      </c>
      <c r="I39" s="9">
        <f t="shared" si="13"/>
        <v>8.4137903348368681E-2</v>
      </c>
      <c r="J39" s="9">
        <f t="shared" si="13"/>
        <v>-1.4756175296697371E-2</v>
      </c>
      <c r="K39" s="9">
        <f t="shared" si="13"/>
        <v>-0.10408456375838926</v>
      </c>
      <c r="L39" s="9">
        <f t="shared" si="13"/>
        <v>-0.11005652798607246</v>
      </c>
      <c r="M39" s="9">
        <f t="shared" si="13"/>
        <v>0.1488571529581697</v>
      </c>
      <c r="N39" s="9">
        <f t="shared" si="13"/>
        <v>3.3281556812520208E-2</v>
      </c>
      <c r="O39" s="9">
        <f t="shared" si="13"/>
        <v>0.16518325646829246</v>
      </c>
      <c r="P39" s="9"/>
      <c r="Q39" s="9"/>
      <c r="R39" s="9"/>
      <c r="S39" s="9"/>
      <c r="T39" s="95">
        <f t="shared" si="11"/>
        <v>7.0927365435706255E-2</v>
      </c>
    </row>
    <row r="40" spans="1:20" x14ac:dyDescent="0.25">
      <c r="A40" t="s">
        <v>68</v>
      </c>
      <c r="B40">
        <f t="shared" si="1"/>
        <v>0</v>
      </c>
      <c r="C40" s="9">
        <f t="shared" ref="C40:O40" si="14">C17/B17-1</f>
        <v>-1.2276625311544498E-2</v>
      </c>
      <c r="D40" s="9">
        <f t="shared" si="14"/>
        <v>3.2735493813096372E-2</v>
      </c>
      <c r="E40" s="9">
        <f t="shared" si="14"/>
        <v>0.11003292228115424</v>
      </c>
      <c r="F40" s="9">
        <f t="shared" si="14"/>
        <v>8.0797057424577989E-2</v>
      </c>
      <c r="G40" s="9">
        <f t="shared" si="14"/>
        <v>3.3063277490214871E-2</v>
      </c>
      <c r="H40" s="9">
        <f t="shared" si="14"/>
        <v>7.113041128299491E-2</v>
      </c>
      <c r="I40" s="9">
        <f t="shared" si="14"/>
        <v>-2.0776931072408189E-3</v>
      </c>
      <c r="J40" s="9">
        <f t="shared" si="14"/>
        <v>7.0261041493904219E-3</v>
      </c>
      <c r="K40" s="9">
        <f t="shared" si="14"/>
        <v>6.3263165371962859E-2</v>
      </c>
      <c r="L40" s="9">
        <f t="shared" si="14"/>
        <v>8.34984072312972E-3</v>
      </c>
      <c r="M40" s="9">
        <f t="shared" si="14"/>
        <v>3.4145347952681204E-2</v>
      </c>
      <c r="N40" s="9">
        <f t="shared" si="14"/>
        <v>3.1827455888230327E-2</v>
      </c>
      <c r="O40" s="9">
        <f t="shared" si="14"/>
        <v>-7.465449566288096E-2</v>
      </c>
      <c r="P40" s="9"/>
      <c r="Q40" s="9"/>
      <c r="R40" s="9"/>
      <c r="S40" s="9"/>
      <c r="T40" s="95">
        <f t="shared" si="11"/>
        <v>2.7383018735411904E-2</v>
      </c>
    </row>
    <row r="41" spans="1:20" x14ac:dyDescent="0.25">
      <c r="A41" t="s">
        <v>82</v>
      </c>
      <c r="B41">
        <f t="shared" si="1"/>
        <v>0</v>
      </c>
      <c r="C41" s="9">
        <f t="shared" ref="C41:O41" si="15">C18/B18-1</f>
        <v>0.31297709923664141</v>
      </c>
      <c r="D41" s="9">
        <f t="shared" si="15"/>
        <v>3.3430232558139261E-2</v>
      </c>
      <c r="E41" s="9">
        <f t="shared" si="15"/>
        <v>1.6877637130801704E-2</v>
      </c>
      <c r="F41" s="9">
        <f t="shared" si="15"/>
        <v>0.10650069156293251</v>
      </c>
      <c r="G41" s="9">
        <f t="shared" si="15"/>
        <v>0.14999999999999991</v>
      </c>
      <c r="H41" s="9">
        <f t="shared" si="15"/>
        <v>0.18260869565217375</v>
      </c>
      <c r="I41" s="9">
        <v>0</v>
      </c>
      <c r="J41" s="9">
        <v>0</v>
      </c>
      <c r="K41" s="9">
        <f t="shared" si="15"/>
        <v>0.14655172413793105</v>
      </c>
      <c r="L41" s="9">
        <f t="shared" si="15"/>
        <v>9.9327067669172875E-2</v>
      </c>
      <c r="M41" s="9">
        <f t="shared" si="15"/>
        <v>0.18322555493620496</v>
      </c>
      <c r="N41" s="9">
        <f t="shared" si="15"/>
        <v>0.14967919075144498</v>
      </c>
      <c r="O41" s="9">
        <f t="shared" si="15"/>
        <v>-4.8822365625997843E-2</v>
      </c>
      <c r="P41" s="9"/>
      <c r="Q41" s="9"/>
      <c r="R41" s="9"/>
      <c r="S41" s="9"/>
      <c r="T41" s="95">
        <f t="shared" si="11"/>
        <v>9.5168252000674608E-2</v>
      </c>
    </row>
    <row r="42" spans="1:20" x14ac:dyDescent="0.25">
      <c r="A42" t="s">
        <v>142</v>
      </c>
      <c r="B42">
        <f t="shared" si="1"/>
        <v>0</v>
      </c>
      <c r="C42" s="9">
        <f t="shared" ref="C42:O42" si="16">C19/B19-1</f>
        <v>0.32099363734425546</v>
      </c>
      <c r="D42" s="9">
        <f t="shared" si="16"/>
        <v>0.16607100591715995</v>
      </c>
      <c r="E42" s="9">
        <f t="shared" si="16"/>
        <v>0.12745983579105435</v>
      </c>
      <c r="F42" s="9">
        <f t="shared" si="16"/>
        <v>-0.11702012746192325</v>
      </c>
      <c r="G42" s="9">
        <f t="shared" si="16"/>
        <v>0.1962443420462423</v>
      </c>
      <c r="H42" s="9">
        <f t="shared" si="16"/>
        <v>-4.2610488997972817E-3</v>
      </c>
      <c r="I42" s="9">
        <f t="shared" si="16"/>
        <v>-9.9437702196128019E-2</v>
      </c>
      <c r="J42" s="9">
        <f t="shared" si="16"/>
        <v>-1.1378161722429003E-2</v>
      </c>
      <c r="K42" s="9">
        <f t="shared" si="16"/>
        <v>4.1804352266855638E-2</v>
      </c>
      <c r="L42" s="9">
        <f t="shared" si="16"/>
        <v>-2.6346020761245481E-2</v>
      </c>
      <c r="M42" s="9">
        <f t="shared" si="16"/>
        <v>-9.6640676271504411E-3</v>
      </c>
      <c r="N42" s="9">
        <f t="shared" si="16"/>
        <v>0.27511961722488043</v>
      </c>
      <c r="O42" s="9">
        <f t="shared" si="16"/>
        <v>-0.11191932457786113</v>
      </c>
      <c r="P42" s="9"/>
      <c r="Q42" s="9"/>
      <c r="R42" s="9"/>
      <c r="S42" s="9"/>
      <c r="T42" s="95">
        <f t="shared" si="11"/>
        <v>5.340473838170811E-2</v>
      </c>
    </row>
    <row r="43" spans="1:20" x14ac:dyDescent="0.25">
      <c r="A43" t="s">
        <v>102</v>
      </c>
      <c r="B43">
        <f t="shared" si="1"/>
        <v>0</v>
      </c>
      <c r="C43" s="9">
        <f t="shared" ref="C43:O43" si="17">C20/B20-1</f>
        <v>6.1851499203052551E-2</v>
      </c>
      <c r="D43" s="9">
        <f t="shared" si="17"/>
        <v>0.12401914252774637</v>
      </c>
      <c r="E43" s="9">
        <f t="shared" si="17"/>
        <v>0.18117477228961087</v>
      </c>
      <c r="F43" s="9">
        <f t="shared" si="17"/>
        <v>0.11702798785782664</v>
      </c>
      <c r="G43" s="9">
        <f t="shared" si="17"/>
        <v>0.1154247367197101</v>
      </c>
      <c r="H43" s="9">
        <f t="shared" si="17"/>
        <v>0.11892834237765348</v>
      </c>
      <c r="I43" s="9">
        <f t="shared" si="17"/>
        <v>2.2694564767970382E-2</v>
      </c>
      <c r="J43" s="9">
        <f t="shared" si="17"/>
        <v>0.1291322815955136</v>
      </c>
      <c r="K43" s="9">
        <f t="shared" si="17"/>
        <v>-5.4432128494307341E-2</v>
      </c>
      <c r="L43" s="9">
        <f t="shared" si="17"/>
        <v>-0.10238641608539345</v>
      </c>
      <c r="M43" s="9">
        <f t="shared" si="17"/>
        <v>7.0897819364277082E-2</v>
      </c>
      <c r="N43" s="9">
        <f t="shared" si="17"/>
        <v>9.6369409306241494E-2</v>
      </c>
      <c r="O43" s="9">
        <f t="shared" si="17"/>
        <v>-4.009412867747808E-3</v>
      </c>
      <c r="P43" s="9"/>
      <c r="Q43" s="9"/>
      <c r="R43" s="9"/>
      <c r="S43" s="9"/>
      <c r="T43" s="95">
        <f t="shared" si="11"/>
        <v>6.2620899897296717E-2</v>
      </c>
    </row>
    <row r="44" spans="1:20" x14ac:dyDescent="0.25">
      <c r="T44" s="85"/>
    </row>
  </sheetData>
  <hyperlinks>
    <hyperlink ref="A2" location="Overzicht!A1" display="Terug naar tabblad Overzicht" xr:uid="{CEBC55AF-D813-4B3B-8EF4-C0A899288A24}"/>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079c66c7-79d9-4941-9a7a-97915a0296e9" xsi:nil="true"/>
    <lcf76f155ced4ddcb4097134ff3c332f xmlns="abe339dc-4cac-446e-aee9-dcf1d10c744b">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6FDD6DD5215294889AF5A1ACCA7E2B3" ma:contentTypeVersion="13" ma:contentTypeDescription="Een nieuw document maken." ma:contentTypeScope="" ma:versionID="bfa6b993b19d2851c252e11b92830512">
  <xsd:schema xmlns:xsd="http://www.w3.org/2001/XMLSchema" xmlns:xs="http://www.w3.org/2001/XMLSchema" xmlns:p="http://schemas.microsoft.com/office/2006/metadata/properties" xmlns:ns2="abe339dc-4cac-446e-aee9-dcf1d10c744b" xmlns:ns3="079c66c7-79d9-4941-9a7a-97915a0296e9" targetNamespace="http://schemas.microsoft.com/office/2006/metadata/properties" ma:root="true" ma:fieldsID="acdd0d5360ad311857cdcec3b5726de5" ns2:_="" ns3:_="">
    <xsd:import namespace="abe339dc-4cac-446e-aee9-dcf1d10c744b"/>
    <xsd:import namespace="079c66c7-79d9-4941-9a7a-97915a0296e9"/>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be339dc-4cac-446e-aee9-dcf1d10c744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Afbeeldingtags" ma:readOnly="false" ma:fieldId="{5cf76f15-5ced-4ddc-b409-7134ff3c332f}" ma:taxonomyMulti="true" ma:sspId="875e0768-be4e-4add-baa2-61b1fff7b35e"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79c66c7-79d9-4941-9a7a-97915a0296e9"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c79b99b7-7558-404d-b0b2-a3ab1de884b8}" ma:internalName="TaxCatchAll" ma:showField="CatchAllData" ma:web="079c66c7-79d9-4941-9a7a-97915a0296e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2534561-8D5F-4B1E-B6CC-E1207F7B4450}">
  <ds:schemaRefs>
    <ds:schemaRef ds:uri="http://purl.org/dc/elements/1.1/"/>
    <ds:schemaRef ds:uri="http://schemas.microsoft.com/office/2006/metadata/properties"/>
    <ds:schemaRef ds:uri="http://purl.org/dc/terms/"/>
    <ds:schemaRef ds:uri="http://schemas.microsoft.com/office/2006/documentManagement/types"/>
    <ds:schemaRef ds:uri="http://schemas.microsoft.com/office/infopath/2007/PartnerControls"/>
    <ds:schemaRef ds:uri="079c66c7-79d9-4941-9a7a-97915a0296e9"/>
    <ds:schemaRef ds:uri="http://schemas.openxmlformats.org/package/2006/metadata/core-properties"/>
    <ds:schemaRef ds:uri="abe339dc-4cac-446e-aee9-dcf1d10c744b"/>
    <ds:schemaRef ds:uri="http://www.w3.org/XML/1998/namespace"/>
    <ds:schemaRef ds:uri="http://purl.org/dc/dcmitype/"/>
  </ds:schemaRefs>
</ds:datastoreItem>
</file>

<file path=customXml/itemProps2.xml><?xml version="1.0" encoding="utf-8"?>
<ds:datastoreItem xmlns:ds="http://schemas.openxmlformats.org/officeDocument/2006/customXml" ds:itemID="{DDD3E907-D718-4D7E-BEDD-F06CC3485005}">
  <ds:schemaRefs>
    <ds:schemaRef ds:uri="http://schemas.microsoft.com/sharepoint/v3/contenttype/forms"/>
  </ds:schemaRefs>
</ds:datastoreItem>
</file>

<file path=customXml/itemProps3.xml><?xml version="1.0" encoding="utf-8"?>
<ds:datastoreItem xmlns:ds="http://schemas.openxmlformats.org/officeDocument/2006/customXml" ds:itemID="{DBF0F31E-79C1-44D9-9216-F673B616831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be339dc-4cac-446e-aee9-dcf1d10c744b"/>
    <ds:schemaRef ds:uri="079c66c7-79d9-4941-9a7a-97915a0296e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18</vt:i4>
      </vt:variant>
    </vt:vector>
  </HeadingPairs>
  <TitlesOfParts>
    <vt:vector size="18" baseType="lpstr">
      <vt:lpstr>Overzicht</vt:lpstr>
      <vt:lpstr>Overzicht afkoringen landen</vt:lpstr>
      <vt:lpstr>Figuur 1 </vt:lpstr>
      <vt:lpstr>Figuur 2</vt:lpstr>
      <vt:lpstr>Figuur 3 </vt:lpstr>
      <vt:lpstr>Figuur 4</vt:lpstr>
      <vt:lpstr>Figuur 5</vt:lpstr>
      <vt:lpstr>Figuur 6</vt:lpstr>
      <vt:lpstr>Figuur 7</vt:lpstr>
      <vt:lpstr>Figuur 8 </vt:lpstr>
      <vt:lpstr>Figuur 9 </vt:lpstr>
      <vt:lpstr>Figuur 10</vt:lpstr>
      <vt:lpstr>Figuur 11</vt:lpstr>
      <vt:lpstr>Figuur 12</vt:lpstr>
      <vt:lpstr>Figuur 13</vt:lpstr>
      <vt:lpstr>Tabel 1 </vt:lpstr>
      <vt:lpstr>Tabel 2</vt:lpstr>
      <vt:lpstr>Bijlage 2</vt:lpstr>
    </vt:vector>
  </TitlesOfParts>
  <Manager/>
  <Company>KNAW</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Bilal Demirel</dc:creator>
  <cp:keywords/>
  <dc:description/>
  <cp:lastModifiedBy>David Redeker</cp:lastModifiedBy>
  <cp:revision/>
  <dcterms:created xsi:type="dcterms:W3CDTF">2022-03-30T13:47:07Z</dcterms:created>
  <dcterms:modified xsi:type="dcterms:W3CDTF">2025-02-20T14:54:16Z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0x01010086FDD6DD5215294889AF5A1ACCA7E2B3</vt:lpwstr>
  </property>
  <property fmtid="{D5CDD505-2E9C-101B-9397-08002B2CF9AE}" pid="3" name="MediaServiceImageTags">
    <vt:lpwstr/>
  </property>
</Properties>
</file>