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195" documentId="11_422E92872745D9E21E5FC0F842E638F348AA22E8" xr6:coauthVersionLast="47" xr6:coauthVersionMax="47" xr10:uidLastSave="{B1259DBB-8063-444C-8A0B-6CDB19DB4AF4}"/>
  <bookViews>
    <workbookView xWindow="-28920" yWindow="-120" windowWidth="29040" windowHeight="15720" activeTab="5" xr2:uid="{00000000-000D-0000-FFFF-FFFF00000000}"/>
  </bookViews>
  <sheets>
    <sheet name="inhoud" sheetId="18" r:id="rId1"/>
    <sheet name="inkomsten" sheetId="6" r:id="rId2"/>
    <sheet name="inkomsten vanaf 2001" sheetId="19" r:id="rId3"/>
    <sheet name="uitgaven" sheetId="5" r:id="rId4"/>
    <sheet name="uitgaven 2001-2015" sheetId="20" r:id="rId5"/>
    <sheet name="uitgaven 2016-2024" sheetId="21" r:id="rId6"/>
    <sheet name="KNAW-instituten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7" l="1"/>
  <c r="J20" i="7"/>
  <c r="J19" i="7"/>
  <c r="J18" i="7"/>
  <c r="J17" i="7"/>
  <c r="J15" i="7"/>
  <c r="J13" i="7"/>
  <c r="J12" i="7"/>
  <c r="J10" i="7"/>
  <c r="J6" i="7"/>
  <c r="E23" i="7"/>
  <c r="E21" i="7"/>
  <c r="E20" i="7"/>
  <c r="E18" i="7"/>
  <c r="E19" i="7"/>
  <c r="E17" i="7"/>
  <c r="E15" i="7"/>
  <c r="E14" i="7"/>
  <c r="E13" i="7"/>
  <c r="E12" i="7"/>
  <c r="E10" i="7"/>
  <c r="E6" i="7"/>
  <c r="J4" i="21"/>
  <c r="I4" i="21"/>
  <c r="H4" i="21"/>
  <c r="G4" i="21"/>
  <c r="F4" i="21"/>
  <c r="E4" i="21"/>
  <c r="D4" i="21"/>
  <c r="C4" i="21"/>
  <c r="B4" i="21"/>
  <c r="W14" i="19"/>
  <c r="W13" i="19"/>
  <c r="W12" i="19"/>
  <c r="W11" i="19"/>
  <c r="C9" i="5" l="1"/>
  <c r="V14" i="19"/>
  <c r="V13" i="19"/>
  <c r="V12" i="19"/>
  <c r="V11" i="19"/>
  <c r="I13" i="21" l="1"/>
  <c r="C13" i="21"/>
  <c r="J13" i="21"/>
  <c r="F13" i="21"/>
  <c r="B13" i="21"/>
  <c r="H13" i="21"/>
  <c r="D13" i="21"/>
  <c r="G13" i="21"/>
  <c r="E13" i="21"/>
  <c r="U14" i="19"/>
  <c r="U13" i="19"/>
  <c r="U12" i="19"/>
  <c r="U11" i="19"/>
  <c r="AN23" i="7" l="1"/>
  <c r="AN22" i="7"/>
  <c r="AN21" i="7"/>
  <c r="AN20" i="7"/>
  <c r="AN19" i="7"/>
  <c r="AN18" i="7"/>
  <c r="AN17" i="7"/>
  <c r="AN16" i="7"/>
  <c r="AN14" i="7"/>
  <c r="AN13" i="7"/>
  <c r="AN12" i="7"/>
  <c r="AN11" i="7"/>
  <c r="AN10" i="7"/>
  <c r="AN9" i="7"/>
  <c r="AN8" i="7"/>
  <c r="AN7" i="7"/>
  <c r="AN6" i="7"/>
  <c r="AN5" i="7"/>
  <c r="AN4" i="7"/>
  <c r="AM23" i="7"/>
  <c r="AM22" i="7"/>
  <c r="AM21" i="7"/>
  <c r="AM20" i="7"/>
  <c r="AM19" i="7"/>
  <c r="AM18" i="7"/>
  <c r="AM17" i="7"/>
  <c r="AM16" i="7"/>
  <c r="AM14" i="7"/>
  <c r="AM13" i="7"/>
  <c r="AM12" i="7"/>
  <c r="AM11" i="7"/>
  <c r="AM10" i="7"/>
  <c r="AM9" i="7"/>
  <c r="AM8" i="7"/>
  <c r="AM7" i="7"/>
  <c r="AM6" i="7"/>
  <c r="AM5" i="7"/>
  <c r="AM4" i="7"/>
  <c r="AI23" i="7"/>
  <c r="AI22" i="7" s="1"/>
  <c r="AI21" i="7"/>
  <c r="AI20" i="7"/>
  <c r="AI19" i="7"/>
  <c r="AI18" i="7"/>
  <c r="AI17" i="7"/>
  <c r="AI15" i="7"/>
  <c r="AI14" i="7"/>
  <c r="AI13" i="7"/>
  <c r="AI12" i="7"/>
  <c r="AI10" i="7"/>
  <c r="AI6" i="7"/>
  <c r="AI4" i="7"/>
  <c r="AH23" i="7"/>
  <c r="AH22" i="7" s="1"/>
  <c r="AH21" i="7"/>
  <c r="AH20" i="7"/>
  <c r="AH19" i="7"/>
  <c r="AH18" i="7"/>
  <c r="AH17" i="7"/>
  <c r="AH15" i="7"/>
  <c r="AH14" i="7"/>
  <c r="AH13" i="7"/>
  <c r="AH12" i="7"/>
  <c r="AH10" i="7"/>
  <c r="AH6" i="7"/>
  <c r="AH4" i="7"/>
  <c r="AH5" i="7" l="1"/>
  <c r="AI16" i="7"/>
  <c r="AI5" i="7"/>
  <c r="AH16" i="7"/>
  <c r="T14" i="19" l="1"/>
  <c r="T13" i="19"/>
  <c r="T12" i="19"/>
  <c r="T11" i="19"/>
  <c r="AJ22" i="7" l="1"/>
  <c r="AK22" i="7"/>
  <c r="AG22" i="7"/>
  <c r="AJ16" i="7"/>
  <c r="AK16" i="7"/>
  <c r="AG16" i="7"/>
  <c r="AG5" i="7"/>
  <c r="AJ5" i="7"/>
  <c r="AK5" i="7"/>
  <c r="S14" i="19"/>
  <c r="S13" i="19"/>
  <c r="S12" i="19"/>
  <c r="S11" i="19"/>
  <c r="AG4" i="7" l="1"/>
  <c r="AK4" i="7"/>
  <c r="AJ4" i="7"/>
  <c r="AU22" i="7" l="1"/>
  <c r="AT22" i="7"/>
  <c r="AS22" i="7"/>
  <c r="AR22" i="7"/>
  <c r="AQ22" i="7"/>
  <c r="AU16" i="7"/>
  <c r="AT16" i="7"/>
  <c r="AS16" i="7"/>
  <c r="AR16" i="7"/>
  <c r="AQ16" i="7"/>
  <c r="AU5" i="7"/>
  <c r="AT5" i="7"/>
  <c r="AS5" i="7"/>
  <c r="AR5" i="7"/>
  <c r="AQ5" i="7"/>
  <c r="R11" i="19"/>
  <c r="R12" i="19"/>
  <c r="R13" i="19"/>
  <c r="R14" i="19"/>
  <c r="C7" i="6"/>
  <c r="C6" i="6"/>
  <c r="C5" i="6"/>
  <c r="AS4" i="7" l="1"/>
  <c r="AR4" i="7"/>
  <c r="AT4" i="7"/>
  <c r="AQ4" i="7"/>
  <c r="AU4" i="7"/>
  <c r="AP22" i="7"/>
  <c r="AO22" i="7"/>
  <c r="AP16" i="7"/>
  <c r="AO16" i="7"/>
  <c r="AP5" i="7"/>
  <c r="AO5" i="7"/>
  <c r="AL22" i="7"/>
  <c r="AL16" i="7"/>
  <c r="AL5" i="7"/>
  <c r="AL4" i="7" l="1"/>
  <c r="AP4" i="7"/>
  <c r="AO4" i="7"/>
  <c r="Q14" i="19"/>
  <c r="Q13" i="19"/>
  <c r="Q12" i="19"/>
  <c r="Q11" i="19"/>
  <c r="P5" i="20" l="1"/>
  <c r="P16" i="20" l="1"/>
  <c r="P17" i="20"/>
  <c r="P18" i="20"/>
  <c r="P19" i="20"/>
  <c r="P20" i="20"/>
  <c r="P21" i="20"/>
  <c r="P8" i="19"/>
  <c r="P15" i="20" l="1"/>
  <c r="P11" i="19"/>
  <c r="P12" i="19"/>
  <c r="P13" i="19"/>
  <c r="P14" i="19"/>
  <c r="O20" i="20"/>
  <c r="O5" i="20"/>
  <c r="O16" i="20" s="1"/>
  <c r="O21" i="20" l="1"/>
  <c r="O19" i="20"/>
  <c r="O18" i="20"/>
  <c r="O17" i="20"/>
  <c r="O8" i="19"/>
  <c r="O4" i="19" s="1"/>
  <c r="O14" i="19" l="1"/>
  <c r="O15" i="20"/>
  <c r="O13" i="19"/>
  <c r="O12" i="19"/>
  <c r="O11" i="19"/>
  <c r="N20" i="20"/>
  <c r="N5" i="20"/>
  <c r="N18" i="20" s="1"/>
  <c r="N19" i="20" l="1"/>
  <c r="N17" i="20"/>
  <c r="N15" i="20" s="1"/>
  <c r="N21" i="20"/>
  <c r="N16" i="20"/>
  <c r="D8" i="19"/>
  <c r="E8" i="19"/>
  <c r="I8" i="19"/>
  <c r="J8" i="19"/>
  <c r="K8" i="19"/>
  <c r="L8" i="19"/>
  <c r="M6" i="19"/>
  <c r="N8" i="19"/>
  <c r="N4" i="19" l="1"/>
  <c r="M5" i="20"/>
  <c r="M17" i="20" s="1"/>
  <c r="N14" i="19" l="1"/>
  <c r="N11" i="19"/>
  <c r="N12" i="19"/>
  <c r="N13" i="19"/>
  <c r="M20" i="20"/>
  <c r="M16" i="20"/>
  <c r="M19" i="20"/>
  <c r="M18" i="20"/>
  <c r="M21" i="20"/>
  <c r="C5" i="20"/>
  <c r="C17" i="20" s="1"/>
  <c r="D5" i="20"/>
  <c r="D18" i="20" s="1"/>
  <c r="E5" i="20"/>
  <c r="E21" i="20" s="1"/>
  <c r="F5" i="20"/>
  <c r="F17" i="20" s="1"/>
  <c r="G5" i="20"/>
  <c r="G19" i="20" s="1"/>
  <c r="H5" i="20"/>
  <c r="H18" i="20" s="1"/>
  <c r="I6" i="20"/>
  <c r="I5" i="20" s="1"/>
  <c r="J5" i="20"/>
  <c r="J21" i="20" s="1"/>
  <c r="K5" i="20"/>
  <c r="K16" i="20" s="1"/>
  <c r="L5" i="20"/>
  <c r="L17" i="20" s="1"/>
  <c r="L16" i="20"/>
  <c r="K17" i="20"/>
  <c r="K18" i="20"/>
  <c r="D19" i="20"/>
  <c r="K19" i="20"/>
  <c r="K20" i="20"/>
  <c r="K21" i="20"/>
  <c r="B5" i="20"/>
  <c r="B17" i="20" s="1"/>
  <c r="M8" i="19"/>
  <c r="M4" i="19" s="1"/>
  <c r="C8" i="6"/>
  <c r="C8" i="19"/>
  <c r="C4" i="19" s="1"/>
  <c r="B8" i="19"/>
  <c r="B4" i="19" s="1"/>
  <c r="K4" i="19"/>
  <c r="J4" i="19"/>
  <c r="I4" i="19"/>
  <c r="H4" i="19"/>
  <c r="G4" i="19"/>
  <c r="F4" i="19"/>
  <c r="E4" i="19"/>
  <c r="D4" i="19"/>
  <c r="L4" i="19"/>
  <c r="C5" i="5"/>
  <c r="H11" i="19" l="1"/>
  <c r="J12" i="19"/>
  <c r="H21" i="20"/>
  <c r="F11" i="19"/>
  <c r="M11" i="19"/>
  <c r="I12" i="19"/>
  <c r="L12" i="19"/>
  <c r="K12" i="19"/>
  <c r="D11" i="19"/>
  <c r="G13" i="19"/>
  <c r="B11" i="19"/>
  <c r="E13" i="19"/>
  <c r="E19" i="20"/>
  <c r="D13" i="19"/>
  <c r="G11" i="19"/>
  <c r="E11" i="19"/>
  <c r="J14" i="19"/>
  <c r="H13" i="19"/>
  <c r="F18" i="20"/>
  <c r="C11" i="19"/>
  <c r="C13" i="19"/>
  <c r="L14" i="19"/>
  <c r="L13" i="19"/>
  <c r="F14" i="19"/>
  <c r="C14" i="19"/>
  <c r="H14" i="19"/>
  <c r="F13" i="19"/>
  <c r="G14" i="19"/>
  <c r="B13" i="19"/>
  <c r="B14" i="19"/>
  <c r="D14" i="19"/>
  <c r="E14" i="19"/>
  <c r="I11" i="19"/>
  <c r="I14" i="19"/>
  <c r="I13" i="19"/>
  <c r="J13" i="19"/>
  <c r="J11" i="19"/>
  <c r="K13" i="19"/>
  <c r="K14" i="19"/>
  <c r="K11" i="19"/>
  <c r="L11" i="19"/>
  <c r="M13" i="19"/>
  <c r="M14" i="19"/>
  <c r="M12" i="19"/>
  <c r="J20" i="20"/>
  <c r="G21" i="20"/>
  <c r="C20" i="20"/>
  <c r="J17" i="20"/>
  <c r="C21" i="20"/>
  <c r="G18" i="20"/>
  <c r="G17" i="20"/>
  <c r="J16" i="20"/>
  <c r="G16" i="20"/>
  <c r="L21" i="20"/>
  <c r="D21" i="20"/>
  <c r="G20" i="20"/>
  <c r="J19" i="20"/>
  <c r="E18" i="20"/>
  <c r="E17" i="20"/>
  <c r="C16" i="20"/>
  <c r="E20" i="20"/>
  <c r="J18" i="20"/>
  <c r="D17" i="20"/>
  <c r="E16" i="20"/>
  <c r="I21" i="20"/>
  <c r="I17" i="20"/>
  <c r="I18" i="20"/>
  <c r="I19" i="20"/>
  <c r="I20" i="20"/>
  <c r="B20" i="20"/>
  <c r="B19" i="20"/>
  <c r="L20" i="20"/>
  <c r="L19" i="20"/>
  <c r="H19" i="20"/>
  <c r="C19" i="20"/>
  <c r="C18" i="20"/>
  <c r="K15" i="20"/>
  <c r="I16" i="20"/>
  <c r="B18" i="20"/>
  <c r="F20" i="20"/>
  <c r="L18" i="20"/>
  <c r="H17" i="20"/>
  <c r="B16" i="20"/>
  <c r="H16" i="20"/>
  <c r="F16" i="20"/>
  <c r="D16" i="20"/>
  <c r="M15" i="20"/>
  <c r="B21" i="20"/>
  <c r="F21" i="20"/>
  <c r="H20" i="20"/>
  <c r="D20" i="20"/>
  <c r="F19" i="20"/>
  <c r="C6" i="5"/>
  <c r="C7" i="5"/>
  <c r="C8" i="5"/>
  <c r="J15" i="20" l="1"/>
  <c r="G15" i="20"/>
  <c r="C15" i="20"/>
  <c r="E15" i="20"/>
  <c r="C4" i="6"/>
  <c r="L15" i="20"/>
  <c r="D15" i="20"/>
  <c r="F15" i="20"/>
  <c r="I15" i="20"/>
  <c r="B15" i="20"/>
  <c r="H15" i="20"/>
  <c r="C4" i="5"/>
</calcChain>
</file>

<file path=xl/sharedStrings.xml><?xml version="1.0" encoding="utf-8"?>
<sst xmlns="http://schemas.openxmlformats.org/spreadsheetml/2006/main" count="373" uniqueCount="140">
  <si>
    <t>Tabellen van de overzichtswebsite</t>
  </si>
  <si>
    <t>Financieringsbron</t>
  </si>
  <si>
    <t>Inkomsten (M€)</t>
  </si>
  <si>
    <t>Verdeling in %</t>
  </si>
  <si>
    <t>Totale baten</t>
  </si>
  <si>
    <t>- Rijksbijdrage OCW</t>
  </si>
  <si>
    <t>- Overige baten</t>
  </si>
  <si>
    <t>Bestemming</t>
  </si>
  <si>
    <t>Totale uitgaven</t>
  </si>
  <si>
    <t>Totaal</t>
  </si>
  <si>
    <t>Personeel (fte)</t>
  </si>
  <si>
    <t>- Werk voor derden</t>
  </si>
  <si>
    <t>Uitgaven (M€)</t>
  </si>
  <si>
    <t>- KNAW-instituten</t>
  </si>
  <si>
    <t>- Internationalisering</t>
  </si>
  <si>
    <t>- Forumfunctie</t>
  </si>
  <si>
    <t>- Kwaliteit</t>
  </si>
  <si>
    <t>- Advisering</t>
  </si>
  <si>
    <t>- Bestuur/beheer</t>
  </si>
  <si>
    <t>KNAW-instituten</t>
  </si>
  <si>
    <t>Vakgebied</t>
  </si>
  <si>
    <t>Geestes- en sociale wetenschappen  </t>
  </si>
  <si>
    <t>Data Archiving &amp; Networked Services (DANS) </t>
  </si>
  <si>
    <t>Data-archivering</t>
  </si>
  <si>
    <t>Fryske Akademy </t>
  </si>
  <si>
    <t>Friese taal, cultuur en geschiedenis</t>
  </si>
  <si>
    <t>Literatuur- en wetenschapsgeschiedenis</t>
  </si>
  <si>
    <t>Internationaal Instituut voor Sociale Geschiedenis (IISG)</t>
  </si>
  <si>
    <t>Sociale en economische geschiedenis</t>
  </si>
  <si>
    <t>Koninklijk Instituut voor Taal-, Land- en Volkenkunde (KITLV)</t>
  </si>
  <si>
    <t>Taal, cultuur en geschiedenis van Zuidoost-Azië, het Zuidzee- en het Caraïbisch gebied</t>
  </si>
  <si>
    <t>Meertens Instituut</t>
  </si>
  <si>
    <t>Nederlandse taal en cultuur</t>
  </si>
  <si>
    <t>Nederlands Interuniversitair Demografisch Instituut (NIDI)</t>
  </si>
  <si>
    <t>Demografie</t>
  </si>
  <si>
    <t>Netherlands Institute for Advanced Studies (NIAS)</t>
  </si>
  <si>
    <t>Faciliterend</t>
  </si>
  <si>
    <t>Levenswetenschappen</t>
  </si>
  <si>
    <t>Schimmelonderzoek</t>
  </si>
  <si>
    <t>Hubrecht Instituut</t>
  </si>
  <si>
    <t>Ontwikkelingsbiologie en Stamcelonderzoek</t>
  </si>
  <si>
    <t>Nederlands Instituut voor Ecologie  (NIOO)</t>
  </si>
  <si>
    <t>Ecologie en biodiversiteit</t>
  </si>
  <si>
    <t>Neurowetenschappen</t>
  </si>
  <si>
    <t>Overig</t>
  </si>
  <si>
    <t>Rathenau Instituut</t>
  </si>
  <si>
    <t>S&amp;T Assessment</t>
  </si>
  <si>
    <t>Bron: Opgave KNAW</t>
  </si>
  <si>
    <t>Spinozacentrum voor Neuroimaging</t>
  </si>
  <si>
    <t>Hersenonderzoek</t>
  </si>
  <si>
    <t xml:space="preserve">Inhoud </t>
  </si>
  <si>
    <t>Bronnen</t>
  </si>
  <si>
    <t xml:space="preserve">KNAW Jaarverslagen en financiële jaarrekeningen </t>
  </si>
  <si>
    <t>Wet.publicaties</t>
  </si>
  <si>
    <t>Promoties</t>
  </si>
  <si>
    <t>1) Personeel zowel in dienst van de KNAW als personeel in dienst van een externe organisatie, maar werkzaam voor de KNAW; het gaat om vast en tijdelijk personeel</t>
  </si>
  <si>
    <t>Toelichting</t>
  </si>
  <si>
    <t>van het NIAS geregistreerd.</t>
  </si>
  <si>
    <t>-</t>
  </si>
  <si>
    <t xml:space="preserve">Bron: KNAW Jaarverslagen </t>
  </si>
  <si>
    <t>in procenten van het totaal</t>
  </si>
  <si>
    <t>Onderzoeksinzet (fte)</t>
  </si>
  <si>
    <t>Inkomsten naar financieringsbron, vanaf 2001, in M€  en in procenten van het totaal</t>
  </si>
  <si>
    <t>- Overige bijdragen en subsidies</t>
  </si>
  <si>
    <t>- Overige baten (inclusief  baten voor bestemmingsfondsen)</t>
  </si>
  <si>
    <t>Kengetallen KNAW:  Uitgaven naar bestemming (in M€)</t>
  </si>
  <si>
    <t>Laatst bijgewerkt</t>
  </si>
  <si>
    <t xml:space="preserve">in procenten van het totaal </t>
  </si>
  <si>
    <t>Betreft de exploitatierekening</t>
  </si>
  <si>
    <t>2) de Fryske Akademy is een aan de KNAW gelieerd instituut, alleen het KNAW-deel van het budget is weergegeven</t>
  </si>
  <si>
    <t xml:space="preserve">- </t>
  </si>
  <si>
    <t>5 november 2013: uitgaven 2012 naar type uitgave toegevoegd</t>
  </si>
  <si>
    <t>19 september 2013: cijfers 2012 toegevoegd bij een aantal tabellen</t>
  </si>
  <si>
    <t xml:space="preserve">19 september 2013: nieuwe tabel met cijfers voor de KNAW-instituten 2010-2012 toegevoegd. </t>
  </si>
  <si>
    <t>Noten:</t>
  </si>
  <si>
    <t>- De verklaring voor de toename bij de instituten in 2002 t.o.v. 2001 is de groei van projecten voor derden in omvang en geld</t>
  </si>
  <si>
    <t>- De afname van de uitgaven kwaliteit in 2004 t.o.v. 2003 is te verklaren door de afbouw van het Programma Akademie-Onderzoekers</t>
  </si>
  <si>
    <t>- De reden dat de uitgaven voor de instituten in 2012 lager zijn t.o.v. 2011 is de overheveling van NIOO-Ceme naar NIOZ. De andere uitgaven zijn lager door krimp vanwege doorgevoerde bezuinigingen.</t>
  </si>
  <si>
    <t>- De toename van de uitgaven van de instituten in 2003 t.o.v. 2002 is te verklaren door de (onstuimige) groei van derde geldstroomprojecten en het onderbrengen van het NIDI bij de KNAW.</t>
  </si>
  <si>
    <t>Nederlands Instituut voor Oorlogs-, Holocaust- en Genocidestudies (NIOD) </t>
  </si>
  <si>
    <t>Wereldoorlogen en Genociden</t>
  </si>
  <si>
    <t>Nederlands Herseninstituut (NIH) </t>
  </si>
  <si>
    <t>https://www.knaw.nl/nl/actueel/publicaties#b_start=0&amp;c7=Beleidsdocumenten</t>
  </si>
  <si>
    <t>18 juni 2014: cijfers 2013 toegevoegd aan de meeste tabellen (met uitzondering van de "uitgaven naar bestemming")</t>
  </si>
  <si>
    <t>19 augustus 2014: cijfers 2013 m.b.t. de "uitgaven naar bestemming"</t>
  </si>
  <si>
    <t xml:space="preserve">augustus / september 2015: cijfers 2014 toegevoegd </t>
  </si>
  <si>
    <t>Gerealiseerde baten (x M€)</t>
  </si>
  <si>
    <t>Bron: KNAW jaarverslag, "Input en output van de instituten: kerncijfers"</t>
  </si>
  <si>
    <t>- Er hebben zich in 2015 wijzigingen voorgedaan in de toerekening van de uitgaven naar de verschillende bestemmingscategorieën</t>
  </si>
  <si>
    <t>26 augustus 2016: cijfers 2015 toegevoegd --&gt;inkomsten, uitgaven, instituten-1 en -2. (CCM)</t>
  </si>
  <si>
    <t>Huygens Instituut voor Nationale Geschiedenis  (Huygens ING)</t>
  </si>
  <si>
    <t>Kengetallen KNAW-instituten, 2016</t>
  </si>
  <si>
    <t xml:space="preserve">25 augustus 2017: cijfers 2016 toegevoegd </t>
  </si>
  <si>
    <t>Kengetallen KNAW-instituten, 2017</t>
  </si>
  <si>
    <t>3) Het budget betreft zowel de KNAW-bijdrage als extern verworven inkomsten</t>
  </si>
  <si>
    <t>4) Het NIAS heeft zelf geen directe wetenschappelijke output, maar stimuleert onderzoek en publicaties van de fellows. Vanaf 2011 worden publicaties van fellows niet meer als output</t>
  </si>
  <si>
    <t xml:space="preserve">5) De onderzoeksinzet bij het ICIN is hoger dan de formatie, omdat niet alle onderzoekers bij het ICIN in dienst zijn. </t>
  </si>
  <si>
    <t>HuC</t>
  </si>
  <si>
    <t>(Huygens Instituut, IISG en Meertens Instituut sinds 2016)</t>
  </si>
  <si>
    <t>6) Sinds 2016 vormen het Huygens ING, het IISG en het Meertens Instituut het KNAW Humanities Cluster (HuC)</t>
  </si>
  <si>
    <t>15 juli 2019: cijfers 2018 toegevoegd</t>
  </si>
  <si>
    <t>4 juni 2018: cijfers 2017 toegevoegd</t>
  </si>
  <si>
    <t>5 augustus 2020: cijfers 2019 toegevoegd</t>
  </si>
  <si>
    <t>Personele lasten</t>
  </si>
  <si>
    <t>Afschrijvingslasten</t>
  </si>
  <si>
    <t>Huisvestingslasten</t>
  </si>
  <si>
    <t>Overige materiële lasten</t>
  </si>
  <si>
    <t>Toekenningen aan derden</t>
  </si>
  <si>
    <t>Kengetallen KNAW-instituten, 2018</t>
  </si>
  <si>
    <t>Kengetallen KNAW-instituten</t>
  </si>
  <si>
    <t>Kengetallen KNAW-instituten, 2019</t>
  </si>
  <si>
    <t xml:space="preserve">Uitgaven naar bestemming, 2001-2015, in M€ </t>
  </si>
  <si>
    <t xml:space="preserve">Kengetallen voor KNAW-instituten: budget, personeel (totaal en onderzoeksinzet), output (wetenschappelijke publicaties en promoties) </t>
  </si>
  <si>
    <t>16 juli 2020: cijfers 2020 toegevoegd</t>
  </si>
  <si>
    <t>Uitgaven naar bestemming, 2020, in M€ en in procenten van het totaal</t>
  </si>
  <si>
    <t>Kengetallen KNAW-instituten, 2020</t>
  </si>
  <si>
    <t>Westerdijk Instituut</t>
  </si>
  <si>
    <t>7) Vanaf 2020 rapport de KNAW niet meer over de onderzoeksinzet.</t>
  </si>
  <si>
    <t>Kengetallen KNAW-instituten, 2021</t>
  </si>
  <si>
    <t>8) Het Spinoza Centrum is een samenwerkingsverband met o.a. Nederlands Herseninstituut</t>
  </si>
  <si>
    <t>26 juli 2022: cijfers 2021 toegevoegd</t>
  </si>
  <si>
    <t>25 juli 2023: cijfers 2022 toegevoegd</t>
  </si>
  <si>
    <t>Bron: Jaarverslag KNAW 2022</t>
  </si>
  <si>
    <t>Kengetallen KNAW-instituten, 2022</t>
  </si>
  <si>
    <t>9 december 2025: cijfers 2023 en 2024 toegevoegd</t>
  </si>
  <si>
    <t>Inkomsten naar financieringsbron, 2024, in M€ en in procenten van het totaal</t>
  </si>
  <si>
    <t>Kengetallen KNAW: Uitgaven naar bron, 2024 (M€)</t>
  </si>
  <si>
    <t>Kengetallen KNAW-instituten, 2024</t>
  </si>
  <si>
    <t>personeel</t>
  </si>
  <si>
    <t>afschrijving</t>
  </si>
  <si>
    <t>huisvesting</t>
  </si>
  <si>
    <t>overige materiële lasten</t>
  </si>
  <si>
    <t>toekenningen aan derden</t>
  </si>
  <si>
    <t xml:space="preserve">Uitgaven naar bestemming, 2016-2024, in M€ </t>
  </si>
  <si>
    <t>Bron: KNAW Jaarverslag 2024</t>
  </si>
  <si>
    <t>Kengetallen KNAW: Inkomsten naar bron, 2024 (M€)</t>
  </si>
  <si>
    <t>Kengetallen KNAW: Inkomsten naar bron (in M€ en in procenten van het totaal)</t>
  </si>
  <si>
    <t>Kengetallen KNAW: Uitgaven naar bron (in M€ en procenten van het totaal)</t>
  </si>
  <si>
    <t>Kengetallen KNAW-instituten, 2023</t>
  </si>
  <si>
    <t>Humanities Cluster (HuC)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</si>
</sst>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&quot;€&quot;\ * #,##0.00_-;_-&quot;€&quot;\ * #,##0.00\-;_-&quot;€&quot;\ * &quot;-&quot;??_-;_-@_-"/>
  </numFmts>
  <fonts count="15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OCW Swift"/>
    </font>
    <font>
      <sz val="11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166" fontId="10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/>
    <xf numFmtId="164" fontId="4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1" xfId="0" applyFont="1" applyFill="1" applyBorder="1"/>
    <xf numFmtId="0" fontId="7" fillId="0" borderId="0" xfId="0" applyFont="1"/>
    <xf numFmtId="164" fontId="4" fillId="0" borderId="1" xfId="2" applyNumberFormat="1" applyFont="1" applyFill="1" applyBorder="1"/>
    <xf numFmtId="164" fontId="4" fillId="0" borderId="1" xfId="2" quotePrefix="1" applyNumberFormat="1" applyFont="1" applyFill="1" applyBorder="1" applyAlignment="1">
      <alignment horizontal="right"/>
    </xf>
    <xf numFmtId="164" fontId="4" fillId="0" borderId="0" xfId="2" applyNumberFormat="1" applyFont="1" applyFill="1" applyBorder="1"/>
    <xf numFmtId="165" fontId="4" fillId="0" borderId="1" xfId="0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quotePrefix="1" applyFont="1"/>
    <xf numFmtId="165" fontId="4" fillId="0" borderId="0" xfId="0" applyNumberFormat="1" applyFont="1" applyFill="1"/>
    <xf numFmtId="165" fontId="4" fillId="0" borderId="1" xfId="3" applyNumberFormat="1" applyFont="1" applyFill="1" applyBorder="1"/>
    <xf numFmtId="0" fontId="11" fillId="0" borderId="0" xfId="1" applyFont="1" applyAlignment="1" applyProtection="1"/>
    <xf numFmtId="0" fontId="4" fillId="0" borderId="0" xfId="0" quotePrefix="1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4" fillId="0" borderId="1" xfId="0" quotePrefix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1" applyFont="1" applyFill="1" applyAlignment="1" applyProtection="1"/>
    <xf numFmtId="0" fontId="5" fillId="0" borderId="3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quotePrefix="1" applyFont="1" applyFill="1" applyBorder="1" applyAlignment="1">
      <alignment horizontal="right" wrapText="1"/>
    </xf>
    <xf numFmtId="0" fontId="14" fillId="2" borderId="1" xfId="0" quotePrefix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wrapText="1"/>
    </xf>
    <xf numFmtId="164" fontId="4" fillId="0" borderId="0" xfId="0" applyNumberFormat="1" applyFont="1" applyFill="1"/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4" fillId="0" borderId="0" xfId="3" quotePrefix="1" applyFont="1" applyFill="1" applyAlignment="1">
      <alignment wrapText="1"/>
    </xf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3" fillId="0" borderId="0" xfId="0" quotePrefix="1" applyFont="1" applyFill="1" applyAlignment="1">
      <alignment vertical="center" wrapText="1"/>
    </xf>
    <xf numFmtId="164" fontId="4" fillId="0" borderId="2" xfId="0" applyNumberFormat="1" applyFont="1" applyFill="1" applyBorder="1"/>
    <xf numFmtId="0" fontId="5" fillId="0" borderId="6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7" fillId="0" borderId="0" xfId="0" applyFont="1" applyFill="1" applyBorder="1" applyAlignment="1"/>
    <xf numFmtId="0" fontId="5" fillId="3" borderId="4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5">
    <cellStyle name="Currency 2" xfId="4" xr:uid="{00000000-0005-0000-0000-000000000000}"/>
    <cellStyle name="Hyperlink" xfId="1" builtinId="8"/>
    <cellStyle name="Normal" xfId="0" builtinId="0"/>
    <cellStyle name="Normal 2" xfId="3" xr:uid="{00000000-0005-0000-0000-000003000000}"/>
    <cellStyle name="Standaard_overz02f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ef/NL-Tabellen_KNAW_o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oud"/>
      <sheetName val="inkomsten"/>
      <sheetName val="inkomsten vanaf 2001"/>
      <sheetName val="uitgaven"/>
      <sheetName val="uitgaven 2001-2015"/>
      <sheetName val="KNAW-instituten-1"/>
      <sheetName val="KNAW-instituten-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973.1</v>
          </cell>
          <cell r="J5">
            <v>1043.9000000000001</v>
          </cell>
          <cell r="O5">
            <v>534.70000000000005</v>
          </cell>
          <cell r="Q5">
            <v>516.5</v>
          </cell>
        </row>
        <row r="6">
          <cell r="I6">
            <v>348</v>
          </cell>
          <cell r="Q6">
            <v>149.9</v>
          </cell>
        </row>
        <row r="7">
          <cell r="I7">
            <v>51</v>
          </cell>
          <cell r="J7">
            <v>45.2</v>
          </cell>
          <cell r="O7">
            <v>9.5</v>
          </cell>
          <cell r="Q7">
            <v>12.4</v>
          </cell>
        </row>
        <row r="8">
          <cell r="I8" t="str">
            <v>-</v>
          </cell>
          <cell r="Q8" t="str">
            <v>-</v>
          </cell>
        </row>
        <row r="9">
          <cell r="I9">
            <v>67.3</v>
          </cell>
          <cell r="Q9">
            <v>30.1</v>
          </cell>
        </row>
        <row r="10">
          <cell r="I10">
            <v>63.8</v>
          </cell>
          <cell r="Q10">
            <v>15.2</v>
          </cell>
        </row>
        <row r="11">
          <cell r="I11">
            <v>30</v>
          </cell>
          <cell r="J11">
            <v>29.7</v>
          </cell>
          <cell r="O11">
            <v>20.6</v>
          </cell>
          <cell r="Q11">
            <v>25.6</v>
          </cell>
        </row>
        <row r="12">
          <cell r="I12">
            <v>31.6</v>
          </cell>
          <cell r="Q12">
            <v>15</v>
          </cell>
        </row>
        <row r="13">
          <cell r="I13">
            <v>53</v>
          </cell>
          <cell r="J13">
            <v>59.4</v>
          </cell>
          <cell r="O13">
            <v>20.2</v>
          </cell>
          <cell r="Q13">
            <v>16.2</v>
          </cell>
        </row>
        <row r="14">
          <cell r="I14">
            <v>44.1</v>
          </cell>
          <cell r="J14">
            <v>40.6</v>
          </cell>
          <cell r="O14">
            <v>31.3</v>
          </cell>
          <cell r="Q14">
            <v>35.4</v>
          </cell>
        </row>
        <row r="15">
          <cell r="I15">
            <v>7.2</v>
          </cell>
          <cell r="J15">
            <v>8.3000000000000007</v>
          </cell>
          <cell r="O15">
            <v>0</v>
          </cell>
          <cell r="Q15">
            <v>0</v>
          </cell>
        </row>
        <row r="18">
          <cell r="J18">
            <v>209.2</v>
          </cell>
          <cell r="O18">
            <v>71.400000000000006</v>
          </cell>
        </row>
        <row r="19">
          <cell r="I19">
            <v>579.80000000000007</v>
          </cell>
          <cell r="Q19">
            <v>334.1</v>
          </cell>
        </row>
        <row r="20">
          <cell r="I20">
            <v>54.1</v>
          </cell>
          <cell r="J20">
            <v>57.4</v>
          </cell>
          <cell r="O20">
            <v>28.1</v>
          </cell>
          <cell r="Q20">
            <v>28.4</v>
          </cell>
        </row>
        <row r="21">
          <cell r="I21">
            <v>228</v>
          </cell>
          <cell r="J21">
            <v>250.2</v>
          </cell>
          <cell r="O21">
            <v>151.80000000000001</v>
          </cell>
          <cell r="Q21">
            <v>138.4</v>
          </cell>
        </row>
        <row r="23">
          <cell r="I23">
            <v>146.80000000000001</v>
          </cell>
          <cell r="J23">
            <v>149.69999999999999</v>
          </cell>
          <cell r="O23">
            <v>89.1</v>
          </cell>
          <cell r="Q23">
            <v>84.9</v>
          </cell>
        </row>
        <row r="24">
          <cell r="I24">
            <v>144.4</v>
          </cell>
          <cell r="J24">
            <v>134.5</v>
          </cell>
          <cell r="O24">
            <v>67.599999999999994</v>
          </cell>
          <cell r="Q24">
            <v>79</v>
          </cell>
        </row>
        <row r="25">
          <cell r="I25">
            <v>6.5</v>
          </cell>
          <cell r="J25">
            <v>11.6</v>
          </cell>
          <cell r="O25">
            <v>8.6</v>
          </cell>
          <cell r="Q25">
            <v>3.4</v>
          </cell>
        </row>
        <row r="26">
          <cell r="I26">
            <v>45.3</v>
          </cell>
          <cell r="Q26">
            <v>32.4</v>
          </cell>
        </row>
        <row r="27">
          <cell r="I27">
            <v>45.3</v>
          </cell>
          <cell r="J27">
            <v>48.1</v>
          </cell>
          <cell r="O27">
            <v>35.6</v>
          </cell>
          <cell r="Q27">
            <v>32.4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naw.nl/nl/actueel/publicat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33"/>
  <sheetViews>
    <sheetView workbookViewId="0">
      <selection activeCell="B4" sqref="B4"/>
    </sheetView>
  </sheetViews>
  <sheetFormatPr defaultColWidth="9.109375" defaultRowHeight="15" customHeight="1"/>
  <cols>
    <col min="1" max="16384" width="9.109375" style="2"/>
  </cols>
  <sheetData>
    <row r="1" spans="2:2" ht="20.100000000000001" customHeight="1">
      <c r="B1" s="1" t="s">
        <v>50</v>
      </c>
    </row>
    <row r="4" spans="2:2" ht="15" customHeight="1">
      <c r="B4" s="2" t="s">
        <v>125</v>
      </c>
    </row>
    <row r="5" spans="2:2" ht="15" customHeight="1">
      <c r="B5" s="2" t="s">
        <v>62</v>
      </c>
    </row>
    <row r="6" spans="2:2" ht="15" customHeight="1">
      <c r="B6" s="2" t="s">
        <v>114</v>
      </c>
    </row>
    <row r="7" spans="2:2" ht="15" customHeight="1">
      <c r="B7" s="2" t="s">
        <v>111</v>
      </c>
    </row>
    <row r="8" spans="2:2" ht="15" customHeight="1">
      <c r="B8" s="2" t="s">
        <v>133</v>
      </c>
    </row>
    <row r="9" spans="2:2" ht="15" customHeight="1">
      <c r="B9" s="2" t="s">
        <v>112</v>
      </c>
    </row>
    <row r="13" spans="2:2" ht="15" customHeight="1">
      <c r="B13" s="3" t="s">
        <v>51</v>
      </c>
    </row>
    <row r="14" spans="2:2" ht="15" customHeight="1">
      <c r="B14" s="2" t="s">
        <v>52</v>
      </c>
    </row>
    <row r="15" spans="2:2" ht="15" customHeight="1">
      <c r="B15" s="30" t="s">
        <v>82</v>
      </c>
    </row>
    <row r="16" spans="2:2" ht="15" customHeight="1">
      <c r="B16" s="4"/>
    </row>
    <row r="18" spans="2:2" ht="15" customHeight="1">
      <c r="B18" s="3" t="s">
        <v>66</v>
      </c>
    </row>
    <row r="19" spans="2:2" ht="15" customHeight="1">
      <c r="B19" s="2" t="s">
        <v>72</v>
      </c>
    </row>
    <row r="20" spans="2:2" ht="15" customHeight="1">
      <c r="B20" s="27" t="s">
        <v>73</v>
      </c>
    </row>
    <row r="21" spans="2:2" ht="15" customHeight="1">
      <c r="B21" s="2" t="s">
        <v>71</v>
      </c>
    </row>
    <row r="22" spans="2:2" ht="15" customHeight="1">
      <c r="B22" s="2" t="s">
        <v>83</v>
      </c>
    </row>
    <row r="23" spans="2:2" ht="15" customHeight="1">
      <c r="B23" s="2" t="s">
        <v>84</v>
      </c>
    </row>
    <row r="24" spans="2:2" ht="15" customHeight="1">
      <c r="B24" s="2" t="s">
        <v>85</v>
      </c>
    </row>
    <row r="25" spans="2:2" ht="15" customHeight="1">
      <c r="B25" s="2" t="s">
        <v>89</v>
      </c>
    </row>
    <row r="26" spans="2:2" ht="15" customHeight="1">
      <c r="B26" s="2" t="s">
        <v>92</v>
      </c>
    </row>
    <row r="27" spans="2:2" ht="15" customHeight="1">
      <c r="B27" s="2" t="s">
        <v>101</v>
      </c>
    </row>
    <row r="28" spans="2:2" ht="15" customHeight="1">
      <c r="B28" s="2" t="s">
        <v>100</v>
      </c>
    </row>
    <row r="29" spans="2:2" ht="15" customHeight="1">
      <c r="B29" s="2" t="s">
        <v>102</v>
      </c>
    </row>
    <row r="30" spans="2:2" ht="15" customHeight="1">
      <c r="B30" s="2" t="s">
        <v>113</v>
      </c>
    </row>
    <row r="31" spans="2:2" ht="15" customHeight="1">
      <c r="B31" s="2" t="s">
        <v>120</v>
      </c>
    </row>
    <row r="32" spans="2:2" ht="15" customHeight="1">
      <c r="B32" s="2" t="s">
        <v>121</v>
      </c>
    </row>
    <row r="33" spans="2:2" ht="15" customHeight="1">
      <c r="B33" s="2" t="s">
        <v>124</v>
      </c>
    </row>
  </sheetData>
  <hyperlinks>
    <hyperlink ref="B15" r:id="rId1" location="b_start=0&amp;c7=Beleidsdocumente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3"/>
  <sheetViews>
    <sheetView workbookViewId="0">
      <selection activeCell="A11" sqref="A11"/>
    </sheetView>
  </sheetViews>
  <sheetFormatPr defaultColWidth="9.109375" defaultRowHeight="15" customHeight="1"/>
  <cols>
    <col min="1" max="1" width="55.88671875" style="33" bestFit="1" customWidth="1"/>
    <col min="2" max="2" width="15.88671875" style="33" customWidth="1"/>
    <col min="3" max="3" width="18.109375" style="33" customWidth="1"/>
    <col min="4" max="16384" width="9.109375" style="33"/>
  </cols>
  <sheetData>
    <row r="1" spans="1:3" ht="15" customHeight="1">
      <c r="A1" s="44" t="s">
        <v>135</v>
      </c>
      <c r="B1" s="44"/>
      <c r="C1" s="44"/>
    </row>
    <row r="3" spans="1:3" s="45" customFormat="1" ht="15" customHeight="1">
      <c r="A3" s="36" t="s">
        <v>1</v>
      </c>
      <c r="B3" s="37" t="s">
        <v>2</v>
      </c>
      <c r="C3" s="37" t="s">
        <v>3</v>
      </c>
    </row>
    <row r="4" spans="1:3" s="45" customFormat="1" ht="15" customHeight="1">
      <c r="A4" s="36" t="s">
        <v>4</v>
      </c>
      <c r="B4" s="38">
        <v>188.44200000000001</v>
      </c>
      <c r="C4" s="37">
        <f>+SUM(C5:C8)</f>
        <v>100</v>
      </c>
    </row>
    <row r="5" spans="1:3" ht="15" customHeight="1">
      <c r="A5" s="26" t="s">
        <v>5</v>
      </c>
      <c r="B5" s="38">
        <v>110.85899999999999</v>
      </c>
      <c r="C5" s="12">
        <f>+B5/B$4*100</f>
        <v>58.829241888750907</v>
      </c>
    </row>
    <row r="6" spans="1:3" ht="15" customHeight="1">
      <c r="A6" s="39" t="s">
        <v>63</v>
      </c>
      <c r="B6" s="38">
        <v>10.025</v>
      </c>
      <c r="C6" s="12">
        <f>+B6/B$4*100</f>
        <v>5.3199392916653396</v>
      </c>
    </row>
    <row r="7" spans="1:3" ht="15" customHeight="1">
      <c r="A7" s="26" t="s">
        <v>11</v>
      </c>
      <c r="B7" s="38">
        <v>52.460999999999999</v>
      </c>
      <c r="C7" s="12">
        <f>+B7/B$4*100</f>
        <v>27.839335180055404</v>
      </c>
    </row>
    <row r="8" spans="1:3" ht="15" customHeight="1">
      <c r="A8" s="39" t="s">
        <v>64</v>
      </c>
      <c r="B8" s="38">
        <v>15.097</v>
      </c>
      <c r="C8" s="12">
        <f>+B8/B$4*100</f>
        <v>8.0114836395283433</v>
      </c>
    </row>
    <row r="10" spans="1:3" ht="15" customHeight="1">
      <c r="A10" s="43" t="s">
        <v>134</v>
      </c>
    </row>
    <row r="12" spans="1:3" ht="15" customHeight="1">
      <c r="A12" s="33" t="s">
        <v>68</v>
      </c>
    </row>
    <row r="13" spans="1:3" ht="15" customHeight="1">
      <c r="A13" s="46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09375" defaultRowHeight="15" customHeight="1"/>
  <cols>
    <col min="1" max="1" width="38.5546875" style="33" customWidth="1"/>
    <col min="2" max="17" width="9.109375" style="33" customWidth="1"/>
    <col min="18" max="16384" width="9.109375" style="33"/>
  </cols>
  <sheetData>
    <row r="1" spans="1:25" ht="15" customHeight="1">
      <c r="A1" s="32" t="s">
        <v>136</v>
      </c>
    </row>
    <row r="2" spans="1:25" ht="15" customHeight="1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24"/>
    </row>
    <row r="3" spans="1:25" ht="15" customHeight="1">
      <c r="A3" s="36" t="s">
        <v>1</v>
      </c>
      <c r="B3" s="37">
        <v>2001</v>
      </c>
      <c r="C3" s="37">
        <v>2002</v>
      </c>
      <c r="D3" s="37">
        <v>2003</v>
      </c>
      <c r="E3" s="37">
        <v>2004</v>
      </c>
      <c r="F3" s="37">
        <v>2005</v>
      </c>
      <c r="G3" s="37">
        <v>2006</v>
      </c>
      <c r="H3" s="37">
        <v>2007</v>
      </c>
      <c r="I3" s="37">
        <v>2008</v>
      </c>
      <c r="J3" s="37">
        <v>2009</v>
      </c>
      <c r="K3" s="37">
        <v>2010</v>
      </c>
      <c r="L3" s="37">
        <v>2011</v>
      </c>
      <c r="M3" s="37">
        <v>2012</v>
      </c>
      <c r="N3" s="37">
        <v>2013</v>
      </c>
      <c r="O3" s="37">
        <v>2014</v>
      </c>
      <c r="P3" s="37">
        <v>2015</v>
      </c>
      <c r="Q3" s="37">
        <v>2016</v>
      </c>
      <c r="R3" s="37">
        <v>2017</v>
      </c>
      <c r="S3" s="37">
        <v>2018</v>
      </c>
      <c r="T3" s="37">
        <v>2019</v>
      </c>
      <c r="U3" s="37">
        <v>2020</v>
      </c>
      <c r="V3" s="37">
        <v>2021</v>
      </c>
      <c r="W3" s="37">
        <v>2022</v>
      </c>
      <c r="X3" s="37">
        <v>2023</v>
      </c>
      <c r="Y3" s="37">
        <v>2024</v>
      </c>
    </row>
    <row r="4" spans="1:25" ht="15" customHeight="1">
      <c r="A4" s="36" t="s">
        <v>4</v>
      </c>
      <c r="B4" s="38">
        <f>+SUM(B5:B8)</f>
        <v>97.233000000000004</v>
      </c>
      <c r="C4" s="38">
        <f t="shared" ref="C4:K4" si="0">+SUM(C5:C8)</f>
        <v>101.84700000000001</v>
      </c>
      <c r="D4" s="38">
        <f t="shared" si="0"/>
        <v>122.1</v>
      </c>
      <c r="E4" s="38">
        <f t="shared" si="0"/>
        <v>126.9</v>
      </c>
      <c r="F4" s="38">
        <f t="shared" si="0"/>
        <v>125.44800000000001</v>
      </c>
      <c r="G4" s="38">
        <f t="shared" si="0"/>
        <v>133.66999999999999</v>
      </c>
      <c r="H4" s="38">
        <f t="shared" si="0"/>
        <v>135.15100000000001</v>
      </c>
      <c r="I4" s="38">
        <f t="shared" si="0"/>
        <v>136.803</v>
      </c>
      <c r="J4" s="38">
        <f t="shared" si="0"/>
        <v>153.37800000000001</v>
      </c>
      <c r="K4" s="38">
        <f t="shared" si="0"/>
        <v>150.01600000000002</v>
      </c>
      <c r="L4" s="38">
        <f>+SUM(L5:L8)</f>
        <v>151.65400000000002</v>
      </c>
      <c r="M4" s="38">
        <f>+SUM(M5:M8)</f>
        <v>151.70500000000001</v>
      </c>
      <c r="N4" s="38">
        <f>+SUM(N5:N8)</f>
        <v>156.58499999999998</v>
      </c>
      <c r="O4" s="38">
        <f>+SUM(O5:O8)</f>
        <v>154.97399999999999</v>
      </c>
      <c r="P4" s="38">
        <v>146.67400000000001</v>
      </c>
      <c r="Q4" s="38">
        <v>144.721</v>
      </c>
      <c r="R4" s="38">
        <v>150.50700000000001</v>
      </c>
      <c r="S4" s="38">
        <v>151.31099999999998</v>
      </c>
      <c r="T4" s="38">
        <v>151.30499999999998</v>
      </c>
      <c r="U4" s="38">
        <v>148.505</v>
      </c>
      <c r="V4" s="38">
        <v>159.02299999999997</v>
      </c>
      <c r="W4" s="38">
        <v>161.6</v>
      </c>
      <c r="X4" s="38">
        <v>173.79999999999998</v>
      </c>
      <c r="Y4" s="38">
        <v>188.44200000000001</v>
      </c>
    </row>
    <row r="5" spans="1:25" ht="15" customHeight="1">
      <c r="A5" s="26" t="s">
        <v>5</v>
      </c>
      <c r="B5" s="19">
        <v>74.956000000000003</v>
      </c>
      <c r="C5" s="19">
        <v>77.138000000000005</v>
      </c>
      <c r="D5" s="19">
        <v>83</v>
      </c>
      <c r="E5" s="19">
        <v>86.5</v>
      </c>
      <c r="F5" s="19">
        <v>87.736000000000004</v>
      </c>
      <c r="G5" s="19">
        <v>89.206999999999994</v>
      </c>
      <c r="H5" s="19">
        <v>91.561000000000007</v>
      </c>
      <c r="I5" s="19">
        <v>94.14</v>
      </c>
      <c r="J5" s="19">
        <v>97.29</v>
      </c>
      <c r="K5" s="19">
        <v>93.269000000000005</v>
      </c>
      <c r="L5" s="12">
        <v>96.369</v>
      </c>
      <c r="M5" s="12">
        <v>94.045000000000002</v>
      </c>
      <c r="N5" s="12">
        <v>93.572999999999993</v>
      </c>
      <c r="O5" s="12">
        <v>91.275999999999996</v>
      </c>
      <c r="P5" s="12">
        <v>88.498000000000005</v>
      </c>
      <c r="Q5" s="12">
        <v>88.965000000000003</v>
      </c>
      <c r="R5" s="12">
        <v>89.745000000000005</v>
      </c>
      <c r="S5" s="12">
        <v>89.656000000000006</v>
      </c>
      <c r="T5" s="12">
        <v>90.438999999999993</v>
      </c>
      <c r="U5" s="12">
        <v>94.494</v>
      </c>
      <c r="V5" s="12">
        <v>95.534999999999997</v>
      </c>
      <c r="W5" s="12">
        <v>99.9</v>
      </c>
      <c r="X5" s="12">
        <v>105.6</v>
      </c>
      <c r="Y5" s="12">
        <v>110.85899999999999</v>
      </c>
    </row>
    <row r="6" spans="1:25" ht="15" customHeight="1">
      <c r="A6" s="39" t="s">
        <v>63</v>
      </c>
      <c r="B6" s="20" t="s">
        <v>58</v>
      </c>
      <c r="C6" s="20" t="s">
        <v>58</v>
      </c>
      <c r="D6" s="20" t="s">
        <v>58</v>
      </c>
      <c r="E6" s="20" t="s">
        <v>58</v>
      </c>
      <c r="F6" s="20" t="s">
        <v>58</v>
      </c>
      <c r="G6" s="20" t="s">
        <v>58</v>
      </c>
      <c r="H6" s="20" t="s">
        <v>58</v>
      </c>
      <c r="I6" s="19">
        <v>4.2629999999999999</v>
      </c>
      <c r="J6" s="19">
        <v>2.9510000000000001</v>
      </c>
      <c r="K6" s="19">
        <v>6.1</v>
      </c>
      <c r="L6" s="12">
        <v>5.9240000000000004</v>
      </c>
      <c r="M6" s="12">
        <f>6.953</f>
        <v>6.9530000000000003</v>
      </c>
      <c r="N6" s="12">
        <v>4.4720000000000004</v>
      </c>
      <c r="O6" s="12">
        <v>6.048</v>
      </c>
      <c r="P6" s="12">
        <v>8.1989999999999998</v>
      </c>
      <c r="Q6" s="12">
        <v>6.9080000000000004</v>
      </c>
      <c r="R6" s="12">
        <v>8.2889999999999997</v>
      </c>
      <c r="S6" s="12">
        <v>8.9809999999999999</v>
      </c>
      <c r="T6" s="12">
        <v>9.8019999999999996</v>
      </c>
      <c r="U6" s="12">
        <v>8.5169999999999995</v>
      </c>
      <c r="V6" s="12">
        <v>7.55</v>
      </c>
      <c r="W6" s="12">
        <v>7.9</v>
      </c>
      <c r="X6" s="12">
        <v>10.3</v>
      </c>
      <c r="Y6" s="12">
        <v>10.025</v>
      </c>
    </row>
    <row r="7" spans="1:25" ht="15" customHeight="1">
      <c r="A7" s="26" t="s">
        <v>11</v>
      </c>
      <c r="B7" s="19">
        <v>14.222</v>
      </c>
      <c r="C7" s="19">
        <v>21.181000000000001</v>
      </c>
      <c r="D7" s="19">
        <v>25.2</v>
      </c>
      <c r="E7" s="19">
        <v>24.4</v>
      </c>
      <c r="F7" s="19">
        <v>25.8</v>
      </c>
      <c r="G7" s="19">
        <v>30.251999999999999</v>
      </c>
      <c r="H7" s="19">
        <v>29.603000000000002</v>
      </c>
      <c r="I7" s="20">
        <v>31.759</v>
      </c>
      <c r="J7" s="19">
        <v>34.070999999999998</v>
      </c>
      <c r="K7" s="19">
        <v>37.954999999999998</v>
      </c>
      <c r="L7" s="12">
        <v>40.091000000000001</v>
      </c>
      <c r="M7" s="12">
        <v>40.731999999999999</v>
      </c>
      <c r="N7" s="12">
        <v>43.941000000000003</v>
      </c>
      <c r="O7" s="12">
        <v>42.445</v>
      </c>
      <c r="P7" s="12">
        <v>39.792999999999999</v>
      </c>
      <c r="Q7" s="12">
        <v>36.750999999999998</v>
      </c>
      <c r="R7" s="12">
        <v>39.972999999999999</v>
      </c>
      <c r="S7" s="12">
        <v>40.473999999999997</v>
      </c>
      <c r="T7" s="12">
        <v>41.664000000000001</v>
      </c>
      <c r="U7" s="12">
        <v>37.194000000000003</v>
      </c>
      <c r="V7" s="12">
        <v>42.738</v>
      </c>
      <c r="W7" s="12">
        <v>43.7</v>
      </c>
      <c r="X7" s="12">
        <v>47</v>
      </c>
      <c r="Y7" s="12">
        <v>52.460999999999999</v>
      </c>
    </row>
    <row r="8" spans="1:25" ht="15" customHeight="1">
      <c r="A8" s="26" t="s">
        <v>6</v>
      </c>
      <c r="B8" s="19">
        <f>12.675-4.62</f>
        <v>8.0549999999999997</v>
      </c>
      <c r="C8" s="19">
        <f>10.805-7.277</f>
        <v>3.5279999999999996</v>
      </c>
      <c r="D8" s="19">
        <f>10.2+3.7</f>
        <v>13.899999999999999</v>
      </c>
      <c r="E8" s="19">
        <f>13+3</f>
        <v>16</v>
      </c>
      <c r="F8" s="19">
        <v>11.912000000000001</v>
      </c>
      <c r="G8" s="19">
        <v>14.211</v>
      </c>
      <c r="H8" s="19">
        <v>13.987</v>
      </c>
      <c r="I8" s="19">
        <f>9.814-3.173</f>
        <v>6.641</v>
      </c>
      <c r="J8" s="19">
        <f>10.656+8.41</f>
        <v>19.066000000000003</v>
      </c>
      <c r="K8" s="19">
        <f>10.084+2.608</f>
        <v>12.692</v>
      </c>
      <c r="L8" s="12">
        <f>9.701-0.431</f>
        <v>9.2700000000000014</v>
      </c>
      <c r="M8" s="12">
        <f>7.134+2.841</f>
        <v>9.9750000000000014</v>
      </c>
      <c r="N8" s="12">
        <f>9.98+4.619</f>
        <v>14.599</v>
      </c>
      <c r="O8" s="12">
        <f>9.296+5.909</f>
        <v>15.204999999999998</v>
      </c>
      <c r="P8" s="12">
        <f>9.724+0.46</f>
        <v>10.184000000000001</v>
      </c>
      <c r="Q8" s="12">
        <v>12.097</v>
      </c>
      <c r="R8" s="12">
        <v>12.5</v>
      </c>
      <c r="S8" s="12">
        <v>12.2</v>
      </c>
      <c r="T8" s="12">
        <v>9.4</v>
      </c>
      <c r="U8" s="12">
        <v>8.3000000000000007</v>
      </c>
      <c r="V8" s="12">
        <v>13.2</v>
      </c>
      <c r="W8" s="12">
        <v>10.1</v>
      </c>
      <c r="X8" s="12">
        <v>10.9</v>
      </c>
      <c r="Y8" s="12">
        <v>15.097</v>
      </c>
    </row>
    <row r="9" spans="1:25" ht="15" customHeight="1">
      <c r="A9" s="43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15" customHeight="1">
      <c r="A10" s="42" t="s">
        <v>60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1"/>
    </row>
    <row r="11" spans="1:25" ht="15" customHeight="1">
      <c r="A11" s="26" t="s">
        <v>5</v>
      </c>
      <c r="B11" s="19">
        <f>+B5/B$4*100</f>
        <v>77.089054127713837</v>
      </c>
      <c r="C11" s="19">
        <f t="shared" ref="C11:L11" si="1">+C5/C$4*100</f>
        <v>75.739098844344937</v>
      </c>
      <c r="D11" s="19">
        <f t="shared" si="1"/>
        <v>67.977067977067989</v>
      </c>
      <c r="E11" s="19">
        <f t="shared" si="1"/>
        <v>68.163908589440496</v>
      </c>
      <c r="F11" s="19">
        <f t="shared" si="1"/>
        <v>69.938141700146673</v>
      </c>
      <c r="G11" s="19">
        <f t="shared" si="1"/>
        <v>66.736739732176247</v>
      </c>
      <c r="H11" s="19">
        <f t="shared" si="1"/>
        <v>67.747186480307207</v>
      </c>
      <c r="I11" s="19">
        <f t="shared" si="1"/>
        <v>68.814280388587974</v>
      </c>
      <c r="J11" s="19">
        <f t="shared" si="1"/>
        <v>63.431522121816684</v>
      </c>
      <c r="K11" s="19">
        <f t="shared" si="1"/>
        <v>62.172701578498291</v>
      </c>
      <c r="L11" s="19">
        <f t="shared" si="1"/>
        <v>63.545307080591343</v>
      </c>
      <c r="M11" s="19">
        <f t="shared" ref="M11:N14" si="2">+M5/M$4*100</f>
        <v>61.992023993935597</v>
      </c>
      <c r="N11" s="19">
        <f t="shared" si="2"/>
        <v>59.758597566816753</v>
      </c>
      <c r="O11" s="19">
        <f t="shared" ref="O11:P11" si="3">+O5/O$4*100</f>
        <v>58.897621536515807</v>
      </c>
      <c r="P11" s="19">
        <f t="shared" si="3"/>
        <v>60.336528628114053</v>
      </c>
      <c r="Q11" s="19">
        <f t="shared" ref="Q11:R11" si="4">+Q5/Q$4*100</f>
        <v>61.473455821891775</v>
      </c>
      <c r="R11" s="19">
        <f t="shared" si="4"/>
        <v>59.628455819330661</v>
      </c>
      <c r="S11" s="19">
        <f t="shared" ref="S11:V14" si="5">+S5/S$4*100</f>
        <v>59.252797218972852</v>
      </c>
      <c r="T11" s="19">
        <f t="shared" si="5"/>
        <v>59.772644658140848</v>
      </c>
      <c r="U11" s="19">
        <f t="shared" si="5"/>
        <v>63.630180801993198</v>
      </c>
      <c r="V11" s="19">
        <f t="shared" si="5"/>
        <v>60.076215390226587</v>
      </c>
      <c r="W11" s="19">
        <f>+W5/W$4*100</f>
        <v>61.819306930693074</v>
      </c>
      <c r="X11" s="19">
        <v>60.75949367088608</v>
      </c>
      <c r="Y11" s="19">
        <v>58.829241888750907</v>
      </c>
    </row>
    <row r="12" spans="1:25" ht="15" customHeight="1">
      <c r="A12" s="39" t="s">
        <v>63</v>
      </c>
      <c r="B12" s="20" t="s">
        <v>70</v>
      </c>
      <c r="C12" s="20" t="s">
        <v>70</v>
      </c>
      <c r="D12" s="20" t="s">
        <v>70</v>
      </c>
      <c r="E12" s="20" t="s">
        <v>70</v>
      </c>
      <c r="F12" s="20" t="s">
        <v>70</v>
      </c>
      <c r="G12" s="20" t="s">
        <v>70</v>
      </c>
      <c r="H12" s="20" t="s">
        <v>70</v>
      </c>
      <c r="I12" s="19">
        <f t="shared" ref="I12:L12" si="6">+I6/I$4*100</f>
        <v>3.1161597333391811</v>
      </c>
      <c r="J12" s="19">
        <f t="shared" si="6"/>
        <v>1.9240047464434271</v>
      </c>
      <c r="K12" s="19">
        <f t="shared" si="6"/>
        <v>4.0662329351535824</v>
      </c>
      <c r="L12" s="19">
        <f t="shared" si="6"/>
        <v>3.9062603030582768</v>
      </c>
      <c r="M12" s="19">
        <f t="shared" si="2"/>
        <v>4.5832372037836588</v>
      </c>
      <c r="N12" s="19">
        <f t="shared" si="2"/>
        <v>2.8559568285595689</v>
      </c>
      <c r="O12" s="19">
        <f t="shared" ref="O12:P12" si="7">+O6/O$4*100</f>
        <v>3.9025901118897366</v>
      </c>
      <c r="P12" s="19">
        <f t="shared" si="7"/>
        <v>5.589947775338505</v>
      </c>
      <c r="Q12" s="19">
        <f t="shared" ref="Q12:R12" si="8">+Q6/Q$4*100</f>
        <v>4.7733224618403689</v>
      </c>
      <c r="R12" s="19">
        <f t="shared" si="8"/>
        <v>5.5073850385696339</v>
      </c>
      <c r="S12" s="19">
        <f t="shared" si="5"/>
        <v>5.9354574353483898</v>
      </c>
      <c r="T12" s="19">
        <f t="shared" si="5"/>
        <v>6.4783054096031201</v>
      </c>
      <c r="U12" s="19">
        <f t="shared" si="5"/>
        <v>5.7351604323086764</v>
      </c>
      <c r="V12" s="19">
        <f t="shared" si="5"/>
        <v>4.7477408928268243</v>
      </c>
      <c r="W12" s="19">
        <f>+W6/W$4*100</f>
        <v>4.8886138613861387</v>
      </c>
      <c r="X12" s="19">
        <v>5.9263521288837753</v>
      </c>
      <c r="Y12" s="19">
        <v>5.3199392916653396</v>
      </c>
    </row>
    <row r="13" spans="1:25" ht="15" customHeight="1">
      <c r="A13" s="26" t="s">
        <v>11</v>
      </c>
      <c r="B13" s="19">
        <f t="shared" ref="B13:L14" si="9">+B7/B$4*100</f>
        <v>14.626721380601234</v>
      </c>
      <c r="C13" s="19">
        <f t="shared" si="9"/>
        <v>20.796881596905163</v>
      </c>
      <c r="D13" s="19">
        <f t="shared" si="9"/>
        <v>20.63882063882064</v>
      </c>
      <c r="E13" s="19">
        <f t="shared" si="9"/>
        <v>19.227738376674544</v>
      </c>
      <c r="F13" s="19">
        <f t="shared" si="9"/>
        <v>20.566290415152093</v>
      </c>
      <c r="G13" s="19">
        <f t="shared" si="9"/>
        <v>22.631854567217776</v>
      </c>
      <c r="H13" s="19">
        <f t="shared" si="9"/>
        <v>21.903648511664731</v>
      </c>
      <c r="I13" s="19">
        <f t="shared" si="9"/>
        <v>23.215134171034261</v>
      </c>
      <c r="J13" s="19">
        <f t="shared" si="9"/>
        <v>22.213746430387665</v>
      </c>
      <c r="K13" s="19">
        <f t="shared" si="9"/>
        <v>25.300634598976107</v>
      </c>
      <c r="L13" s="19">
        <f t="shared" si="9"/>
        <v>26.435834201537705</v>
      </c>
      <c r="M13" s="19">
        <f t="shared" si="2"/>
        <v>26.849477604561482</v>
      </c>
      <c r="N13" s="19">
        <f t="shared" si="2"/>
        <v>28.062074911389985</v>
      </c>
      <c r="O13" s="19">
        <f t="shared" ref="O13:P13" si="10">+O7/O$4*100</f>
        <v>27.388465161898129</v>
      </c>
      <c r="P13" s="19">
        <f t="shared" si="10"/>
        <v>27.130234397371041</v>
      </c>
      <c r="Q13" s="19">
        <f t="shared" ref="Q13:R13" si="11">+Q7/Q$4*100</f>
        <v>25.394379530268584</v>
      </c>
      <c r="R13" s="19">
        <f t="shared" si="11"/>
        <v>26.558897592802992</v>
      </c>
      <c r="S13" s="19">
        <f t="shared" si="5"/>
        <v>26.748881442856103</v>
      </c>
      <c r="T13" s="19">
        <f t="shared" si="5"/>
        <v>27.536433032616241</v>
      </c>
      <c r="U13" s="19">
        <f t="shared" si="5"/>
        <v>25.045621359550186</v>
      </c>
      <c r="V13" s="19">
        <f t="shared" si="5"/>
        <v>26.875357652666597</v>
      </c>
      <c r="W13" s="19">
        <f>+W7/W$4*100</f>
        <v>27.042079207920793</v>
      </c>
      <c r="X13" s="19">
        <v>27.042577675489071</v>
      </c>
      <c r="Y13" s="19">
        <v>27.839335180055404</v>
      </c>
    </row>
    <row r="14" spans="1:25" ht="15" customHeight="1">
      <c r="A14" s="26" t="s">
        <v>6</v>
      </c>
      <c r="B14" s="19">
        <f t="shared" si="9"/>
        <v>8.2842244916849221</v>
      </c>
      <c r="C14" s="19">
        <f t="shared" si="9"/>
        <v>3.464019558749889</v>
      </c>
      <c r="D14" s="19">
        <f t="shared" si="9"/>
        <v>11.384111384111383</v>
      </c>
      <c r="E14" s="19">
        <f t="shared" si="9"/>
        <v>12.608353033884947</v>
      </c>
      <c r="F14" s="19">
        <f t="shared" si="9"/>
        <v>9.4955678847012308</v>
      </c>
      <c r="G14" s="19">
        <f t="shared" si="9"/>
        <v>10.631405700605971</v>
      </c>
      <c r="H14" s="19">
        <f t="shared" si="9"/>
        <v>10.349165008028056</v>
      </c>
      <c r="I14" s="19">
        <f t="shared" si="9"/>
        <v>4.8544257070385886</v>
      </c>
      <c r="J14" s="19">
        <f t="shared" si="9"/>
        <v>12.430726701352215</v>
      </c>
      <c r="K14" s="19">
        <f t="shared" si="9"/>
        <v>8.4604308873720129</v>
      </c>
      <c r="L14" s="19">
        <f t="shared" si="9"/>
        <v>6.1125984148126662</v>
      </c>
      <c r="M14" s="19">
        <f t="shared" si="2"/>
        <v>6.5752611977192581</v>
      </c>
      <c r="N14" s="19">
        <f t="shared" si="2"/>
        <v>9.3233706932337075</v>
      </c>
      <c r="O14" s="19">
        <f t="shared" ref="O14:P14" si="12">+O8/O$4*100</f>
        <v>9.8113231896963367</v>
      </c>
      <c r="P14" s="19">
        <f t="shared" si="12"/>
        <v>6.9432891991764052</v>
      </c>
      <c r="Q14" s="19">
        <f t="shared" ref="Q14:R14" si="13">+Q8/Q$4*100</f>
        <v>8.3588421859992668</v>
      </c>
      <c r="R14" s="19">
        <f t="shared" si="13"/>
        <v>8.305261549296711</v>
      </c>
      <c r="S14" s="19">
        <f t="shared" si="5"/>
        <v>8.0628639028226647</v>
      </c>
      <c r="T14" s="19">
        <f t="shared" si="5"/>
        <v>6.2126168996398015</v>
      </c>
      <c r="U14" s="19">
        <f t="shared" si="5"/>
        <v>5.5890374061479422</v>
      </c>
      <c r="V14" s="19">
        <f t="shared" si="5"/>
        <v>8.3006860642800113</v>
      </c>
      <c r="W14" s="19">
        <f>+W8/W$4*100</f>
        <v>6.25</v>
      </c>
      <c r="X14" s="19">
        <v>6.2715765247410822</v>
      </c>
      <c r="Y14" s="19">
        <v>8.0114836395283433</v>
      </c>
    </row>
    <row r="15" spans="1:25" ht="15" customHeight="1">
      <c r="A15" s="4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5" customHeight="1">
      <c r="A16" s="43" t="s">
        <v>59</v>
      </c>
    </row>
    <row r="17" spans="1:22" ht="15" customHeight="1">
      <c r="V17" s="55"/>
    </row>
    <row r="18" spans="1:22" ht="15" customHeight="1">
      <c r="A18" s="33" t="s">
        <v>68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3"/>
  <sheetViews>
    <sheetView workbookViewId="0"/>
  </sheetViews>
  <sheetFormatPr defaultColWidth="9.109375" defaultRowHeight="15" customHeight="1"/>
  <cols>
    <col min="1" max="1" width="45.6640625" style="2" bestFit="1" customWidth="1"/>
    <col min="2" max="2" width="17.6640625" style="2" customWidth="1"/>
    <col min="3" max="3" width="20.88671875" style="2" customWidth="1"/>
    <col min="4" max="16384" width="9.109375" style="2"/>
  </cols>
  <sheetData>
    <row r="1" spans="1:5" ht="15" customHeight="1">
      <c r="A1" s="44" t="s">
        <v>126</v>
      </c>
    </row>
    <row r="3" spans="1:5" s="3" customFormat="1" ht="15" customHeight="1">
      <c r="A3" s="5" t="s">
        <v>7</v>
      </c>
      <c r="B3" s="6" t="s">
        <v>12</v>
      </c>
      <c r="C3" s="6" t="s">
        <v>3</v>
      </c>
    </row>
    <row r="4" spans="1:5" s="3" customFormat="1" ht="15" customHeight="1">
      <c r="A4" s="5" t="s">
        <v>8</v>
      </c>
      <c r="B4" s="7">
        <v>183.136</v>
      </c>
      <c r="C4" s="6">
        <f>+SUM(C5:C9)</f>
        <v>100</v>
      </c>
    </row>
    <row r="5" spans="1:5" ht="15" customHeight="1">
      <c r="A5" s="8" t="s">
        <v>103</v>
      </c>
      <c r="B5" s="49">
        <v>125.504</v>
      </c>
      <c r="C5" s="9">
        <f t="shared" ref="C5:C9" si="0">+B5/B$4*100</f>
        <v>68.53049100122314</v>
      </c>
      <c r="E5" s="28"/>
    </row>
    <row r="6" spans="1:5" ht="15" customHeight="1">
      <c r="A6" s="8" t="s">
        <v>104</v>
      </c>
      <c r="B6" s="49">
        <v>11.343</v>
      </c>
      <c r="C6" s="9">
        <f t="shared" si="0"/>
        <v>6.1937576445919973</v>
      </c>
      <c r="E6" s="28"/>
    </row>
    <row r="7" spans="1:5" ht="15" customHeight="1">
      <c r="A7" s="8" t="s">
        <v>105</v>
      </c>
      <c r="B7" s="49">
        <v>16.193999999999999</v>
      </c>
      <c r="C7" s="9">
        <f t="shared" si="0"/>
        <v>8.842608771623274</v>
      </c>
      <c r="E7" s="28"/>
    </row>
    <row r="8" spans="1:5" ht="15" customHeight="1">
      <c r="A8" s="8" t="s">
        <v>106</v>
      </c>
      <c r="B8" s="49">
        <v>26.321000000000002</v>
      </c>
      <c r="C8" s="9">
        <f t="shared" si="0"/>
        <v>14.37237899702953</v>
      </c>
      <c r="E8" s="28"/>
    </row>
    <row r="9" spans="1:5" ht="15" customHeight="1">
      <c r="A9" s="8" t="s">
        <v>107</v>
      </c>
      <c r="B9" s="13">
        <v>3.774</v>
      </c>
      <c r="C9" s="9">
        <f t="shared" si="0"/>
        <v>2.0607635855320638</v>
      </c>
      <c r="E9" s="28"/>
    </row>
    <row r="10" spans="1:5" ht="15" customHeight="1">
      <c r="A10" s="33"/>
    </row>
    <row r="11" spans="1:5" ht="15" customHeight="1">
      <c r="A11" s="43" t="s">
        <v>122</v>
      </c>
    </row>
    <row r="12" spans="1:5" ht="15" customHeight="1">
      <c r="A12" s="40"/>
    </row>
    <row r="13" spans="1:5" ht="15" customHeight="1">
      <c r="A13" s="33" t="s">
        <v>68</v>
      </c>
    </row>
  </sheetData>
  <phoneticPr fontId="1" type="noConversion"/>
  <pageMargins left="0.75" right="0.75" top="1" bottom="1" header="0.5" footer="0.5"/>
  <pageSetup paperSize="9" orientation="landscape" r:id="rId1"/>
  <headerFooter alignWithMargins="0">
    <oddFooter>&amp;L&amp;Z&amp;F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4.4"/>
  <cols>
    <col min="1" max="1" width="45.44140625" style="33" customWidth="1"/>
    <col min="2" max="2" width="11.5546875" style="33" bestFit="1" customWidth="1"/>
    <col min="3" max="12" width="9.33203125" style="33" bestFit="1" customWidth="1"/>
    <col min="13" max="16384" width="9.109375" style="33"/>
  </cols>
  <sheetData>
    <row r="1" spans="1:16">
      <c r="A1" s="45" t="s">
        <v>0</v>
      </c>
    </row>
    <row r="3" spans="1:16">
      <c r="A3" s="56" t="s">
        <v>65</v>
      </c>
      <c r="B3" s="5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6">
      <c r="A4" s="36" t="s">
        <v>7</v>
      </c>
      <c r="B4" s="37">
        <v>2001</v>
      </c>
      <c r="C4" s="37">
        <v>2002</v>
      </c>
      <c r="D4" s="37">
        <v>2003</v>
      </c>
      <c r="E4" s="37">
        <v>2004</v>
      </c>
      <c r="F4" s="37">
        <v>2005</v>
      </c>
      <c r="G4" s="37">
        <v>2006</v>
      </c>
      <c r="H4" s="37">
        <v>2007</v>
      </c>
      <c r="I4" s="37">
        <v>2008</v>
      </c>
      <c r="J4" s="37">
        <v>2009</v>
      </c>
      <c r="K4" s="37">
        <v>2010</v>
      </c>
      <c r="L4" s="37">
        <v>2011</v>
      </c>
      <c r="M4" s="37">
        <v>2012</v>
      </c>
      <c r="N4" s="37">
        <v>2013</v>
      </c>
      <c r="O4" s="37">
        <v>2014</v>
      </c>
      <c r="P4" s="37">
        <v>2015</v>
      </c>
    </row>
    <row r="5" spans="1:16">
      <c r="A5" s="36" t="s">
        <v>8</v>
      </c>
      <c r="B5" s="38">
        <f t="shared" ref="B5" si="0">+SUM(B6:B11)</f>
        <v>83.677071847021608</v>
      </c>
      <c r="C5" s="38">
        <f t="shared" ref="C5" si="1">+SUM(C6:C11)</f>
        <v>100.60000000000002</v>
      </c>
      <c r="D5" s="38">
        <f t="shared" ref="D5" si="2">+SUM(D6:D11)</f>
        <v>120.39999999999999</v>
      </c>
      <c r="E5" s="38">
        <f t="shared" ref="E5" si="3">+SUM(E6:E11)</f>
        <v>123.9</v>
      </c>
      <c r="F5" s="38">
        <f t="shared" ref="F5" si="4">+SUM(F6:F11)</f>
        <v>124.5</v>
      </c>
      <c r="G5" s="38">
        <f t="shared" ref="G5" si="5">+SUM(G6:G11)</f>
        <v>128.29999999999998</v>
      </c>
      <c r="H5" s="38">
        <f t="shared" ref="H5" si="6">+SUM(H6:H11)</f>
        <v>131.9</v>
      </c>
      <c r="I5" s="38">
        <f t="shared" ref="I5" si="7">+SUM(I6:I11)</f>
        <v>134.20000000000002</v>
      </c>
      <c r="J5" s="38">
        <f t="shared" ref="J5" si="8">+SUM(J6:J11)</f>
        <v>143.6</v>
      </c>
      <c r="K5" s="38">
        <f t="shared" ref="K5" si="9">+SUM(K6:K11)</f>
        <v>139.5</v>
      </c>
      <c r="L5" s="38">
        <f t="shared" ref="L5" si="10">+SUM(L6:L11)</f>
        <v>149.30000000000001</v>
      </c>
      <c r="M5" s="37">
        <f>+SUM(M6:M11)</f>
        <v>141.70000000000002</v>
      </c>
      <c r="N5" s="37">
        <f>+SUM(N6:N11)</f>
        <v>144.69999999999999</v>
      </c>
      <c r="O5" s="38">
        <f>+SUM(O6:O11)</f>
        <v>150.114</v>
      </c>
      <c r="P5" s="38">
        <f>+SUM(P6:P11)</f>
        <v>144.48299999999998</v>
      </c>
    </row>
    <row r="6" spans="1:16">
      <c r="A6" s="26" t="s">
        <v>13</v>
      </c>
      <c r="B6" s="13">
        <v>62.485535755612119</v>
      </c>
      <c r="C6" s="13">
        <v>79</v>
      </c>
      <c r="D6" s="13">
        <v>98.7</v>
      </c>
      <c r="E6" s="13">
        <v>104.1</v>
      </c>
      <c r="F6" s="13">
        <v>106</v>
      </c>
      <c r="G6" s="13">
        <v>108.2</v>
      </c>
      <c r="H6" s="13">
        <v>115.3</v>
      </c>
      <c r="I6" s="13">
        <f>113.8+2.4</f>
        <v>116.2</v>
      </c>
      <c r="J6" s="13">
        <v>125</v>
      </c>
      <c r="K6" s="17">
        <v>121.5</v>
      </c>
      <c r="L6" s="22">
        <v>130.4</v>
      </c>
      <c r="M6" s="22">
        <v>124</v>
      </c>
      <c r="N6" s="29">
        <v>126.1</v>
      </c>
      <c r="O6" s="22">
        <v>131.94800000000001</v>
      </c>
      <c r="P6" s="22">
        <v>121.087</v>
      </c>
    </row>
    <row r="7" spans="1:16">
      <c r="A7" s="26" t="s">
        <v>14</v>
      </c>
      <c r="B7" s="13">
        <v>4.4470461176833611</v>
      </c>
      <c r="C7" s="17">
        <v>4.4000000000000004</v>
      </c>
      <c r="D7" s="13">
        <v>3.8</v>
      </c>
      <c r="E7" s="13">
        <v>4.0999999999999996</v>
      </c>
      <c r="F7" s="13">
        <v>4</v>
      </c>
      <c r="G7" s="13">
        <v>4.8</v>
      </c>
      <c r="H7" s="13">
        <v>4.2</v>
      </c>
      <c r="I7" s="13">
        <v>4.8</v>
      </c>
      <c r="J7" s="13">
        <v>5</v>
      </c>
      <c r="K7" s="17">
        <v>5.2</v>
      </c>
      <c r="L7" s="22">
        <v>5.3</v>
      </c>
      <c r="M7" s="22">
        <v>5</v>
      </c>
      <c r="N7" s="29">
        <v>5.0999999999999996</v>
      </c>
      <c r="O7" s="22">
        <v>4.351</v>
      </c>
      <c r="P7" s="22">
        <v>3.1030000000000002</v>
      </c>
    </row>
    <row r="8" spans="1:16">
      <c r="A8" s="26" t="s">
        <v>15</v>
      </c>
      <c r="B8" s="13">
        <v>1.2705846050523888</v>
      </c>
      <c r="C8" s="17">
        <v>1.5</v>
      </c>
      <c r="D8" s="13">
        <v>1.1000000000000001</v>
      </c>
      <c r="E8" s="13">
        <v>1.9</v>
      </c>
      <c r="F8" s="13">
        <v>2.5</v>
      </c>
      <c r="G8" s="13">
        <v>2.5</v>
      </c>
      <c r="H8" s="13">
        <v>2</v>
      </c>
      <c r="I8" s="13">
        <v>2.1</v>
      </c>
      <c r="J8" s="13">
        <v>2.5</v>
      </c>
      <c r="K8" s="17">
        <v>2.5</v>
      </c>
      <c r="L8" s="22">
        <v>2.5</v>
      </c>
      <c r="M8" s="22">
        <v>2.2999999999999998</v>
      </c>
      <c r="N8" s="29">
        <v>3</v>
      </c>
      <c r="O8" s="22">
        <v>2.8380000000000001</v>
      </c>
      <c r="P8" s="22">
        <v>6.04</v>
      </c>
    </row>
    <row r="9" spans="1:16">
      <c r="A9" s="26" t="s">
        <v>16</v>
      </c>
      <c r="B9" s="13">
        <v>8.712580148930666</v>
      </c>
      <c r="C9" s="17">
        <v>8.9</v>
      </c>
      <c r="D9" s="13">
        <v>9.8000000000000007</v>
      </c>
      <c r="E9" s="13">
        <v>6.4</v>
      </c>
      <c r="F9" s="13">
        <v>5</v>
      </c>
      <c r="G9" s="13">
        <v>5.6</v>
      </c>
      <c r="H9" s="13">
        <v>4.9000000000000004</v>
      </c>
      <c r="I9" s="13">
        <v>5.4</v>
      </c>
      <c r="J9" s="13">
        <v>5.0999999999999996</v>
      </c>
      <c r="K9" s="17">
        <v>4.3</v>
      </c>
      <c r="L9" s="22">
        <v>5</v>
      </c>
      <c r="M9" s="22">
        <v>4.9000000000000004</v>
      </c>
      <c r="N9" s="29">
        <v>4.9000000000000004</v>
      </c>
      <c r="O9" s="22">
        <v>5.6480000000000006</v>
      </c>
      <c r="P9" s="22">
        <v>1.194</v>
      </c>
    </row>
    <row r="10" spans="1:16">
      <c r="A10" s="26" t="s">
        <v>17</v>
      </c>
      <c r="B10" s="13">
        <v>0.99831647539830559</v>
      </c>
      <c r="C10" s="17">
        <v>0.9</v>
      </c>
      <c r="D10" s="13">
        <v>1</v>
      </c>
      <c r="E10" s="13">
        <v>1</v>
      </c>
      <c r="F10" s="13">
        <v>1</v>
      </c>
      <c r="G10" s="13">
        <v>1.1000000000000001</v>
      </c>
      <c r="H10" s="13">
        <v>1.2</v>
      </c>
      <c r="I10" s="13">
        <v>1.3</v>
      </c>
      <c r="J10" s="13">
        <v>1.3</v>
      </c>
      <c r="K10" s="17">
        <v>1.1000000000000001</v>
      </c>
      <c r="L10" s="22">
        <v>1.1000000000000001</v>
      </c>
      <c r="M10" s="22">
        <v>1.1000000000000001</v>
      </c>
      <c r="N10" s="29">
        <v>1.2</v>
      </c>
      <c r="O10" s="22">
        <v>1.02</v>
      </c>
      <c r="P10" s="22">
        <v>0</v>
      </c>
    </row>
    <row r="11" spans="1:16">
      <c r="A11" s="26" t="s">
        <v>18</v>
      </c>
      <c r="B11" s="13">
        <v>5.7630087443447637</v>
      </c>
      <c r="C11" s="17">
        <v>5.9</v>
      </c>
      <c r="D11" s="13">
        <v>6</v>
      </c>
      <c r="E11" s="13">
        <v>6.4</v>
      </c>
      <c r="F11" s="13">
        <v>6</v>
      </c>
      <c r="G11" s="13">
        <v>6.1</v>
      </c>
      <c r="H11" s="13">
        <v>4.3</v>
      </c>
      <c r="I11" s="13">
        <v>4.4000000000000004</v>
      </c>
      <c r="J11" s="13">
        <v>4.7</v>
      </c>
      <c r="K11" s="17">
        <v>4.9000000000000004</v>
      </c>
      <c r="L11" s="22">
        <v>5</v>
      </c>
      <c r="M11" s="22">
        <v>4.4000000000000004</v>
      </c>
      <c r="N11" s="29">
        <v>4.4000000000000004</v>
      </c>
      <c r="O11" s="22">
        <v>4.3090000000000002</v>
      </c>
      <c r="P11" s="22">
        <v>13.058999999999999</v>
      </c>
    </row>
    <row r="12" spans="1:16">
      <c r="A12" s="40"/>
      <c r="B12" s="23"/>
      <c r="C12" s="24"/>
      <c r="D12" s="23"/>
      <c r="E12" s="23"/>
      <c r="F12" s="23"/>
      <c r="G12" s="23"/>
      <c r="H12" s="23"/>
      <c r="I12" s="23"/>
      <c r="J12" s="23"/>
      <c r="K12" s="24"/>
      <c r="L12" s="25"/>
    </row>
    <row r="13" spans="1:16">
      <c r="A13" s="42" t="s">
        <v>67</v>
      </c>
      <c r="B13" s="23"/>
      <c r="C13" s="24"/>
      <c r="D13" s="23"/>
      <c r="E13" s="23"/>
      <c r="F13" s="23"/>
      <c r="G13" s="23"/>
      <c r="H13" s="23"/>
      <c r="I13" s="23"/>
      <c r="J13" s="23"/>
      <c r="K13" s="24"/>
      <c r="L13" s="25"/>
    </row>
    <row r="14" spans="1:16">
      <c r="A14" s="36" t="s">
        <v>7</v>
      </c>
      <c r="B14" s="37">
        <v>2001</v>
      </c>
      <c r="C14" s="37">
        <v>2002</v>
      </c>
      <c r="D14" s="37">
        <v>2003</v>
      </c>
      <c r="E14" s="37">
        <v>2004</v>
      </c>
      <c r="F14" s="37">
        <v>2005</v>
      </c>
      <c r="G14" s="37">
        <v>2006</v>
      </c>
      <c r="H14" s="37">
        <v>2007</v>
      </c>
      <c r="I14" s="37">
        <v>2008</v>
      </c>
      <c r="J14" s="37">
        <v>2009</v>
      </c>
      <c r="K14" s="37">
        <v>2010</v>
      </c>
      <c r="L14" s="37">
        <v>2011</v>
      </c>
      <c r="M14" s="37">
        <v>2012</v>
      </c>
      <c r="N14" s="37">
        <v>2013</v>
      </c>
      <c r="O14" s="37">
        <v>2014</v>
      </c>
      <c r="P14" s="37">
        <v>2015</v>
      </c>
    </row>
    <row r="15" spans="1:16">
      <c r="A15" s="36" t="s">
        <v>8</v>
      </c>
      <c r="B15" s="38">
        <f t="shared" ref="B15" si="11">+SUM(B16:B21)</f>
        <v>100</v>
      </c>
      <c r="C15" s="38">
        <f t="shared" ref="C15" si="12">+SUM(C16:C21)</f>
        <v>99.999999999999957</v>
      </c>
      <c r="D15" s="38">
        <f t="shared" ref="D15:L15" si="13">+SUM(D16:D21)</f>
        <v>100</v>
      </c>
      <c r="E15" s="38">
        <f t="shared" si="13"/>
        <v>99.999999999999986</v>
      </c>
      <c r="F15" s="38">
        <f t="shared" si="13"/>
        <v>100</v>
      </c>
      <c r="G15" s="38">
        <f t="shared" si="13"/>
        <v>100.00000000000003</v>
      </c>
      <c r="H15" s="38">
        <f t="shared" si="13"/>
        <v>100</v>
      </c>
      <c r="I15" s="38">
        <f t="shared" si="13"/>
        <v>100</v>
      </c>
      <c r="J15" s="38">
        <f t="shared" si="13"/>
        <v>100</v>
      </c>
      <c r="K15" s="38">
        <f t="shared" si="13"/>
        <v>100</v>
      </c>
      <c r="L15" s="38">
        <f t="shared" si="13"/>
        <v>99.999999999999986</v>
      </c>
      <c r="M15" s="38">
        <f t="shared" ref="M15:N15" si="14">+SUM(M16:M21)</f>
        <v>100</v>
      </c>
      <c r="N15" s="38">
        <f t="shared" si="14"/>
        <v>100.00000000000001</v>
      </c>
      <c r="O15" s="38">
        <f t="shared" ref="O15:P15" si="15">+SUM(O16:O21)</f>
        <v>99.999999999999986</v>
      </c>
      <c r="P15" s="38">
        <f t="shared" si="15"/>
        <v>100.00000000000001</v>
      </c>
    </row>
    <row r="16" spans="1:16">
      <c r="A16" s="26" t="s">
        <v>13</v>
      </c>
      <c r="B16" s="13">
        <f>+B6/B$5*100</f>
        <v>74.67462039045553</v>
      </c>
      <c r="C16" s="13">
        <f t="shared" ref="C16:L16" si="16">+C6/C$5*100</f>
        <v>78.52882703777334</v>
      </c>
      <c r="D16" s="13">
        <f t="shared" si="16"/>
        <v>81.976744186046517</v>
      </c>
      <c r="E16" s="13">
        <f t="shared" si="16"/>
        <v>84.019370460048421</v>
      </c>
      <c r="F16" s="13">
        <f t="shared" si="16"/>
        <v>85.140562248995991</v>
      </c>
      <c r="G16" s="13">
        <f t="shared" si="16"/>
        <v>84.33359314107561</v>
      </c>
      <c r="H16" s="13">
        <f t="shared" si="16"/>
        <v>87.414708112206213</v>
      </c>
      <c r="I16" s="13">
        <f t="shared" si="16"/>
        <v>86.587183308494772</v>
      </c>
      <c r="J16" s="13">
        <f t="shared" si="16"/>
        <v>87.047353760445688</v>
      </c>
      <c r="K16" s="13">
        <f t="shared" si="16"/>
        <v>87.096774193548384</v>
      </c>
      <c r="L16" s="13">
        <f t="shared" si="16"/>
        <v>87.340924313462821</v>
      </c>
      <c r="M16" s="13">
        <f t="shared" ref="M16:N16" si="17">+M6/M$5*100</f>
        <v>87.508821453775582</v>
      </c>
      <c r="N16" s="13">
        <f t="shared" si="17"/>
        <v>87.145818935729096</v>
      </c>
      <c r="O16" s="13">
        <f t="shared" ref="O16:P16" si="18">+O6/O$5*100</f>
        <v>87.898530450191188</v>
      </c>
      <c r="P16" s="13">
        <f t="shared" si="18"/>
        <v>83.807091491732606</v>
      </c>
    </row>
    <row r="17" spans="1:16">
      <c r="A17" s="26" t="s">
        <v>14</v>
      </c>
      <c r="B17" s="13">
        <f t="shared" ref="B17:L21" si="19">+B7/B$5*100</f>
        <v>5.3145336225596527</v>
      </c>
      <c r="C17" s="13">
        <f t="shared" si="19"/>
        <v>4.3737574552683895</v>
      </c>
      <c r="D17" s="13">
        <f t="shared" si="19"/>
        <v>3.1561461794019934</v>
      </c>
      <c r="E17" s="13">
        <f t="shared" si="19"/>
        <v>3.3091202582728005</v>
      </c>
      <c r="F17" s="13">
        <f t="shared" si="19"/>
        <v>3.2128514056224895</v>
      </c>
      <c r="G17" s="13">
        <f t="shared" si="19"/>
        <v>3.7412314886983635</v>
      </c>
      <c r="H17" s="13">
        <f t="shared" si="19"/>
        <v>3.1842304776345718</v>
      </c>
      <c r="I17" s="13">
        <f t="shared" si="19"/>
        <v>3.5767511177347235</v>
      </c>
      <c r="J17" s="13">
        <f t="shared" si="19"/>
        <v>3.4818941504178276</v>
      </c>
      <c r="K17" s="13">
        <f t="shared" si="19"/>
        <v>3.7275985663082443</v>
      </c>
      <c r="L17" s="13">
        <f t="shared" si="19"/>
        <v>3.5498995311453445</v>
      </c>
      <c r="M17" s="13">
        <f t="shared" ref="M17:N17" si="20">+M7/M$5*100</f>
        <v>3.5285815102328857</v>
      </c>
      <c r="N17" s="13">
        <f t="shared" si="20"/>
        <v>3.5245335176226673</v>
      </c>
      <c r="O17" s="13">
        <f t="shared" ref="O17:P17" si="21">+O7/O$5*100</f>
        <v>2.8984638341527105</v>
      </c>
      <c r="P17" s="13">
        <f t="shared" si="21"/>
        <v>2.1476575098800557</v>
      </c>
    </row>
    <row r="18" spans="1:16">
      <c r="A18" s="26" t="s">
        <v>15</v>
      </c>
      <c r="B18" s="13">
        <f t="shared" si="19"/>
        <v>1.5184381778741864</v>
      </c>
      <c r="C18" s="13">
        <f t="shared" si="19"/>
        <v>1.4910536779324053</v>
      </c>
      <c r="D18" s="13">
        <f t="shared" si="19"/>
        <v>0.91362126245847186</v>
      </c>
      <c r="E18" s="13">
        <f t="shared" si="19"/>
        <v>1.5334947538337367</v>
      </c>
      <c r="F18" s="13">
        <f t="shared" si="19"/>
        <v>2.0080321285140563</v>
      </c>
      <c r="G18" s="13">
        <f t="shared" si="19"/>
        <v>1.9485580670303977</v>
      </c>
      <c r="H18" s="13">
        <f t="shared" si="19"/>
        <v>1.5163002274450341</v>
      </c>
      <c r="I18" s="13">
        <f t="shared" si="19"/>
        <v>1.5648286140089416</v>
      </c>
      <c r="J18" s="13">
        <f t="shared" si="19"/>
        <v>1.7409470752089138</v>
      </c>
      <c r="K18" s="13">
        <f t="shared" si="19"/>
        <v>1.7921146953405016</v>
      </c>
      <c r="L18" s="13">
        <f t="shared" si="19"/>
        <v>1.6744809109176153</v>
      </c>
      <c r="M18" s="13">
        <f t="shared" ref="M18:N18" si="22">+M8/M$5*100</f>
        <v>1.6231474947071274</v>
      </c>
      <c r="N18" s="13">
        <f t="shared" si="22"/>
        <v>2.073255010366275</v>
      </c>
      <c r="O18" s="13">
        <f t="shared" ref="O18:P18" si="23">+O8/O$5*100</f>
        <v>1.8905631719892881</v>
      </c>
      <c r="P18" s="13">
        <f t="shared" si="23"/>
        <v>4.1804226102724895</v>
      </c>
    </row>
    <row r="19" spans="1:16">
      <c r="A19" s="26" t="s">
        <v>16</v>
      </c>
      <c r="B19" s="13">
        <f t="shared" si="19"/>
        <v>10.412147505422993</v>
      </c>
      <c r="C19" s="13">
        <f t="shared" si="19"/>
        <v>8.8469184890656045</v>
      </c>
      <c r="D19" s="13">
        <f t="shared" si="19"/>
        <v>8.1395348837209305</v>
      </c>
      <c r="E19" s="13">
        <f t="shared" si="19"/>
        <v>5.1654560129136398</v>
      </c>
      <c r="F19" s="13">
        <f t="shared" si="19"/>
        <v>4.0160642570281126</v>
      </c>
      <c r="G19" s="13">
        <f t="shared" si="19"/>
        <v>4.3647700701480909</v>
      </c>
      <c r="H19" s="13">
        <f t="shared" si="19"/>
        <v>3.7149355572403335</v>
      </c>
      <c r="I19" s="13">
        <f t="shared" si="19"/>
        <v>4.0238450074515644</v>
      </c>
      <c r="J19" s="13">
        <f t="shared" si="19"/>
        <v>3.5515320334261835</v>
      </c>
      <c r="K19" s="13">
        <f t="shared" si="19"/>
        <v>3.0824372759856629</v>
      </c>
      <c r="L19" s="13">
        <f t="shared" si="19"/>
        <v>3.3489618218352306</v>
      </c>
      <c r="M19" s="13">
        <f t="shared" ref="M19:N19" si="24">+M9/M$5*100</f>
        <v>3.4580098800282282</v>
      </c>
      <c r="N19" s="13">
        <f t="shared" si="24"/>
        <v>3.3863165169315832</v>
      </c>
      <c r="O19" s="13">
        <f t="shared" ref="O19:P19" si="25">+O9/O$5*100</f>
        <v>3.7624738532048978</v>
      </c>
      <c r="P19" s="13">
        <f t="shared" si="25"/>
        <v>0.82639480077240923</v>
      </c>
    </row>
    <row r="20" spans="1:16">
      <c r="A20" s="26" t="s">
        <v>17</v>
      </c>
      <c r="B20" s="13">
        <f t="shared" si="19"/>
        <v>1.1930585683297181</v>
      </c>
      <c r="C20" s="13">
        <f t="shared" si="19"/>
        <v>0.8946322067594431</v>
      </c>
      <c r="D20" s="13">
        <f t="shared" si="19"/>
        <v>0.83056478405315626</v>
      </c>
      <c r="E20" s="13">
        <f t="shared" si="19"/>
        <v>0.80710250201775613</v>
      </c>
      <c r="F20" s="13">
        <f t="shared" si="19"/>
        <v>0.80321285140562237</v>
      </c>
      <c r="G20" s="13">
        <f t="shared" si="19"/>
        <v>0.85736554949337518</v>
      </c>
      <c r="H20" s="13">
        <f t="shared" si="19"/>
        <v>0.90978013646702049</v>
      </c>
      <c r="I20" s="13">
        <f t="shared" si="19"/>
        <v>0.9687034277198211</v>
      </c>
      <c r="J20" s="13">
        <f t="shared" si="19"/>
        <v>0.90529247910863508</v>
      </c>
      <c r="K20" s="13">
        <f t="shared" si="19"/>
        <v>0.7885304659498209</v>
      </c>
      <c r="L20" s="13">
        <f t="shared" si="19"/>
        <v>0.73677160080375081</v>
      </c>
      <c r="M20" s="13">
        <f t="shared" ref="M20:N20" si="26">+M10/M$5*100</f>
        <v>0.77628793225123494</v>
      </c>
      <c r="N20" s="13">
        <f t="shared" si="26"/>
        <v>0.82930200414651001</v>
      </c>
      <c r="O20" s="13">
        <f t="shared" ref="O20:P20" si="27">+O10/O$5*100</f>
        <v>0.67948359246972301</v>
      </c>
      <c r="P20" s="13">
        <f t="shared" si="27"/>
        <v>0</v>
      </c>
    </row>
    <row r="21" spans="1:16">
      <c r="A21" s="26" t="s">
        <v>18</v>
      </c>
      <c r="B21" s="13">
        <f t="shared" si="19"/>
        <v>6.8872017353579178</v>
      </c>
      <c r="C21" s="13">
        <f t="shared" si="19"/>
        <v>5.8648111332007948</v>
      </c>
      <c r="D21" s="13">
        <f t="shared" si="19"/>
        <v>4.9833887043189371</v>
      </c>
      <c r="E21" s="13">
        <f t="shared" si="19"/>
        <v>5.1654560129136398</v>
      </c>
      <c r="F21" s="13">
        <f t="shared" si="19"/>
        <v>4.8192771084337354</v>
      </c>
      <c r="G21" s="13">
        <f t="shared" si="19"/>
        <v>4.7544816835541699</v>
      </c>
      <c r="H21" s="13">
        <f t="shared" si="19"/>
        <v>3.2600454890068229</v>
      </c>
      <c r="I21" s="13">
        <f t="shared" si="19"/>
        <v>3.278688524590164</v>
      </c>
      <c r="J21" s="13">
        <f t="shared" si="19"/>
        <v>3.272980501392758</v>
      </c>
      <c r="K21" s="13">
        <f t="shared" si="19"/>
        <v>3.5125448028673838</v>
      </c>
      <c r="L21" s="13">
        <f t="shared" si="19"/>
        <v>3.3489618218352306</v>
      </c>
      <c r="M21" s="13">
        <f t="shared" ref="M21:N21" si="28">+M11/M$5*100</f>
        <v>3.1051517290049397</v>
      </c>
      <c r="N21" s="13">
        <f t="shared" si="28"/>
        <v>3.0407740152038709</v>
      </c>
      <c r="O21" s="13">
        <f t="shared" ref="O21:P21" si="29">+O11/O$5*100</f>
        <v>2.8704850979921925</v>
      </c>
      <c r="P21" s="13">
        <f t="shared" si="29"/>
        <v>9.0384335873424568</v>
      </c>
    </row>
    <row r="22" spans="1:16">
      <c r="A22" s="40"/>
      <c r="B22" s="23"/>
      <c r="C22" s="24"/>
      <c r="D22" s="23"/>
      <c r="E22" s="23"/>
      <c r="F22" s="23"/>
      <c r="G22" s="23"/>
      <c r="H22" s="23"/>
      <c r="I22" s="23"/>
      <c r="J22" s="23"/>
      <c r="K22" s="24"/>
      <c r="L22" s="25"/>
    </row>
    <row r="23" spans="1:16">
      <c r="A23" s="43" t="s">
        <v>47</v>
      </c>
    </row>
    <row r="25" spans="1:16">
      <c r="A25" s="45" t="s">
        <v>74</v>
      </c>
    </row>
    <row r="26" spans="1:16" ht="15" customHeight="1">
      <c r="A26" s="58" t="s">
        <v>75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6" ht="15" customHeight="1">
      <c r="A27" s="58" t="s">
        <v>78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6" ht="15" customHeight="1">
      <c r="A28" s="58" t="s">
        <v>76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6" ht="15" customHeight="1">
      <c r="A29" s="61" t="s">
        <v>77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6">
      <c r="A30" s="31" t="s">
        <v>88</v>
      </c>
    </row>
  </sheetData>
  <mergeCells count="5">
    <mergeCell ref="A3:B3"/>
    <mergeCell ref="A26:M26"/>
    <mergeCell ref="A27:M27"/>
    <mergeCell ref="A28:M28"/>
    <mergeCell ref="A29:M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2C67-741D-455F-A306-90F75616F9DC}">
  <sheetPr>
    <pageSetUpPr fitToPage="1"/>
  </sheetPr>
  <dimension ref="A1:J27"/>
  <sheetViews>
    <sheetView tabSelected="1" workbookViewId="0">
      <pane xSplit="1" ySplit="3" topLeftCell="E4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ColWidth="9.109375" defaultRowHeight="14.4"/>
  <cols>
    <col min="1" max="1" width="45.44140625" style="33" customWidth="1"/>
    <col min="2" max="2" width="11.5546875" style="33" bestFit="1" customWidth="1"/>
    <col min="3" max="10" width="9.33203125" style="33" bestFit="1" customWidth="1"/>
    <col min="11" max="16384" width="9.109375" style="33"/>
  </cols>
  <sheetData>
    <row r="1" spans="1:10" ht="28.8">
      <c r="A1" s="44" t="s">
        <v>137</v>
      </c>
    </row>
    <row r="3" spans="1:10">
      <c r="A3" s="36" t="s">
        <v>7</v>
      </c>
      <c r="B3" s="37">
        <v>2016</v>
      </c>
      <c r="C3" s="37">
        <v>2017</v>
      </c>
      <c r="D3" s="37">
        <v>2018</v>
      </c>
      <c r="E3" s="37">
        <v>2019</v>
      </c>
      <c r="F3" s="37">
        <v>2020</v>
      </c>
      <c r="G3" s="37">
        <v>2021</v>
      </c>
      <c r="H3" s="37">
        <v>2022</v>
      </c>
      <c r="I3" s="37">
        <v>2023</v>
      </c>
      <c r="J3" s="37">
        <v>2024</v>
      </c>
    </row>
    <row r="4" spans="1:10">
      <c r="A4" s="63" t="s">
        <v>8</v>
      </c>
      <c r="B4" s="38">
        <f>+SUM(B5:B9)</f>
        <v>138.39599999999999</v>
      </c>
      <c r="C4" s="38">
        <f>+SUM(C5:C9)</f>
        <v>146.10000000000002</v>
      </c>
      <c r="D4" s="38">
        <f>+SUM(D5:D9)</f>
        <v>146.89999999999998</v>
      </c>
      <c r="E4" s="38">
        <f>+SUM(E5:E9)</f>
        <v>155.5</v>
      </c>
      <c r="F4" s="38">
        <f>+SUM(F5:F9)</f>
        <v>146.49999999999997</v>
      </c>
      <c r="G4" s="38">
        <f>+SUM(G5:G9)</f>
        <v>154.6</v>
      </c>
      <c r="H4" s="38">
        <f>+SUM(H5:H9)</f>
        <v>156.79999999999998</v>
      </c>
      <c r="I4" s="38">
        <f>+SUM(I5:I9)</f>
        <v>154.4</v>
      </c>
      <c r="J4" s="38">
        <f>+SUM(J5:J9)</f>
        <v>183.136</v>
      </c>
    </row>
    <row r="5" spans="1:10">
      <c r="A5" s="64" t="s">
        <v>128</v>
      </c>
      <c r="B5" s="62">
        <v>85.575000000000003</v>
      </c>
      <c r="C5" s="13">
        <v>90.7</v>
      </c>
      <c r="D5" s="13">
        <v>91.8</v>
      </c>
      <c r="E5" s="13">
        <v>98.7</v>
      </c>
      <c r="F5" s="13">
        <v>99.1</v>
      </c>
      <c r="G5" s="13">
        <v>103</v>
      </c>
      <c r="H5" s="13">
        <v>107.1</v>
      </c>
      <c r="I5" s="13">
        <v>103</v>
      </c>
      <c r="J5" s="13">
        <v>125.504</v>
      </c>
    </row>
    <row r="6" spans="1:10">
      <c r="A6" s="64" t="s">
        <v>129</v>
      </c>
      <c r="B6" s="62">
        <v>12.544</v>
      </c>
      <c r="C6" s="17">
        <v>15.3</v>
      </c>
      <c r="D6" s="13">
        <v>14.5</v>
      </c>
      <c r="E6" s="13">
        <v>14.8</v>
      </c>
      <c r="F6" s="13">
        <v>12.5</v>
      </c>
      <c r="G6" s="13">
        <v>15.8</v>
      </c>
      <c r="H6" s="13">
        <v>11.2</v>
      </c>
      <c r="I6" s="13">
        <v>15.8</v>
      </c>
      <c r="J6" s="13">
        <v>11.343</v>
      </c>
    </row>
    <row r="7" spans="1:10">
      <c r="A7" s="64" t="s">
        <v>130</v>
      </c>
      <c r="B7" s="62">
        <v>11.695</v>
      </c>
      <c r="C7" s="17">
        <v>10.9</v>
      </c>
      <c r="D7" s="13">
        <v>10.6</v>
      </c>
      <c r="E7" s="13">
        <v>11.7</v>
      </c>
      <c r="F7" s="13">
        <v>10.8</v>
      </c>
      <c r="G7" s="13">
        <v>10.8</v>
      </c>
      <c r="H7" s="13">
        <v>12.6</v>
      </c>
      <c r="I7" s="13">
        <v>10.8</v>
      </c>
      <c r="J7" s="13">
        <v>16.193999999999999</v>
      </c>
    </row>
    <row r="8" spans="1:10">
      <c r="A8" s="64" t="s">
        <v>131</v>
      </c>
      <c r="B8" s="62">
        <v>19.593</v>
      </c>
      <c r="C8" s="17">
        <v>20.9</v>
      </c>
      <c r="D8" s="13">
        <v>22.4</v>
      </c>
      <c r="E8" s="13">
        <v>22.4</v>
      </c>
      <c r="F8" s="13">
        <v>19</v>
      </c>
      <c r="G8" s="13">
        <v>20.6</v>
      </c>
      <c r="H8" s="13">
        <v>22.7</v>
      </c>
      <c r="I8" s="13">
        <v>22.4</v>
      </c>
      <c r="J8" s="13">
        <v>26.321000000000002</v>
      </c>
    </row>
    <row r="9" spans="1:10">
      <c r="A9" s="64" t="s">
        <v>132</v>
      </c>
      <c r="B9" s="62">
        <v>8.9890000000000008</v>
      </c>
      <c r="C9" s="17">
        <v>8.3000000000000007</v>
      </c>
      <c r="D9" s="13">
        <v>7.6</v>
      </c>
      <c r="E9" s="13">
        <v>7.9</v>
      </c>
      <c r="F9" s="13">
        <v>5.0999999999999996</v>
      </c>
      <c r="G9" s="13">
        <v>4.4000000000000004</v>
      </c>
      <c r="H9" s="13">
        <v>3.2</v>
      </c>
      <c r="I9" s="13">
        <v>2.4</v>
      </c>
      <c r="J9" s="13">
        <v>3.774</v>
      </c>
    </row>
    <row r="10" spans="1:10">
      <c r="A10" s="40"/>
      <c r="B10" s="23"/>
      <c r="C10" s="24"/>
      <c r="D10" s="23"/>
      <c r="E10" s="23"/>
      <c r="F10" s="23"/>
      <c r="G10" s="23"/>
      <c r="H10" s="23"/>
      <c r="I10" s="23"/>
      <c r="J10" s="23"/>
    </row>
    <row r="11" spans="1:10">
      <c r="A11" s="42" t="s">
        <v>67</v>
      </c>
      <c r="B11" s="23"/>
      <c r="C11" s="24"/>
      <c r="D11" s="23"/>
      <c r="E11" s="23"/>
      <c r="F11" s="23"/>
      <c r="G11" s="23"/>
      <c r="H11" s="23"/>
      <c r="I11" s="23"/>
      <c r="J11" s="23"/>
    </row>
    <row r="12" spans="1:10">
      <c r="A12" s="36" t="s">
        <v>7</v>
      </c>
      <c r="B12" s="37">
        <v>2016</v>
      </c>
      <c r="C12" s="37">
        <v>2017</v>
      </c>
      <c r="D12" s="37">
        <v>2018</v>
      </c>
      <c r="E12" s="37">
        <v>2019</v>
      </c>
      <c r="F12" s="37">
        <v>2020</v>
      </c>
      <c r="G12" s="37">
        <v>2021</v>
      </c>
      <c r="H12" s="37">
        <v>2022</v>
      </c>
      <c r="I12" s="37">
        <v>2023</v>
      </c>
      <c r="J12" s="37">
        <v>2024</v>
      </c>
    </row>
    <row r="13" spans="1:10">
      <c r="A13" s="36" t="s">
        <v>8</v>
      </c>
      <c r="B13" s="38">
        <f>+SUM(B14:B18)</f>
        <v>100.00000000000001</v>
      </c>
      <c r="C13" s="38">
        <f>+SUM(C14:C18)</f>
        <v>99.999999999999986</v>
      </c>
      <c r="D13" s="38">
        <f>+SUM(D14:D18)</f>
        <v>100.00000000000001</v>
      </c>
      <c r="E13" s="38">
        <f>+SUM(E14:E18)</f>
        <v>100</v>
      </c>
      <c r="F13" s="38">
        <f>+SUM(F14:F18)</f>
        <v>100.00000000000003</v>
      </c>
      <c r="G13" s="38">
        <f>+SUM(G14:G18)</f>
        <v>100.00000000000001</v>
      </c>
      <c r="H13" s="38">
        <f>+SUM(H14:H18)</f>
        <v>100.00000000000001</v>
      </c>
      <c r="I13" s="38">
        <f>+SUM(I14:I18)</f>
        <v>100</v>
      </c>
      <c r="J13" s="38">
        <f>+SUM(J14:J18)</f>
        <v>100</v>
      </c>
    </row>
    <row r="14" spans="1:10">
      <c r="A14" s="64" t="s">
        <v>128</v>
      </c>
      <c r="B14" s="13">
        <v>61.833434492326376</v>
      </c>
      <c r="C14" s="13">
        <v>62.080766598220393</v>
      </c>
      <c r="D14" s="13">
        <v>62.491490810074893</v>
      </c>
      <c r="E14" s="13">
        <v>63.472668810289392</v>
      </c>
      <c r="F14" s="13">
        <v>67.645051194539263</v>
      </c>
      <c r="G14" s="13">
        <v>66.623544631306601</v>
      </c>
      <c r="H14" s="13">
        <v>68.303571428571431</v>
      </c>
      <c r="I14" s="13">
        <v>66.709844559585491</v>
      </c>
      <c r="J14" s="13">
        <v>68.53049100122314</v>
      </c>
    </row>
    <row r="15" spans="1:10">
      <c r="A15" s="64" t="s">
        <v>129</v>
      </c>
      <c r="B15" s="13">
        <v>9.0638457758894777</v>
      </c>
      <c r="C15" s="13">
        <v>10.472279260780287</v>
      </c>
      <c r="D15" s="13">
        <v>9.8706603131381918</v>
      </c>
      <c r="E15" s="13">
        <v>9.5176848874598061</v>
      </c>
      <c r="F15" s="13">
        <v>8.532423208191128</v>
      </c>
      <c r="G15" s="13">
        <v>10.219922380336351</v>
      </c>
      <c r="H15" s="13">
        <v>7.1428571428571441</v>
      </c>
      <c r="I15" s="13">
        <v>10.233160621761659</v>
      </c>
      <c r="J15" s="13">
        <v>6.1937576445919973</v>
      </c>
    </row>
    <row r="16" spans="1:10">
      <c r="A16" s="64" t="s">
        <v>130</v>
      </c>
      <c r="B16" s="13">
        <v>8.4503887395589476</v>
      </c>
      <c r="C16" s="13">
        <v>7.4606433949349755</v>
      </c>
      <c r="D16" s="13">
        <v>7.2157930565010213</v>
      </c>
      <c r="E16" s="13">
        <v>7.5241157556270091</v>
      </c>
      <c r="F16" s="13">
        <v>7.3720136518771353</v>
      </c>
      <c r="G16" s="13">
        <v>6.985769728331177</v>
      </c>
      <c r="H16" s="13">
        <v>8.0357142857142865</v>
      </c>
      <c r="I16" s="13">
        <v>6.9948186528497409</v>
      </c>
      <c r="J16" s="13">
        <v>8.842608771623274</v>
      </c>
    </row>
    <row r="17" spans="1:10">
      <c r="A17" s="64" t="s">
        <v>131</v>
      </c>
      <c r="B17" s="13">
        <v>14.157201075175585</v>
      </c>
      <c r="C17" s="13">
        <v>14.305270362765226</v>
      </c>
      <c r="D17" s="13">
        <v>15.248468345813478</v>
      </c>
      <c r="E17" s="13">
        <v>14.405144694533762</v>
      </c>
      <c r="F17" s="13">
        <v>12.969283276450513</v>
      </c>
      <c r="G17" s="13">
        <v>13.324708926261323</v>
      </c>
      <c r="H17" s="13">
        <v>14.477040816326531</v>
      </c>
      <c r="I17" s="13">
        <v>14.507772020725387</v>
      </c>
      <c r="J17" s="13">
        <v>14.37237899702953</v>
      </c>
    </row>
    <row r="18" spans="1:10">
      <c r="A18" s="64" t="s">
        <v>132</v>
      </c>
      <c r="B18" s="13">
        <v>6.4951299170496277</v>
      </c>
      <c r="C18" s="13">
        <v>5.6810403832991092</v>
      </c>
      <c r="D18" s="13">
        <v>5.1735874744724315</v>
      </c>
      <c r="E18" s="13">
        <v>5.080385852090032</v>
      </c>
      <c r="F18" s="13">
        <v>3.4812286689419798</v>
      </c>
      <c r="G18" s="13">
        <v>2.8460543337645543</v>
      </c>
      <c r="H18" s="13">
        <v>2.0408163265306123</v>
      </c>
      <c r="I18" s="13">
        <v>1.5544041450777202</v>
      </c>
      <c r="J18" s="13">
        <v>2.0607635855320638</v>
      </c>
    </row>
    <row r="19" spans="1:10">
      <c r="A19" s="40"/>
      <c r="B19" s="23"/>
      <c r="C19" s="24"/>
      <c r="D19" s="23"/>
      <c r="E19" s="23"/>
      <c r="F19" s="23"/>
      <c r="G19" s="23"/>
      <c r="H19" s="23"/>
      <c r="I19" s="23"/>
      <c r="J19" s="23"/>
    </row>
    <row r="20" spans="1:10">
      <c r="A20" s="43" t="s">
        <v>122</v>
      </c>
    </row>
    <row r="22" spans="1:10">
      <c r="A22" s="45" t="s">
        <v>74</v>
      </c>
    </row>
    <row r="23" spans="1:10" ht="15" customHeight="1">
      <c r="A23" s="58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5" customHeight="1">
      <c r="A24" s="58"/>
      <c r="B24" s="60"/>
      <c r="C24" s="60"/>
      <c r="D24" s="60"/>
      <c r="E24" s="60"/>
      <c r="F24" s="60"/>
      <c r="G24" s="60"/>
      <c r="H24" s="60"/>
      <c r="I24" s="60"/>
      <c r="J24" s="60"/>
    </row>
    <row r="25" spans="1:10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15" customHeight="1">
      <c r="A26" s="61"/>
      <c r="B26" s="59"/>
      <c r="C26" s="59"/>
      <c r="D26" s="59"/>
      <c r="E26" s="59"/>
      <c r="F26" s="59"/>
      <c r="G26" s="59"/>
      <c r="H26" s="59"/>
      <c r="I26" s="59"/>
      <c r="J26" s="59"/>
    </row>
    <row r="27" spans="1:10">
      <c r="A27" s="31"/>
    </row>
  </sheetData>
  <mergeCells count="4">
    <mergeCell ref="A23:J23"/>
    <mergeCell ref="A24:J24"/>
    <mergeCell ref="A25:J25"/>
    <mergeCell ref="A26:J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72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C18" sqref="C18"/>
    </sheetView>
  </sheetViews>
  <sheetFormatPr defaultColWidth="9.109375" defaultRowHeight="30" customHeight="1"/>
  <cols>
    <col min="1" max="1" width="60.5546875" style="2" customWidth="1"/>
    <col min="2" max="2" width="52.5546875" style="2" customWidth="1"/>
    <col min="3" max="13" width="14.6640625" style="2" customWidth="1"/>
    <col min="14" max="14" width="14.5546875" style="2" customWidth="1"/>
    <col min="15" max="15" width="9" style="2" customWidth="1"/>
    <col min="16" max="16" width="15.33203125" style="2" customWidth="1"/>
    <col min="17" max="17" width="10.109375" style="2" customWidth="1"/>
    <col min="18" max="18" width="14.6640625" style="2" customWidth="1"/>
    <col min="19" max="19" width="14.5546875" style="2" customWidth="1"/>
    <col min="20" max="20" width="9" style="2" customWidth="1"/>
    <col min="21" max="21" width="15.33203125" style="2" customWidth="1"/>
    <col min="22" max="22" width="10.109375" style="2" customWidth="1"/>
    <col min="23" max="23" width="14.6640625" style="2" customWidth="1"/>
    <col min="24" max="24" width="14.5546875" style="2" customWidth="1"/>
    <col min="25" max="25" width="9" style="2" customWidth="1"/>
    <col min="26" max="26" width="15.33203125" style="2" customWidth="1"/>
    <col min="27" max="27" width="10.109375" style="2" customWidth="1"/>
    <col min="28" max="28" width="15.44140625" style="2" customWidth="1"/>
    <col min="29" max="29" width="14.5546875" style="2" bestFit="1" customWidth="1"/>
    <col min="30" max="30" width="10.33203125" style="2" customWidth="1"/>
    <col min="31" max="31" width="11" style="2" customWidth="1"/>
    <col min="32" max="32" width="10.109375" style="2" bestFit="1" customWidth="1"/>
    <col min="33" max="38" width="15.44140625" style="2" customWidth="1"/>
    <col min="39" max="40" width="17.109375" style="2" customWidth="1"/>
    <col min="41" max="41" width="14.6640625" style="2" customWidth="1"/>
    <col min="42" max="42" width="15.44140625" style="2" customWidth="1"/>
    <col min="43" max="43" width="13.88671875" style="2" customWidth="1"/>
    <col min="44" max="44" width="15.109375" style="2" customWidth="1"/>
    <col min="45" max="45" width="19.6640625" style="2" bestFit="1" customWidth="1"/>
    <col min="46" max="46" width="15.109375" style="2" bestFit="1" customWidth="1"/>
    <col min="47" max="47" width="10.109375" style="2" bestFit="1" customWidth="1"/>
    <col min="48" max="16384" width="9.109375" style="2"/>
  </cols>
  <sheetData>
    <row r="1" spans="1:47" ht="15" customHeight="1">
      <c r="A1" s="3" t="s">
        <v>109</v>
      </c>
      <c r="C1" s="3" t="s">
        <v>127</v>
      </c>
      <c r="H1" s="3" t="s">
        <v>138</v>
      </c>
      <c r="M1" s="3" t="s">
        <v>123</v>
      </c>
      <c r="R1" s="3" t="s">
        <v>118</v>
      </c>
      <c r="W1" s="3" t="s">
        <v>115</v>
      </c>
      <c r="AB1" s="3" t="s">
        <v>110</v>
      </c>
      <c r="AG1" s="3" t="s">
        <v>108</v>
      </c>
      <c r="AH1" s="3"/>
      <c r="AI1" s="3"/>
      <c r="AJ1" s="3"/>
      <c r="AK1" s="3"/>
      <c r="AL1" s="3" t="s">
        <v>93</v>
      </c>
      <c r="AQ1" s="3" t="s">
        <v>91</v>
      </c>
    </row>
    <row r="2" spans="1:47" ht="15" customHeight="1">
      <c r="A2" s="3"/>
    </row>
    <row r="3" spans="1:47" s="67" customFormat="1" ht="30" customHeight="1">
      <c r="A3" s="10" t="s">
        <v>19</v>
      </c>
      <c r="B3" s="10" t="s">
        <v>20</v>
      </c>
      <c r="C3" s="11" t="s">
        <v>86</v>
      </c>
      <c r="D3" s="11" t="s">
        <v>10</v>
      </c>
      <c r="E3" s="10" t="s">
        <v>61</v>
      </c>
      <c r="F3" s="10" t="s">
        <v>53</v>
      </c>
      <c r="G3" s="66" t="s">
        <v>54</v>
      </c>
      <c r="H3" s="11" t="s">
        <v>86</v>
      </c>
      <c r="I3" s="11" t="s">
        <v>10</v>
      </c>
      <c r="J3" s="10" t="s">
        <v>61</v>
      </c>
      <c r="K3" s="10" t="s">
        <v>53</v>
      </c>
      <c r="L3" s="66" t="s">
        <v>54</v>
      </c>
      <c r="M3" s="11" t="s">
        <v>86</v>
      </c>
      <c r="N3" s="11" t="s">
        <v>10</v>
      </c>
      <c r="O3" s="10" t="s">
        <v>61</v>
      </c>
      <c r="P3" s="10" t="s">
        <v>53</v>
      </c>
      <c r="Q3" s="66" t="s">
        <v>54</v>
      </c>
      <c r="R3" s="11" t="s">
        <v>86</v>
      </c>
      <c r="S3" s="11" t="s">
        <v>10</v>
      </c>
      <c r="T3" s="10" t="s">
        <v>61</v>
      </c>
      <c r="U3" s="10" t="s">
        <v>53</v>
      </c>
      <c r="V3" s="66" t="s">
        <v>54</v>
      </c>
      <c r="W3" s="11" t="s">
        <v>86</v>
      </c>
      <c r="X3" s="11" t="s">
        <v>10</v>
      </c>
      <c r="Y3" s="10" t="s">
        <v>61</v>
      </c>
      <c r="Z3" s="10" t="s">
        <v>53</v>
      </c>
      <c r="AA3" s="66" t="s">
        <v>54</v>
      </c>
      <c r="AB3" s="11" t="s">
        <v>86</v>
      </c>
      <c r="AC3" s="11" t="s">
        <v>10</v>
      </c>
      <c r="AD3" s="10" t="s">
        <v>61</v>
      </c>
      <c r="AE3" s="10" t="s">
        <v>53</v>
      </c>
      <c r="AF3" s="66" t="s">
        <v>54</v>
      </c>
      <c r="AG3" s="11" t="s">
        <v>86</v>
      </c>
      <c r="AH3" s="11" t="s">
        <v>10</v>
      </c>
      <c r="AI3" s="10" t="s">
        <v>61</v>
      </c>
      <c r="AJ3" s="10" t="s">
        <v>53</v>
      </c>
      <c r="AK3" s="66" t="s">
        <v>54</v>
      </c>
      <c r="AL3" s="11" t="s">
        <v>86</v>
      </c>
      <c r="AM3" s="11" t="s">
        <v>10</v>
      </c>
      <c r="AN3" s="10" t="s">
        <v>61</v>
      </c>
      <c r="AO3" s="10" t="s">
        <v>53</v>
      </c>
      <c r="AP3" s="66" t="s">
        <v>54</v>
      </c>
      <c r="AQ3" s="11" t="s">
        <v>86</v>
      </c>
      <c r="AR3" s="11" t="s">
        <v>10</v>
      </c>
      <c r="AS3" s="10" t="s">
        <v>61</v>
      </c>
      <c r="AT3" s="10" t="s">
        <v>53</v>
      </c>
      <c r="AU3" s="66" t="s">
        <v>54</v>
      </c>
    </row>
    <row r="4" spans="1:47" ht="15" customHeight="1">
      <c r="A4" s="10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>
        <f>AG5+AG16+AG22</f>
        <v>125.7</v>
      </c>
      <c r="AH4" s="11">
        <f>'[1]KNAW-instituten-2'!J5</f>
        <v>1043.9000000000001</v>
      </c>
      <c r="AI4" s="11">
        <f>'[1]KNAW-instituten-2'!O5</f>
        <v>534.70000000000005</v>
      </c>
      <c r="AJ4" s="11">
        <f>AJ5+AJ16+AJ22</f>
        <v>1299</v>
      </c>
      <c r="AK4" s="11">
        <f>AK5+AK16+AK22</f>
        <v>51</v>
      </c>
      <c r="AL4" s="10">
        <f>AL5+AL16+AL22</f>
        <v>116.7</v>
      </c>
      <c r="AM4" s="10">
        <f>'[1]KNAW-instituten-2'!I5</f>
        <v>973.1</v>
      </c>
      <c r="AN4" s="10">
        <f>'[1]KNAW-instituten-2'!Q5</f>
        <v>516.5</v>
      </c>
      <c r="AO4" s="10">
        <f t="shared" ref="AO4:AU4" si="0">AO5+AO16+AO22</f>
        <v>1306</v>
      </c>
      <c r="AP4" s="10">
        <f t="shared" si="0"/>
        <v>51</v>
      </c>
      <c r="AQ4" s="10">
        <f t="shared" si="0"/>
        <v>115.4</v>
      </c>
      <c r="AR4" s="10">
        <f t="shared" si="0"/>
        <v>1005.9</v>
      </c>
      <c r="AS4" s="10">
        <f t="shared" si="0"/>
        <v>527.5</v>
      </c>
      <c r="AT4" s="10">
        <f t="shared" si="0"/>
        <v>1338</v>
      </c>
      <c r="AU4" s="10">
        <f t="shared" si="0"/>
        <v>52</v>
      </c>
    </row>
    <row r="5" spans="1:47" ht="15" customHeight="1">
      <c r="A5" s="10" t="s">
        <v>21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>
        <f>SUM(AG6:AG15)</f>
        <v>44.1</v>
      </c>
      <c r="AH5" s="11">
        <f>SUM(AH6:AH15)</f>
        <v>392.4</v>
      </c>
      <c r="AI5" s="11">
        <f t="shared" ref="AI5" si="1">SUM(AI6:AI15)</f>
        <v>153</v>
      </c>
      <c r="AJ5" s="11">
        <f t="shared" ref="AJ5:AK5" si="2">SUM(AJ6:AJ15)</f>
        <v>534</v>
      </c>
      <c r="AK5" s="11">
        <f t="shared" si="2"/>
        <v>11</v>
      </c>
      <c r="AL5" s="10">
        <f>+SUM(AL6:AL14)</f>
        <v>42.1</v>
      </c>
      <c r="AM5" s="10">
        <f>'[1]KNAW-instituten-2'!I6</f>
        <v>348</v>
      </c>
      <c r="AN5" s="10">
        <f>'[1]KNAW-instituten-2'!Q6</f>
        <v>149.9</v>
      </c>
      <c r="AO5" s="10">
        <f t="shared" ref="AO5:AU5" si="3">+SUM(AO6:AO14)</f>
        <v>565</v>
      </c>
      <c r="AP5" s="10">
        <f t="shared" si="3"/>
        <v>11</v>
      </c>
      <c r="AQ5" s="10">
        <f t="shared" si="3"/>
        <v>42.800000000000004</v>
      </c>
      <c r="AR5" s="10">
        <f t="shared" si="3"/>
        <v>397.79999999999995</v>
      </c>
      <c r="AS5" s="10">
        <f t="shared" si="3"/>
        <v>170.39999999999998</v>
      </c>
      <c r="AT5" s="10">
        <f t="shared" si="3"/>
        <v>607</v>
      </c>
      <c r="AU5" s="10">
        <f t="shared" si="3"/>
        <v>11</v>
      </c>
    </row>
    <row r="6" spans="1:47" ht="15" customHeight="1">
      <c r="A6" s="8" t="s">
        <v>22</v>
      </c>
      <c r="B6" s="8" t="s">
        <v>23</v>
      </c>
      <c r="C6" s="49">
        <v>7.5</v>
      </c>
      <c r="D6" s="8">
        <v>49.3</v>
      </c>
      <c r="E6" s="8">
        <f>D6-13.1</f>
        <v>36.199999999999996</v>
      </c>
      <c r="F6" s="8">
        <v>33</v>
      </c>
      <c r="G6" s="51" t="s">
        <v>58</v>
      </c>
      <c r="H6" s="49">
        <v>6.7</v>
      </c>
      <c r="I6" s="8">
        <v>44.3</v>
      </c>
      <c r="J6" s="8">
        <f>I6-9.5</f>
        <v>34.799999999999997</v>
      </c>
      <c r="K6" s="8">
        <v>27</v>
      </c>
      <c r="L6" s="51">
        <v>1</v>
      </c>
      <c r="M6" s="49">
        <v>5.7</v>
      </c>
      <c r="N6" s="8">
        <v>49.3</v>
      </c>
      <c r="O6" s="8"/>
      <c r="P6" s="8">
        <v>37</v>
      </c>
      <c r="Q6" s="51" t="s">
        <v>58</v>
      </c>
      <c r="R6" s="49">
        <v>5.5049999999999999</v>
      </c>
      <c r="S6" s="8">
        <v>47.1</v>
      </c>
      <c r="T6" s="8"/>
      <c r="U6" s="8">
        <v>40</v>
      </c>
      <c r="V6" s="8">
        <v>1</v>
      </c>
      <c r="W6" s="49">
        <v>5.2480000000000002</v>
      </c>
      <c r="X6" s="8">
        <v>47.8</v>
      </c>
      <c r="Y6" s="8"/>
      <c r="Z6" s="8">
        <v>33</v>
      </c>
      <c r="AA6" s="8">
        <v>0</v>
      </c>
      <c r="AB6" s="8">
        <v>5.3</v>
      </c>
      <c r="AC6" s="8">
        <v>48.1</v>
      </c>
      <c r="AD6" s="8">
        <v>12.4</v>
      </c>
      <c r="AE6" s="8">
        <v>24</v>
      </c>
      <c r="AF6" s="8"/>
      <c r="AG6" s="50">
        <v>4.9000000000000004</v>
      </c>
      <c r="AH6" s="50">
        <f>'[1]KNAW-instituten-2'!J7</f>
        <v>45.2</v>
      </c>
      <c r="AI6" s="50">
        <f>'[1]KNAW-instituten-2'!O7</f>
        <v>9.5</v>
      </c>
      <c r="AJ6" s="50">
        <v>9</v>
      </c>
      <c r="AK6" s="50">
        <v>0</v>
      </c>
      <c r="AL6" s="8">
        <v>5.2</v>
      </c>
      <c r="AM6" s="8">
        <f>'[1]KNAW-instituten-2'!I7</f>
        <v>51</v>
      </c>
      <c r="AN6" s="8">
        <f>'[1]KNAW-instituten-2'!Q7</f>
        <v>12.4</v>
      </c>
      <c r="AO6" s="8">
        <v>23</v>
      </c>
      <c r="AP6" s="8">
        <v>0</v>
      </c>
      <c r="AQ6" s="8">
        <v>4.7</v>
      </c>
      <c r="AR6" s="8">
        <v>43</v>
      </c>
      <c r="AS6" s="8">
        <v>6.7</v>
      </c>
      <c r="AT6" s="8">
        <v>26</v>
      </c>
      <c r="AU6" s="8">
        <v>1</v>
      </c>
    </row>
    <row r="7" spans="1:47" ht="15" customHeight="1">
      <c r="A7" s="8" t="s">
        <v>24</v>
      </c>
      <c r="B7" s="8" t="s">
        <v>25</v>
      </c>
      <c r="C7" s="51" t="s">
        <v>58</v>
      </c>
      <c r="D7" s="51" t="s">
        <v>58</v>
      </c>
      <c r="E7" s="51" t="s">
        <v>58</v>
      </c>
      <c r="F7" s="51" t="s">
        <v>58</v>
      </c>
      <c r="G7" s="51" t="s">
        <v>58</v>
      </c>
      <c r="H7" s="51" t="s">
        <v>58</v>
      </c>
      <c r="I7" s="51" t="s">
        <v>58</v>
      </c>
      <c r="J7" s="51" t="s">
        <v>58</v>
      </c>
      <c r="K7" s="51" t="s">
        <v>58</v>
      </c>
      <c r="L7" s="51" t="s">
        <v>58</v>
      </c>
      <c r="M7" s="51" t="s">
        <v>58</v>
      </c>
      <c r="N7" s="51" t="s">
        <v>58</v>
      </c>
      <c r="O7" s="51" t="s">
        <v>58</v>
      </c>
      <c r="P7" s="51" t="s">
        <v>58</v>
      </c>
      <c r="Q7" s="51" t="s">
        <v>58</v>
      </c>
      <c r="R7" s="51" t="s">
        <v>58</v>
      </c>
      <c r="S7" s="51" t="s">
        <v>58</v>
      </c>
      <c r="T7" s="51" t="s">
        <v>58</v>
      </c>
      <c r="U7" s="51" t="s">
        <v>58</v>
      </c>
      <c r="V7" s="51" t="s">
        <v>58</v>
      </c>
      <c r="W7" s="51" t="s">
        <v>58</v>
      </c>
      <c r="X7" s="51" t="s">
        <v>58</v>
      </c>
      <c r="Y7" s="51" t="s">
        <v>58</v>
      </c>
      <c r="Z7" s="51" t="s">
        <v>58</v>
      </c>
      <c r="AA7" s="51" t="s">
        <v>58</v>
      </c>
      <c r="AB7" s="51" t="s">
        <v>58</v>
      </c>
      <c r="AC7" s="51" t="s">
        <v>58</v>
      </c>
      <c r="AD7" s="51" t="s">
        <v>58</v>
      </c>
      <c r="AE7" s="51" t="s">
        <v>58</v>
      </c>
      <c r="AF7" s="51" t="s">
        <v>58</v>
      </c>
      <c r="AG7" s="51" t="s">
        <v>58</v>
      </c>
      <c r="AH7" s="51" t="s">
        <v>58</v>
      </c>
      <c r="AI7" s="51" t="s">
        <v>58</v>
      </c>
      <c r="AJ7" s="51" t="s">
        <v>58</v>
      </c>
      <c r="AK7" s="51" t="s">
        <v>58</v>
      </c>
      <c r="AL7" s="48" t="s">
        <v>58</v>
      </c>
      <c r="AM7" s="8" t="str">
        <f>'[1]KNAW-instituten-2'!I8</f>
        <v>-</v>
      </c>
      <c r="AN7" s="8" t="str">
        <f>'[1]KNAW-instituten-2'!Q8</f>
        <v>-</v>
      </c>
      <c r="AO7" s="8"/>
      <c r="AP7" s="8"/>
      <c r="AQ7" s="8">
        <v>3.8</v>
      </c>
      <c r="AR7" s="8">
        <v>45.5</v>
      </c>
      <c r="AS7" s="8">
        <v>19.899999999999999</v>
      </c>
      <c r="AT7" s="8">
        <v>70</v>
      </c>
      <c r="AU7" s="8">
        <v>1</v>
      </c>
    </row>
    <row r="8" spans="1:47" ht="15" customHeight="1">
      <c r="A8" s="8" t="s">
        <v>90</v>
      </c>
      <c r="B8" s="8" t="s">
        <v>26</v>
      </c>
      <c r="C8" s="53" t="s">
        <v>97</v>
      </c>
      <c r="D8" s="53" t="s">
        <v>97</v>
      </c>
      <c r="E8" s="53" t="s">
        <v>97</v>
      </c>
      <c r="F8" s="8">
        <v>57</v>
      </c>
      <c r="G8" s="51" t="s">
        <v>58</v>
      </c>
      <c r="H8" s="53" t="s">
        <v>97</v>
      </c>
      <c r="I8" s="53" t="s">
        <v>97</v>
      </c>
      <c r="J8" s="53" t="s">
        <v>97</v>
      </c>
      <c r="K8" s="8">
        <v>90</v>
      </c>
      <c r="L8" s="51">
        <v>1</v>
      </c>
      <c r="M8" s="53" t="s">
        <v>97</v>
      </c>
      <c r="N8" s="53">
        <v>52.8</v>
      </c>
      <c r="O8" s="53" t="s">
        <v>97</v>
      </c>
      <c r="P8" s="8">
        <v>100</v>
      </c>
      <c r="Q8" s="51">
        <v>1</v>
      </c>
      <c r="R8" s="53" t="s">
        <v>97</v>
      </c>
      <c r="S8" s="53">
        <v>53.5</v>
      </c>
      <c r="T8" s="53" t="s">
        <v>97</v>
      </c>
      <c r="U8" s="8">
        <v>39</v>
      </c>
      <c r="V8" s="51" t="s">
        <v>58</v>
      </c>
      <c r="W8" s="53" t="s">
        <v>97</v>
      </c>
      <c r="X8" s="53" t="s">
        <v>97</v>
      </c>
      <c r="Y8" s="53" t="s">
        <v>97</v>
      </c>
      <c r="Z8" s="8">
        <v>64</v>
      </c>
      <c r="AA8" s="8">
        <v>0</v>
      </c>
      <c r="AB8" s="53" t="s">
        <v>97</v>
      </c>
      <c r="AC8" s="53" t="s">
        <v>97</v>
      </c>
      <c r="AD8" s="53" t="s">
        <v>97</v>
      </c>
      <c r="AE8" s="8">
        <v>73</v>
      </c>
      <c r="AF8" s="8"/>
      <c r="AG8" s="52" t="s">
        <v>97</v>
      </c>
      <c r="AH8" s="52" t="s">
        <v>97</v>
      </c>
      <c r="AI8" s="52" t="s">
        <v>97</v>
      </c>
      <c r="AJ8" s="52" t="s">
        <v>97</v>
      </c>
      <c r="AK8" s="52" t="s">
        <v>97</v>
      </c>
      <c r="AL8" s="8">
        <v>8.1999999999999993</v>
      </c>
      <c r="AM8" s="8">
        <f>'[1]KNAW-instituten-2'!I9</f>
        <v>67.3</v>
      </c>
      <c r="AN8" s="8">
        <f>'[1]KNAW-instituten-2'!Q9</f>
        <v>30.1</v>
      </c>
      <c r="AO8" s="8">
        <v>118</v>
      </c>
      <c r="AP8" s="8">
        <v>1</v>
      </c>
      <c r="AQ8" s="8">
        <v>6.9</v>
      </c>
      <c r="AR8" s="8">
        <v>73.5</v>
      </c>
      <c r="AS8" s="8">
        <v>33.299999999999997</v>
      </c>
      <c r="AT8" s="8">
        <v>88</v>
      </c>
      <c r="AU8" s="8">
        <v>2</v>
      </c>
    </row>
    <row r="9" spans="1:47" ht="14.4">
      <c r="A9" s="8" t="s">
        <v>27</v>
      </c>
      <c r="B9" s="8" t="s">
        <v>28</v>
      </c>
      <c r="C9" s="53" t="s">
        <v>97</v>
      </c>
      <c r="D9" s="53" t="s">
        <v>97</v>
      </c>
      <c r="E9" s="53" t="s">
        <v>97</v>
      </c>
      <c r="F9" s="8">
        <v>44</v>
      </c>
      <c r="G9" s="51" t="s">
        <v>58</v>
      </c>
      <c r="H9" s="53" t="s">
        <v>97</v>
      </c>
      <c r="I9" s="53" t="s">
        <v>97</v>
      </c>
      <c r="J9" s="53" t="s">
        <v>97</v>
      </c>
      <c r="K9" s="8">
        <v>81</v>
      </c>
      <c r="L9" s="51" t="s">
        <v>58</v>
      </c>
      <c r="M9" s="53" t="s">
        <v>97</v>
      </c>
      <c r="N9" s="53">
        <v>60.9</v>
      </c>
      <c r="O9" s="53" t="s">
        <v>97</v>
      </c>
      <c r="P9" s="8">
        <v>83</v>
      </c>
      <c r="Q9" s="51" t="s">
        <v>58</v>
      </c>
      <c r="R9" s="53" t="s">
        <v>97</v>
      </c>
      <c r="S9" s="53">
        <v>60.7</v>
      </c>
      <c r="T9" s="53" t="s">
        <v>97</v>
      </c>
      <c r="U9" s="8">
        <v>90</v>
      </c>
      <c r="V9" s="51" t="s">
        <v>58</v>
      </c>
      <c r="W9" s="53" t="s">
        <v>97</v>
      </c>
      <c r="X9" s="53" t="s">
        <v>97</v>
      </c>
      <c r="Y9" s="53" t="s">
        <v>97</v>
      </c>
      <c r="Z9" s="8">
        <v>97</v>
      </c>
      <c r="AA9" s="8">
        <v>1</v>
      </c>
      <c r="AB9" s="53" t="s">
        <v>97</v>
      </c>
      <c r="AC9" s="8">
        <v>32.9</v>
      </c>
      <c r="AD9" s="53" t="s">
        <v>97</v>
      </c>
      <c r="AE9" s="8">
        <v>81</v>
      </c>
      <c r="AF9" s="8">
        <v>2</v>
      </c>
      <c r="AG9" s="53" t="s">
        <v>97</v>
      </c>
      <c r="AH9" s="53" t="s">
        <v>97</v>
      </c>
      <c r="AI9" s="53" t="s">
        <v>97</v>
      </c>
      <c r="AJ9" s="53" t="s">
        <v>97</v>
      </c>
      <c r="AK9" s="52" t="s">
        <v>97</v>
      </c>
      <c r="AL9" s="8">
        <v>8.8000000000000007</v>
      </c>
      <c r="AM9" s="8">
        <f>'[1]KNAW-instituten-2'!I10</f>
        <v>63.8</v>
      </c>
      <c r="AN9" s="8">
        <f>'[1]KNAW-instituten-2'!Q10</f>
        <v>15.2</v>
      </c>
      <c r="AO9" s="8">
        <v>113</v>
      </c>
      <c r="AP9" s="8">
        <v>2</v>
      </c>
      <c r="AQ9" s="8">
        <v>8.5</v>
      </c>
      <c r="AR9" s="8">
        <v>69.400000000000006</v>
      </c>
      <c r="AS9" s="8">
        <v>19</v>
      </c>
      <c r="AT9" s="8">
        <v>86</v>
      </c>
      <c r="AU9" s="8">
        <v>0</v>
      </c>
    </row>
    <row r="10" spans="1:47" ht="30" customHeight="1">
      <c r="A10" s="8" t="s">
        <v>29</v>
      </c>
      <c r="B10" s="8" t="s">
        <v>30</v>
      </c>
      <c r="C10" s="49">
        <v>3.6</v>
      </c>
      <c r="D10" s="8">
        <v>27.9</v>
      </c>
      <c r="E10" s="8">
        <f>D10-5.5</f>
        <v>22.4</v>
      </c>
      <c r="F10" s="8">
        <v>46</v>
      </c>
      <c r="G10" s="8">
        <v>1</v>
      </c>
      <c r="H10" s="49">
        <v>3.8</v>
      </c>
      <c r="I10" s="8">
        <v>27.7</v>
      </c>
      <c r="J10" s="8">
        <f>I10-8</f>
        <v>19.7</v>
      </c>
      <c r="K10" s="8">
        <v>67</v>
      </c>
      <c r="L10" s="51" t="s">
        <v>58</v>
      </c>
      <c r="M10" s="49">
        <v>3.1</v>
      </c>
      <c r="N10" s="8">
        <v>30.2</v>
      </c>
      <c r="O10" s="8"/>
      <c r="P10" s="8">
        <v>101</v>
      </c>
      <c r="Q10" s="8">
        <v>4</v>
      </c>
      <c r="R10" s="49">
        <v>2.7</v>
      </c>
      <c r="S10" s="8">
        <v>19.8</v>
      </c>
      <c r="T10" s="8"/>
      <c r="U10" s="8">
        <v>104</v>
      </c>
      <c r="V10" s="8">
        <v>1</v>
      </c>
      <c r="W10" s="49">
        <v>3.1440000000000001</v>
      </c>
      <c r="X10" s="8">
        <v>28.6</v>
      </c>
      <c r="Y10" s="8"/>
      <c r="Z10" s="8">
        <v>2</v>
      </c>
      <c r="AA10" s="8">
        <v>0</v>
      </c>
      <c r="AB10" s="8">
        <v>2.7</v>
      </c>
      <c r="AC10" s="8">
        <v>6.8</v>
      </c>
      <c r="AD10" s="8">
        <v>24.8</v>
      </c>
      <c r="AE10" s="8">
        <v>52</v>
      </c>
      <c r="AF10" s="8"/>
      <c r="AG10" s="50">
        <v>2.7</v>
      </c>
      <c r="AH10" s="50">
        <f>'[1]KNAW-instituten-2'!J11</f>
        <v>29.7</v>
      </c>
      <c r="AI10" s="50">
        <f>'[1]KNAW-instituten-2'!O11</f>
        <v>20.6</v>
      </c>
      <c r="AJ10" s="50">
        <v>71</v>
      </c>
      <c r="AK10" s="50">
        <v>0</v>
      </c>
      <c r="AL10" s="8">
        <v>2.5</v>
      </c>
      <c r="AM10" s="8">
        <f>'[1]KNAW-instituten-2'!I11</f>
        <v>30</v>
      </c>
      <c r="AN10" s="8">
        <f>'[1]KNAW-instituten-2'!Q11</f>
        <v>25.6</v>
      </c>
      <c r="AO10" s="8">
        <v>73</v>
      </c>
      <c r="AP10" s="8">
        <v>2</v>
      </c>
      <c r="AQ10" s="8">
        <v>2.2999999999999998</v>
      </c>
      <c r="AR10" s="8">
        <v>26.8</v>
      </c>
      <c r="AS10" s="8">
        <v>21.9</v>
      </c>
      <c r="AT10" s="8">
        <v>119</v>
      </c>
      <c r="AU10" s="8">
        <v>0</v>
      </c>
    </row>
    <row r="11" spans="1:47" ht="15" customHeight="1">
      <c r="A11" s="8" t="s">
        <v>31</v>
      </c>
      <c r="B11" s="8" t="s">
        <v>32</v>
      </c>
      <c r="C11" s="53" t="s">
        <v>97</v>
      </c>
      <c r="D11" s="53" t="s">
        <v>97</v>
      </c>
      <c r="E11" s="53" t="s">
        <v>97</v>
      </c>
      <c r="F11" s="8">
        <v>20</v>
      </c>
      <c r="G11" s="51" t="s">
        <v>58</v>
      </c>
      <c r="H11" s="53" t="s">
        <v>97</v>
      </c>
      <c r="I11" s="53" t="s">
        <v>97</v>
      </c>
      <c r="J11" s="53" t="s">
        <v>97</v>
      </c>
      <c r="K11" s="8">
        <v>46</v>
      </c>
      <c r="L11" s="51" t="s">
        <v>58</v>
      </c>
      <c r="M11" s="53" t="s">
        <v>97</v>
      </c>
      <c r="N11" s="53">
        <v>19.100000000000001</v>
      </c>
      <c r="O11" s="53" t="s">
        <v>97</v>
      </c>
      <c r="P11" s="8">
        <v>30</v>
      </c>
      <c r="Q11" s="51" t="s">
        <v>58</v>
      </c>
      <c r="R11" s="53" t="s">
        <v>97</v>
      </c>
      <c r="S11" s="53">
        <v>26.3</v>
      </c>
      <c r="T11" s="53" t="s">
        <v>97</v>
      </c>
      <c r="U11" s="8">
        <v>71</v>
      </c>
      <c r="V11" s="51" t="s">
        <v>58</v>
      </c>
      <c r="W11" s="53" t="s">
        <v>97</v>
      </c>
      <c r="X11" s="53" t="s">
        <v>97</v>
      </c>
      <c r="Y11" s="53" t="s">
        <v>97</v>
      </c>
      <c r="Z11" s="8">
        <v>46</v>
      </c>
      <c r="AA11" s="8">
        <v>1</v>
      </c>
      <c r="AB11" s="53" t="s">
        <v>97</v>
      </c>
      <c r="AC11" s="53" t="s">
        <v>97</v>
      </c>
      <c r="AD11" s="53" t="s">
        <v>97</v>
      </c>
      <c r="AE11" s="8">
        <v>83</v>
      </c>
      <c r="AF11" s="8">
        <v>3</v>
      </c>
      <c r="AG11" s="53" t="s">
        <v>97</v>
      </c>
      <c r="AH11" s="53" t="s">
        <v>97</v>
      </c>
      <c r="AI11" s="53" t="s">
        <v>97</v>
      </c>
      <c r="AJ11" s="53" t="s">
        <v>97</v>
      </c>
      <c r="AK11" s="52" t="s">
        <v>97</v>
      </c>
      <c r="AL11" s="8">
        <v>4.8</v>
      </c>
      <c r="AM11" s="8">
        <f>'[1]KNAW-instituten-2'!I12</f>
        <v>31.6</v>
      </c>
      <c r="AN11" s="8">
        <f>'[1]KNAW-instituten-2'!Q12</f>
        <v>15</v>
      </c>
      <c r="AO11" s="8">
        <v>108</v>
      </c>
      <c r="AP11" s="8">
        <v>0</v>
      </c>
      <c r="AQ11" s="8">
        <v>4.8</v>
      </c>
      <c r="AR11" s="8">
        <v>39.4</v>
      </c>
      <c r="AS11" s="8">
        <v>20.6</v>
      </c>
      <c r="AT11" s="8">
        <v>95</v>
      </c>
      <c r="AU11" s="8">
        <v>1</v>
      </c>
    </row>
    <row r="12" spans="1:47" ht="30" customHeight="1">
      <c r="A12" s="8" t="s">
        <v>79</v>
      </c>
      <c r="B12" s="8" t="s">
        <v>80</v>
      </c>
      <c r="C12" s="49">
        <v>10.199999999999999</v>
      </c>
      <c r="D12" s="8">
        <v>76.5</v>
      </c>
      <c r="E12" s="8">
        <f>D12-12.5</f>
        <v>64</v>
      </c>
      <c r="F12" s="8">
        <v>49</v>
      </c>
      <c r="G12" s="51" t="s">
        <v>58</v>
      </c>
      <c r="H12" s="49">
        <v>10.3</v>
      </c>
      <c r="I12" s="8">
        <v>73.099999999999994</v>
      </c>
      <c r="J12" s="8">
        <f>I12-11.6</f>
        <v>61.499999999999993</v>
      </c>
      <c r="K12" s="8">
        <v>41</v>
      </c>
      <c r="L12" s="51">
        <v>1</v>
      </c>
      <c r="M12" s="49">
        <v>9.1999999999999993</v>
      </c>
      <c r="N12" s="8">
        <v>72.8</v>
      </c>
      <c r="O12" s="8"/>
      <c r="P12" s="8">
        <v>32</v>
      </c>
      <c r="Q12" s="51" t="s">
        <v>58</v>
      </c>
      <c r="R12" s="49">
        <v>8.4979999999999993</v>
      </c>
      <c r="S12" s="8">
        <v>73.599999999999994</v>
      </c>
      <c r="T12" s="8"/>
      <c r="U12" s="8">
        <v>39</v>
      </c>
      <c r="V12" s="8">
        <v>1</v>
      </c>
      <c r="W12" s="49">
        <v>8.4480000000000004</v>
      </c>
      <c r="X12" s="8">
        <v>68.099999999999994</v>
      </c>
      <c r="Y12" s="8"/>
      <c r="Z12" s="8">
        <v>36</v>
      </c>
      <c r="AA12" s="8">
        <v>0</v>
      </c>
      <c r="AB12" s="8">
        <v>7.9</v>
      </c>
      <c r="AC12" s="8">
        <v>62.3</v>
      </c>
      <c r="AD12" s="8">
        <v>25.2</v>
      </c>
      <c r="AE12" s="8">
        <v>26</v>
      </c>
      <c r="AF12" s="8">
        <v>14</v>
      </c>
      <c r="AG12" s="9">
        <v>6.4</v>
      </c>
      <c r="AH12" s="50">
        <f>'[1]KNAW-instituten-2'!J13</f>
        <v>59.4</v>
      </c>
      <c r="AI12" s="50">
        <f>'[1]KNAW-instituten-2'!O13</f>
        <v>20.2</v>
      </c>
      <c r="AJ12" s="50">
        <v>31</v>
      </c>
      <c r="AK12" s="50">
        <v>2</v>
      </c>
      <c r="AL12" s="49">
        <v>6</v>
      </c>
      <c r="AM12" s="8">
        <f>'[1]KNAW-instituten-2'!I13</f>
        <v>53</v>
      </c>
      <c r="AN12" s="8">
        <f>'[1]KNAW-instituten-2'!Q13</f>
        <v>16.2</v>
      </c>
      <c r="AO12" s="8">
        <v>40</v>
      </c>
      <c r="AP12" s="8">
        <v>1</v>
      </c>
      <c r="AQ12" s="8">
        <v>5.9</v>
      </c>
      <c r="AR12" s="8">
        <v>52.7</v>
      </c>
      <c r="AS12" s="8">
        <v>18.2</v>
      </c>
      <c r="AT12" s="8">
        <v>34</v>
      </c>
      <c r="AU12" s="8">
        <v>1</v>
      </c>
    </row>
    <row r="13" spans="1:47" ht="14.4">
      <c r="A13" s="8" t="s">
        <v>33</v>
      </c>
      <c r="B13" s="8" t="s">
        <v>34</v>
      </c>
      <c r="C13" s="49">
        <v>6.4</v>
      </c>
      <c r="D13" s="8">
        <v>48.9</v>
      </c>
      <c r="E13" s="8">
        <f>D13-5.9</f>
        <v>43</v>
      </c>
      <c r="F13" s="8">
        <v>78</v>
      </c>
      <c r="G13" s="8">
        <v>3</v>
      </c>
      <c r="H13" s="49">
        <v>5.8</v>
      </c>
      <c r="I13" s="8">
        <v>48.1</v>
      </c>
      <c r="J13" s="8">
        <f>I13-6.2</f>
        <v>41.9</v>
      </c>
      <c r="K13" s="8">
        <v>61</v>
      </c>
      <c r="L13" s="8">
        <v>2</v>
      </c>
      <c r="M13" s="49">
        <v>5.5</v>
      </c>
      <c r="N13" s="8">
        <v>49</v>
      </c>
      <c r="O13" s="8"/>
      <c r="P13" s="8">
        <v>85</v>
      </c>
      <c r="Q13" s="8">
        <v>5</v>
      </c>
      <c r="R13" s="49">
        <v>5.2469999999999999</v>
      </c>
      <c r="S13" s="8">
        <v>46.9</v>
      </c>
      <c r="T13" s="8"/>
      <c r="U13" s="8">
        <v>84</v>
      </c>
      <c r="V13" s="8">
        <v>3</v>
      </c>
      <c r="W13" s="49">
        <v>4.5609999999999999</v>
      </c>
      <c r="X13" s="8">
        <v>53.1</v>
      </c>
      <c r="Y13" s="8"/>
      <c r="Z13" s="8">
        <v>71</v>
      </c>
      <c r="AA13" s="8">
        <v>5</v>
      </c>
      <c r="AB13" s="8">
        <v>4.2</v>
      </c>
      <c r="AC13" s="8">
        <v>40.1</v>
      </c>
      <c r="AD13" s="8">
        <v>30.4</v>
      </c>
      <c r="AE13" s="8">
        <v>72</v>
      </c>
      <c r="AF13" s="8">
        <v>11</v>
      </c>
      <c r="AG13" s="50">
        <v>4.3</v>
      </c>
      <c r="AH13" s="50">
        <f>'[1]KNAW-instituten-2'!J14</f>
        <v>40.6</v>
      </c>
      <c r="AI13" s="50">
        <f>'[1]KNAW-instituten-2'!O14</f>
        <v>31.3</v>
      </c>
      <c r="AJ13" s="50">
        <v>116</v>
      </c>
      <c r="AK13" s="50">
        <v>4</v>
      </c>
      <c r="AL13" s="8">
        <v>4.2</v>
      </c>
      <c r="AM13" s="8">
        <f>'[1]KNAW-instituten-2'!I14</f>
        <v>44.1</v>
      </c>
      <c r="AN13" s="8">
        <f>'[1]KNAW-instituten-2'!Q14</f>
        <v>35.4</v>
      </c>
      <c r="AO13" s="8">
        <v>90</v>
      </c>
      <c r="AP13" s="8">
        <v>5</v>
      </c>
      <c r="AQ13" s="8">
        <v>3.7</v>
      </c>
      <c r="AR13" s="8">
        <v>40.700000000000003</v>
      </c>
      <c r="AS13" s="8">
        <v>30.8</v>
      </c>
      <c r="AT13" s="8">
        <v>89</v>
      </c>
      <c r="AU13" s="8">
        <v>5</v>
      </c>
    </row>
    <row r="14" spans="1:47" ht="15" customHeight="1">
      <c r="A14" s="8" t="s">
        <v>35</v>
      </c>
      <c r="B14" s="8" t="s">
        <v>36</v>
      </c>
      <c r="C14" s="51">
        <v>3.3</v>
      </c>
      <c r="D14" s="51">
        <v>7.7</v>
      </c>
      <c r="E14" s="8">
        <f>D14-6.9</f>
        <v>0.79999999999999982</v>
      </c>
      <c r="F14" s="51" t="s">
        <v>58</v>
      </c>
      <c r="G14" s="51" t="s">
        <v>58</v>
      </c>
      <c r="H14" s="51" t="s">
        <v>58</v>
      </c>
      <c r="I14" s="51" t="s">
        <v>58</v>
      </c>
      <c r="J14" s="8"/>
      <c r="K14" s="51" t="s">
        <v>58</v>
      </c>
      <c r="L14" s="51" t="s">
        <v>58</v>
      </c>
      <c r="M14" s="51" t="s">
        <v>58</v>
      </c>
      <c r="N14" s="51" t="s">
        <v>58</v>
      </c>
      <c r="O14" s="8"/>
      <c r="P14" s="51" t="s">
        <v>58</v>
      </c>
      <c r="Q14" s="51" t="s">
        <v>58</v>
      </c>
      <c r="R14" s="51" t="s">
        <v>58</v>
      </c>
      <c r="S14" s="51" t="s">
        <v>58</v>
      </c>
      <c r="T14" s="8"/>
      <c r="U14" s="51" t="s">
        <v>58</v>
      </c>
      <c r="V14" s="51" t="s">
        <v>58</v>
      </c>
      <c r="W14" s="49">
        <v>2.5960000000000001</v>
      </c>
      <c r="X14" s="8">
        <v>6.6</v>
      </c>
      <c r="Y14" s="8"/>
      <c r="Z14" s="8"/>
      <c r="AA14" s="8"/>
      <c r="AB14" s="8">
        <v>2.6</v>
      </c>
      <c r="AC14" s="8"/>
      <c r="AD14" s="8"/>
      <c r="AE14" s="8"/>
      <c r="AF14" s="8"/>
      <c r="AG14" s="50">
        <v>2.6</v>
      </c>
      <c r="AH14" s="50">
        <f>'[1]KNAW-instituten-2'!J15</f>
        <v>8.3000000000000007</v>
      </c>
      <c r="AI14" s="50">
        <f>'[1]KNAW-instituten-2'!O15</f>
        <v>0</v>
      </c>
      <c r="AJ14" s="50">
        <v>0</v>
      </c>
      <c r="AK14" s="50">
        <v>0</v>
      </c>
      <c r="AL14" s="8">
        <v>2.4</v>
      </c>
      <c r="AM14" s="8">
        <f>'[1]KNAW-instituten-2'!I15</f>
        <v>7.2</v>
      </c>
      <c r="AN14" s="8">
        <f>'[1]KNAW-instituten-2'!Q15</f>
        <v>0</v>
      </c>
      <c r="AO14" s="8">
        <v>0</v>
      </c>
      <c r="AP14" s="8">
        <v>0</v>
      </c>
      <c r="AQ14" s="8">
        <v>2.2000000000000002</v>
      </c>
      <c r="AR14" s="8">
        <v>6.8</v>
      </c>
      <c r="AS14" s="8">
        <v>0</v>
      </c>
      <c r="AT14" s="8">
        <v>0</v>
      </c>
      <c r="AU14" s="8">
        <v>0</v>
      </c>
    </row>
    <row r="15" spans="1:47" ht="15" customHeight="1">
      <c r="A15" s="8" t="s">
        <v>139</v>
      </c>
      <c r="B15" s="8" t="s">
        <v>98</v>
      </c>
      <c r="C15" s="49">
        <v>29.6</v>
      </c>
      <c r="D15" s="8">
        <v>239.6</v>
      </c>
      <c r="E15" s="8">
        <f>D15-61</f>
        <v>178.6</v>
      </c>
      <c r="F15" s="8">
        <v>24</v>
      </c>
      <c r="G15" s="51" t="s">
        <v>58</v>
      </c>
      <c r="H15" s="49">
        <v>27.1</v>
      </c>
      <c r="I15" s="8">
        <v>92.9</v>
      </c>
      <c r="J15" s="8">
        <f>I15-51.8</f>
        <v>41.100000000000009</v>
      </c>
      <c r="K15" s="8">
        <v>52</v>
      </c>
      <c r="L15" s="51" t="s">
        <v>58</v>
      </c>
      <c r="M15" s="49">
        <v>25.2</v>
      </c>
      <c r="N15" s="8">
        <v>76</v>
      </c>
      <c r="O15" s="8"/>
      <c r="P15" s="8">
        <v>41</v>
      </c>
      <c r="Q15" s="51" t="s">
        <v>58</v>
      </c>
      <c r="R15" s="49">
        <v>23.741</v>
      </c>
      <c r="S15" s="8">
        <v>74.3</v>
      </c>
      <c r="T15" s="8"/>
      <c r="U15" s="8">
        <v>52</v>
      </c>
      <c r="V15" s="51" t="s">
        <v>58</v>
      </c>
      <c r="W15" s="49">
        <v>22.446000000000002</v>
      </c>
      <c r="X15" s="8">
        <v>199.6</v>
      </c>
      <c r="Y15" s="8"/>
      <c r="Z15" s="8">
        <v>45</v>
      </c>
      <c r="AA15" s="8">
        <v>0</v>
      </c>
      <c r="AB15" s="8">
        <v>23.5</v>
      </c>
      <c r="AC15" s="8">
        <v>209</v>
      </c>
      <c r="AD15" s="8">
        <v>78</v>
      </c>
      <c r="AE15" s="8">
        <v>49</v>
      </c>
      <c r="AF15" s="8"/>
      <c r="AG15" s="50">
        <v>23.2</v>
      </c>
      <c r="AH15" s="50">
        <f>'[1]KNAW-instituten-2'!J18</f>
        <v>209.2</v>
      </c>
      <c r="AI15" s="50">
        <f>'[1]KNAW-instituten-2'!O18</f>
        <v>71.400000000000006</v>
      </c>
      <c r="AJ15" s="50">
        <v>307</v>
      </c>
      <c r="AK15" s="50">
        <v>5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" customHeight="1">
      <c r="A16" s="10" t="s">
        <v>37</v>
      </c>
      <c r="B16" s="10"/>
      <c r="C16" s="54"/>
      <c r="D16" s="10"/>
      <c r="E16" s="10"/>
      <c r="F16" s="10"/>
      <c r="G16" s="10"/>
      <c r="H16" s="54"/>
      <c r="I16" s="10"/>
      <c r="J16" s="10"/>
      <c r="K16" s="10"/>
      <c r="L16" s="10"/>
      <c r="M16" s="54"/>
      <c r="N16" s="10"/>
      <c r="O16" s="10"/>
      <c r="P16" s="10"/>
      <c r="Q16" s="10"/>
      <c r="R16" s="54"/>
      <c r="S16" s="10"/>
      <c r="T16" s="10"/>
      <c r="U16" s="10"/>
      <c r="V16" s="10"/>
      <c r="W16" s="54"/>
      <c r="X16" s="10"/>
      <c r="Y16" s="10"/>
      <c r="Z16" s="10"/>
      <c r="AA16" s="10"/>
      <c r="AB16" s="10"/>
      <c r="AC16" s="10"/>
      <c r="AD16" s="10"/>
      <c r="AE16" s="10"/>
      <c r="AF16" s="10"/>
      <c r="AG16" s="11">
        <f>SUM(AG17:AG21)</f>
        <v>76.400000000000006</v>
      </c>
      <c r="AH16" s="11">
        <f t="shared" ref="AH16:AI16" si="4">SUM(AH17:AH21)</f>
        <v>603.4</v>
      </c>
      <c r="AI16" s="11">
        <f t="shared" si="4"/>
        <v>345.20000000000005</v>
      </c>
      <c r="AJ16" s="11">
        <f t="shared" ref="AJ16:AK16" si="5">SUM(AJ17:AJ21)</f>
        <v>756</v>
      </c>
      <c r="AK16" s="11">
        <f t="shared" si="5"/>
        <v>40</v>
      </c>
      <c r="AL16" s="10">
        <f>+SUM(AL17:AL21)</f>
        <v>69.8</v>
      </c>
      <c r="AM16" s="10">
        <f>'[1]KNAW-instituten-2'!I19</f>
        <v>579.80000000000007</v>
      </c>
      <c r="AN16" s="10">
        <f>'[1]KNAW-instituten-2'!Q19</f>
        <v>334.1</v>
      </c>
      <c r="AO16" s="10">
        <f t="shared" ref="AO16:AU16" si="6">+SUM(AO17:AO21)</f>
        <v>731</v>
      </c>
      <c r="AP16" s="10">
        <f t="shared" si="6"/>
        <v>40</v>
      </c>
      <c r="AQ16" s="10">
        <f t="shared" si="6"/>
        <v>67.7</v>
      </c>
      <c r="AR16" s="10">
        <f t="shared" si="6"/>
        <v>571.80000000000007</v>
      </c>
      <c r="AS16" s="10">
        <f t="shared" si="6"/>
        <v>332.6</v>
      </c>
      <c r="AT16" s="10">
        <f t="shared" si="6"/>
        <v>718</v>
      </c>
      <c r="AU16" s="10">
        <f t="shared" si="6"/>
        <v>41</v>
      </c>
    </row>
    <row r="17" spans="1:47" ht="15" customHeight="1">
      <c r="A17" s="8" t="s">
        <v>116</v>
      </c>
      <c r="B17" s="8" t="s">
        <v>38</v>
      </c>
      <c r="C17" s="49">
        <v>7.4</v>
      </c>
      <c r="D17" s="8">
        <v>45.4</v>
      </c>
      <c r="E17" s="8">
        <f>D17-5.8</f>
        <v>39.6</v>
      </c>
      <c r="F17" s="8">
        <v>86</v>
      </c>
      <c r="G17" s="8">
        <v>5</v>
      </c>
      <c r="H17" s="49">
        <v>7.3</v>
      </c>
      <c r="I17" s="8">
        <v>42.2</v>
      </c>
      <c r="J17" s="8">
        <f>I17-4.8</f>
        <v>37.400000000000006</v>
      </c>
      <c r="K17" s="8">
        <v>64</v>
      </c>
      <c r="L17" s="8">
        <v>4</v>
      </c>
      <c r="M17" s="49">
        <v>6.8</v>
      </c>
      <c r="N17" s="8">
        <v>44.1</v>
      </c>
      <c r="O17" s="8"/>
      <c r="P17" s="8">
        <v>83</v>
      </c>
      <c r="Q17" s="8">
        <v>6</v>
      </c>
      <c r="R17" s="49">
        <v>6.2869999999999999</v>
      </c>
      <c r="S17" s="8">
        <v>49.4</v>
      </c>
      <c r="T17" s="8"/>
      <c r="U17" s="8">
        <v>108</v>
      </c>
      <c r="V17" s="8">
        <v>1</v>
      </c>
      <c r="W17" s="49">
        <v>6.6349999999999998</v>
      </c>
      <c r="X17" s="8">
        <v>52.9</v>
      </c>
      <c r="Y17" s="8"/>
      <c r="Z17" s="8">
        <v>115</v>
      </c>
      <c r="AA17" s="8">
        <v>2</v>
      </c>
      <c r="AB17" s="8">
        <v>6.6</v>
      </c>
      <c r="AC17" s="8">
        <v>56.2</v>
      </c>
      <c r="AD17" s="8">
        <v>28.7</v>
      </c>
      <c r="AE17" s="8">
        <v>154</v>
      </c>
      <c r="AF17" s="8"/>
      <c r="AG17" s="50">
        <v>6.6</v>
      </c>
      <c r="AH17" s="50">
        <f>'[1]KNAW-instituten-2'!J20</f>
        <v>57.4</v>
      </c>
      <c r="AI17" s="50">
        <f>'[1]KNAW-instituten-2'!O20</f>
        <v>28.1</v>
      </c>
      <c r="AJ17" s="50">
        <v>160</v>
      </c>
      <c r="AK17" s="50">
        <v>2</v>
      </c>
      <c r="AL17" s="8">
        <v>6.8</v>
      </c>
      <c r="AM17" s="8">
        <f>'[1]KNAW-instituten-2'!I20</f>
        <v>54.1</v>
      </c>
      <c r="AN17" s="8">
        <f>'[1]KNAW-instituten-2'!Q20</f>
        <v>28.4</v>
      </c>
      <c r="AO17" s="8">
        <v>148</v>
      </c>
      <c r="AP17" s="8">
        <v>3</v>
      </c>
      <c r="AQ17" s="8">
        <v>6.2</v>
      </c>
      <c r="AR17" s="8">
        <v>53.3</v>
      </c>
      <c r="AS17" s="8">
        <v>29.9</v>
      </c>
      <c r="AT17" s="8">
        <v>182</v>
      </c>
      <c r="AU17" s="8">
        <v>6</v>
      </c>
    </row>
    <row r="18" spans="1:47" ht="15" customHeight="1">
      <c r="A18" s="8" t="s">
        <v>39</v>
      </c>
      <c r="B18" s="8" t="s">
        <v>40</v>
      </c>
      <c r="C18" s="49">
        <v>36.200000000000003</v>
      </c>
      <c r="D18" s="8">
        <v>262.8</v>
      </c>
      <c r="E18" s="8">
        <f>D18-38.6</f>
        <v>224.20000000000002</v>
      </c>
      <c r="F18" s="8">
        <v>67</v>
      </c>
      <c r="G18" s="8">
        <v>10</v>
      </c>
      <c r="H18" s="49">
        <v>35</v>
      </c>
      <c r="I18" s="8">
        <v>257.89999999999998</v>
      </c>
      <c r="J18" s="8">
        <f>I18-40.4</f>
        <v>217.49999999999997</v>
      </c>
      <c r="K18" s="8">
        <v>83</v>
      </c>
      <c r="L18" s="8">
        <v>8</v>
      </c>
      <c r="M18" s="49">
        <v>33.5</v>
      </c>
      <c r="N18" s="8">
        <v>256.3</v>
      </c>
      <c r="O18" s="8"/>
      <c r="P18" s="8">
        <v>75</v>
      </c>
      <c r="Q18" s="8">
        <v>13</v>
      </c>
      <c r="R18" s="49">
        <v>32.218000000000004</v>
      </c>
      <c r="S18" s="8">
        <v>256.7</v>
      </c>
      <c r="T18" s="8"/>
      <c r="U18" s="8">
        <v>114</v>
      </c>
      <c r="V18" s="8">
        <v>12</v>
      </c>
      <c r="W18" s="49">
        <v>29.21</v>
      </c>
      <c r="X18" s="8">
        <v>250.6</v>
      </c>
      <c r="Y18" s="8"/>
      <c r="Z18" s="8">
        <v>96</v>
      </c>
      <c r="AA18" s="8">
        <v>16</v>
      </c>
      <c r="AB18" s="8">
        <v>30.6</v>
      </c>
      <c r="AC18" s="8">
        <v>250.9</v>
      </c>
      <c r="AD18" s="8">
        <v>156.9</v>
      </c>
      <c r="AE18" s="8">
        <v>104</v>
      </c>
      <c r="AF18" s="8">
        <v>15</v>
      </c>
      <c r="AG18" s="50">
        <v>29.6</v>
      </c>
      <c r="AH18" s="50">
        <f>'[1]KNAW-instituten-2'!J21</f>
        <v>250.2</v>
      </c>
      <c r="AI18" s="50">
        <f>'[1]KNAW-instituten-2'!O21</f>
        <v>151.80000000000001</v>
      </c>
      <c r="AJ18" s="50">
        <v>106</v>
      </c>
      <c r="AK18" s="50">
        <v>10</v>
      </c>
      <c r="AL18" s="8">
        <v>26.4</v>
      </c>
      <c r="AM18" s="8">
        <f>'[1]KNAW-instituten-2'!I21</f>
        <v>228</v>
      </c>
      <c r="AN18" s="8">
        <f>'[1]KNAW-instituten-2'!Q21</f>
        <v>138.4</v>
      </c>
      <c r="AO18" s="8">
        <v>123</v>
      </c>
      <c r="AP18" s="8">
        <v>14</v>
      </c>
      <c r="AQ18" s="8">
        <v>26</v>
      </c>
      <c r="AR18" s="8">
        <v>222.5</v>
      </c>
      <c r="AS18" s="8">
        <v>136.4</v>
      </c>
      <c r="AT18" s="8">
        <v>108</v>
      </c>
      <c r="AU18" s="8">
        <v>5</v>
      </c>
    </row>
    <row r="19" spans="1:47" ht="15" customHeight="1">
      <c r="A19" s="8" t="s">
        <v>41</v>
      </c>
      <c r="B19" s="8" t="s">
        <v>42</v>
      </c>
      <c r="C19" s="49">
        <v>19.600000000000001</v>
      </c>
      <c r="D19" s="8">
        <v>145.1</v>
      </c>
      <c r="E19" s="8">
        <f>D19-22.7</f>
        <v>122.39999999999999</v>
      </c>
      <c r="F19" s="8">
        <v>174</v>
      </c>
      <c r="G19" s="8">
        <v>11</v>
      </c>
      <c r="H19" s="49">
        <v>19.100000000000001</v>
      </c>
      <c r="I19" s="8">
        <v>150.30000000000001</v>
      </c>
      <c r="J19" s="8">
        <f>I19-24.3</f>
        <v>126.00000000000001</v>
      </c>
      <c r="K19" s="8">
        <v>211</v>
      </c>
      <c r="L19" s="8">
        <v>15</v>
      </c>
      <c r="M19" s="49">
        <v>19.3</v>
      </c>
      <c r="N19" s="8">
        <v>141.19999999999999</v>
      </c>
      <c r="O19" s="8"/>
      <c r="P19" s="8">
        <v>258</v>
      </c>
      <c r="Q19" s="8">
        <v>9</v>
      </c>
      <c r="R19" s="49">
        <v>17.477</v>
      </c>
      <c r="S19" s="8">
        <v>136.4</v>
      </c>
      <c r="T19" s="8"/>
      <c r="U19" s="8">
        <v>214</v>
      </c>
      <c r="V19" s="8">
        <v>8</v>
      </c>
      <c r="W19" s="49">
        <v>16.873000000000001</v>
      </c>
      <c r="X19" s="8">
        <v>143.80000000000001</v>
      </c>
      <c r="Y19" s="8"/>
      <c r="Z19" s="8">
        <v>216</v>
      </c>
      <c r="AA19" s="8">
        <v>7</v>
      </c>
      <c r="AB19" s="8">
        <v>17.3</v>
      </c>
      <c r="AC19" s="8">
        <v>145</v>
      </c>
      <c r="AD19" s="8">
        <v>78.099999999999994</v>
      </c>
      <c r="AE19" s="8">
        <v>225</v>
      </c>
      <c r="AF19" s="8"/>
      <c r="AG19" s="50">
        <v>17.399999999999999</v>
      </c>
      <c r="AH19" s="50">
        <f>'[1]KNAW-instituten-2'!J23</f>
        <v>149.69999999999999</v>
      </c>
      <c r="AI19" s="50">
        <f>'[1]KNAW-instituten-2'!O23</f>
        <v>89.1</v>
      </c>
      <c r="AJ19" s="50">
        <v>249</v>
      </c>
      <c r="AK19" s="50">
        <v>13</v>
      </c>
      <c r="AL19" s="8">
        <v>15.2</v>
      </c>
      <c r="AM19" s="8">
        <f>'[1]KNAW-instituten-2'!I23</f>
        <v>146.80000000000001</v>
      </c>
      <c r="AN19" s="8">
        <f>'[1]KNAW-instituten-2'!Q23</f>
        <v>84.9</v>
      </c>
      <c r="AO19" s="8">
        <v>244</v>
      </c>
      <c r="AP19" s="8">
        <v>10</v>
      </c>
      <c r="AQ19" s="8">
        <v>15.4</v>
      </c>
      <c r="AR19" s="8">
        <v>149.4</v>
      </c>
      <c r="AS19" s="8">
        <v>83.9</v>
      </c>
      <c r="AT19" s="8">
        <v>259</v>
      </c>
      <c r="AU19" s="8">
        <v>14</v>
      </c>
    </row>
    <row r="20" spans="1:47" ht="15" customHeight="1">
      <c r="A20" s="8" t="s">
        <v>81</v>
      </c>
      <c r="B20" s="8" t="s">
        <v>43</v>
      </c>
      <c r="C20" s="49">
        <v>23.1</v>
      </c>
      <c r="D20" s="8">
        <v>178.6</v>
      </c>
      <c r="E20" s="8">
        <f>D20-26.1</f>
        <v>152.5</v>
      </c>
      <c r="F20" s="8">
        <v>171</v>
      </c>
      <c r="G20" s="8">
        <v>15</v>
      </c>
      <c r="H20" s="49">
        <v>22.1</v>
      </c>
      <c r="I20" s="8">
        <v>164.5</v>
      </c>
      <c r="J20" s="8">
        <f>I20-25.8</f>
        <v>138.69999999999999</v>
      </c>
      <c r="K20" s="8">
        <v>189</v>
      </c>
      <c r="L20" s="8">
        <v>4</v>
      </c>
      <c r="M20" s="49">
        <v>20.8</v>
      </c>
      <c r="N20" s="8">
        <v>155.6</v>
      </c>
      <c r="O20" s="8"/>
      <c r="P20" s="8">
        <v>182</v>
      </c>
      <c r="Q20" s="8">
        <v>10</v>
      </c>
      <c r="R20" s="49">
        <v>18.905000000000001</v>
      </c>
      <c r="S20" s="8">
        <v>153.80000000000001</v>
      </c>
      <c r="T20" s="8"/>
      <c r="U20" s="8">
        <v>191</v>
      </c>
      <c r="V20" s="8">
        <v>9</v>
      </c>
      <c r="W20" s="49">
        <v>16.305</v>
      </c>
      <c r="X20" s="8">
        <v>147.1</v>
      </c>
      <c r="Y20" s="8"/>
      <c r="Z20" s="8">
        <v>190</v>
      </c>
      <c r="AA20" s="8">
        <v>8</v>
      </c>
      <c r="AB20" s="8">
        <v>16.899999999999999</v>
      </c>
      <c r="AC20" s="8">
        <v>137.9</v>
      </c>
      <c r="AD20" s="8">
        <v>66.3</v>
      </c>
      <c r="AE20" s="8">
        <v>163</v>
      </c>
      <c r="AF20" s="8">
        <v>2</v>
      </c>
      <c r="AG20" s="50">
        <v>16.899999999999999</v>
      </c>
      <c r="AH20" s="50">
        <f>'[1]KNAW-instituten-2'!J24</f>
        <v>134.5</v>
      </c>
      <c r="AI20" s="50">
        <f>'[1]KNAW-instituten-2'!O24</f>
        <v>67.599999999999994</v>
      </c>
      <c r="AJ20" s="50">
        <v>203</v>
      </c>
      <c r="AK20" s="50">
        <v>15</v>
      </c>
      <c r="AL20" s="8">
        <v>17.600000000000001</v>
      </c>
      <c r="AM20" s="8">
        <f>'[1]KNAW-instituten-2'!I24</f>
        <v>144.4</v>
      </c>
      <c r="AN20" s="8">
        <f>'[1]KNAW-instituten-2'!Q24</f>
        <v>79</v>
      </c>
      <c r="AO20" s="8">
        <v>194</v>
      </c>
      <c r="AP20" s="8">
        <v>13</v>
      </c>
      <c r="AQ20" s="8">
        <v>16.899999999999999</v>
      </c>
      <c r="AR20" s="8">
        <v>142.1</v>
      </c>
      <c r="AS20" s="8">
        <v>80.8</v>
      </c>
      <c r="AT20" s="8">
        <v>155</v>
      </c>
      <c r="AU20" s="8">
        <v>15</v>
      </c>
    </row>
    <row r="21" spans="1:47" ht="15" customHeight="1">
      <c r="A21" s="8" t="s">
        <v>48</v>
      </c>
      <c r="B21" s="8" t="s">
        <v>49</v>
      </c>
      <c r="C21" s="51">
        <v>1.1000000000000001</v>
      </c>
      <c r="D21" s="8">
        <v>5.4</v>
      </c>
      <c r="E21" s="8">
        <f>D21-1</f>
        <v>4.4000000000000004</v>
      </c>
      <c r="F21" s="51" t="s">
        <v>58</v>
      </c>
      <c r="G21" s="51" t="s">
        <v>58</v>
      </c>
      <c r="H21" s="51">
        <v>1.1000000000000001</v>
      </c>
      <c r="I21" s="8"/>
      <c r="J21" s="8"/>
      <c r="K21" s="51" t="s">
        <v>58</v>
      </c>
      <c r="L21" s="51" t="s">
        <v>58</v>
      </c>
      <c r="M21" s="51" t="s">
        <v>58</v>
      </c>
      <c r="N21" s="8"/>
      <c r="O21" s="8"/>
      <c r="P21" s="51" t="s">
        <v>58</v>
      </c>
      <c r="Q21" s="51" t="s">
        <v>58</v>
      </c>
      <c r="R21" s="51" t="s">
        <v>58</v>
      </c>
      <c r="S21" s="8">
        <v>5.6</v>
      </c>
      <c r="T21" s="8"/>
      <c r="U21" s="8">
        <v>34</v>
      </c>
      <c r="V21" s="51" t="s">
        <v>58</v>
      </c>
      <c r="W21" s="49">
        <v>2.851</v>
      </c>
      <c r="X21" s="8">
        <v>18.2</v>
      </c>
      <c r="Y21" s="8"/>
      <c r="Z21" s="8">
        <v>25</v>
      </c>
      <c r="AA21" s="8">
        <v>0</v>
      </c>
      <c r="AB21" s="8">
        <v>4.5999999999999996</v>
      </c>
      <c r="AC21" s="8">
        <v>14.5</v>
      </c>
      <c r="AD21" s="8">
        <v>10.7</v>
      </c>
      <c r="AE21" s="8">
        <v>32</v>
      </c>
      <c r="AF21" s="8">
        <v>2</v>
      </c>
      <c r="AG21" s="50">
        <v>5.9</v>
      </c>
      <c r="AH21" s="50">
        <f>'[1]KNAW-instituten-2'!J25</f>
        <v>11.6</v>
      </c>
      <c r="AI21" s="50">
        <f>'[1]KNAW-instituten-2'!O25</f>
        <v>8.6</v>
      </c>
      <c r="AJ21" s="50">
        <v>38</v>
      </c>
      <c r="AK21" s="50">
        <v>0</v>
      </c>
      <c r="AL21" s="8">
        <v>3.8</v>
      </c>
      <c r="AM21" s="8">
        <f>'[1]KNAW-instituten-2'!I25</f>
        <v>6.5</v>
      </c>
      <c r="AN21" s="8">
        <f>'[1]KNAW-instituten-2'!Q25</f>
        <v>3.4</v>
      </c>
      <c r="AO21" s="8">
        <v>22</v>
      </c>
      <c r="AP21" s="8">
        <v>0</v>
      </c>
      <c r="AQ21" s="8">
        <v>3.2</v>
      </c>
      <c r="AR21" s="8">
        <v>4.5</v>
      </c>
      <c r="AS21" s="8">
        <v>1.6</v>
      </c>
      <c r="AT21" s="8">
        <v>14</v>
      </c>
      <c r="AU21" s="8">
        <v>1</v>
      </c>
    </row>
    <row r="22" spans="1:47" ht="15" customHeight="1">
      <c r="A22" s="10" t="s">
        <v>44</v>
      </c>
      <c r="B22" s="10"/>
      <c r="C22" s="54"/>
      <c r="D22" s="10"/>
      <c r="E22" s="10"/>
      <c r="F22" s="10"/>
      <c r="G22" s="10"/>
      <c r="H22" s="54"/>
      <c r="I22" s="10"/>
      <c r="J22" s="10"/>
      <c r="K22" s="10"/>
      <c r="L22" s="10"/>
      <c r="M22" s="54"/>
      <c r="N22" s="10"/>
      <c r="O22" s="10"/>
      <c r="P22" s="10"/>
      <c r="Q22" s="10"/>
      <c r="R22" s="54"/>
      <c r="S22" s="10"/>
      <c r="T22" s="10"/>
      <c r="U22" s="10"/>
      <c r="V22" s="10"/>
      <c r="W22" s="54"/>
      <c r="X22" s="10"/>
      <c r="Y22" s="10"/>
      <c r="Z22" s="10"/>
      <c r="AA22" s="10"/>
      <c r="AB22" s="10"/>
      <c r="AC22" s="10"/>
      <c r="AD22" s="10"/>
      <c r="AE22" s="10"/>
      <c r="AF22" s="10"/>
      <c r="AG22" s="11">
        <f>AG23</f>
        <v>5.2</v>
      </c>
      <c r="AH22" s="11">
        <f t="shared" ref="AH22:AI22" si="7">AH23</f>
        <v>48.1</v>
      </c>
      <c r="AI22" s="11">
        <f t="shared" si="7"/>
        <v>35.6</v>
      </c>
      <c r="AJ22" s="11">
        <f t="shared" ref="AJ22:AK22" si="8">AJ23</f>
        <v>9</v>
      </c>
      <c r="AK22" s="11">
        <f t="shared" si="8"/>
        <v>0</v>
      </c>
      <c r="AL22" s="10">
        <f t="shared" ref="AL22:AU22" si="9">+SUM(AL23:AL23)</f>
        <v>4.8</v>
      </c>
      <c r="AM22" s="10">
        <f>'[1]KNAW-instituten-2'!I26</f>
        <v>45.3</v>
      </c>
      <c r="AN22" s="10">
        <f>'[1]KNAW-instituten-2'!Q26</f>
        <v>32.4</v>
      </c>
      <c r="AO22" s="10">
        <f t="shared" si="9"/>
        <v>10</v>
      </c>
      <c r="AP22" s="10">
        <f t="shared" si="9"/>
        <v>0</v>
      </c>
      <c r="AQ22" s="10">
        <f t="shared" si="9"/>
        <v>4.9000000000000004</v>
      </c>
      <c r="AR22" s="10">
        <f t="shared" si="9"/>
        <v>36.299999999999997</v>
      </c>
      <c r="AS22" s="10">
        <f t="shared" si="9"/>
        <v>24.5</v>
      </c>
      <c r="AT22" s="10">
        <f t="shared" si="9"/>
        <v>13</v>
      </c>
      <c r="AU22" s="10">
        <f t="shared" si="9"/>
        <v>0</v>
      </c>
    </row>
    <row r="23" spans="1:47" ht="15" customHeight="1">
      <c r="A23" s="8" t="s">
        <v>45</v>
      </c>
      <c r="B23" s="8" t="s">
        <v>46</v>
      </c>
      <c r="C23" s="49">
        <v>6.5</v>
      </c>
      <c r="D23" s="8">
        <v>55.4</v>
      </c>
      <c r="E23" s="8">
        <f>D23-8.4</f>
        <v>47</v>
      </c>
      <c r="F23" s="51" t="s">
        <v>58</v>
      </c>
      <c r="G23" s="51" t="s">
        <v>58</v>
      </c>
      <c r="H23" s="49">
        <v>6.1</v>
      </c>
      <c r="I23" s="8">
        <v>54.2</v>
      </c>
      <c r="J23" s="8">
        <f>I23-10.6</f>
        <v>43.6</v>
      </c>
      <c r="K23" s="51" t="s">
        <v>58</v>
      </c>
      <c r="L23" s="51" t="s">
        <v>58</v>
      </c>
      <c r="M23" s="49">
        <v>5.6</v>
      </c>
      <c r="N23" s="8">
        <v>49.6</v>
      </c>
      <c r="O23" s="8"/>
      <c r="P23" s="51" t="s">
        <v>58</v>
      </c>
      <c r="Q23" s="51" t="s">
        <v>58</v>
      </c>
      <c r="R23" s="49">
        <v>5.532</v>
      </c>
      <c r="S23" s="8">
        <v>49.8</v>
      </c>
      <c r="T23" s="8"/>
      <c r="U23" s="51" t="s">
        <v>58</v>
      </c>
      <c r="V23" s="51" t="s">
        <v>58</v>
      </c>
      <c r="W23" s="49">
        <v>5.39</v>
      </c>
      <c r="X23" s="8">
        <v>52</v>
      </c>
      <c r="Y23" s="8"/>
      <c r="Z23" s="8"/>
      <c r="AA23" s="8"/>
      <c r="AB23" s="8">
        <v>5.3</v>
      </c>
      <c r="AC23" s="8">
        <v>50.9</v>
      </c>
      <c r="AD23" s="8">
        <v>36.5</v>
      </c>
      <c r="AE23" s="8"/>
      <c r="AF23" s="8"/>
      <c r="AG23" s="50">
        <v>5.2</v>
      </c>
      <c r="AH23" s="50">
        <f>'[1]KNAW-instituten-2'!J27</f>
        <v>48.1</v>
      </c>
      <c r="AI23" s="50">
        <f>'[1]KNAW-instituten-2'!O27</f>
        <v>35.6</v>
      </c>
      <c r="AJ23" s="50">
        <v>9</v>
      </c>
      <c r="AK23" s="50">
        <v>0</v>
      </c>
      <c r="AL23" s="8">
        <v>4.8</v>
      </c>
      <c r="AM23" s="8">
        <f>'[1]KNAW-instituten-2'!I27</f>
        <v>45.3</v>
      </c>
      <c r="AN23" s="8">
        <f>'[1]KNAW-instituten-2'!Q27</f>
        <v>32.4</v>
      </c>
      <c r="AO23" s="8">
        <v>10</v>
      </c>
      <c r="AP23" s="8">
        <v>0</v>
      </c>
      <c r="AQ23" s="8">
        <v>4.9000000000000004</v>
      </c>
      <c r="AR23" s="8">
        <v>36.299999999999997</v>
      </c>
      <c r="AS23" s="8">
        <v>24.5</v>
      </c>
      <c r="AT23" s="8">
        <v>13</v>
      </c>
      <c r="AU23" s="8">
        <v>0</v>
      </c>
    </row>
    <row r="24" spans="1:47" ht="15" customHeight="1">
      <c r="A24" s="33"/>
    </row>
    <row r="25" spans="1:47" ht="15" customHeight="1">
      <c r="A25" s="65" t="s">
        <v>87</v>
      </c>
      <c r="AQ25" s="14"/>
    </row>
    <row r="26" spans="1:47" ht="15" customHeight="1">
      <c r="A26" s="33"/>
    </row>
    <row r="27" spans="1:47" ht="15" customHeight="1">
      <c r="A27" s="3" t="s">
        <v>56</v>
      </c>
    </row>
    <row r="28" spans="1:47" ht="15" customHeight="1">
      <c r="A28" s="15" t="s">
        <v>55</v>
      </c>
    </row>
    <row r="29" spans="1:47" ht="15" customHeight="1">
      <c r="A29" s="15" t="s">
        <v>69</v>
      </c>
    </row>
    <row r="30" spans="1:47" ht="15" customHeight="1">
      <c r="A30" s="16" t="s">
        <v>94</v>
      </c>
    </row>
    <row r="31" spans="1:47" ht="15" customHeight="1">
      <c r="A31" s="18" t="s">
        <v>95</v>
      </c>
    </row>
    <row r="32" spans="1:47" ht="15" customHeight="1">
      <c r="A32" s="18" t="s">
        <v>57</v>
      </c>
    </row>
    <row r="33" spans="1:1" ht="15" customHeight="1">
      <c r="A33" s="18" t="s">
        <v>96</v>
      </c>
    </row>
    <row r="34" spans="1:1" ht="15" customHeight="1">
      <c r="A34" s="18" t="s">
        <v>99</v>
      </c>
    </row>
    <row r="35" spans="1:1" ht="15" customHeight="1">
      <c r="A35" s="18" t="s">
        <v>117</v>
      </c>
    </row>
    <row r="36" spans="1:1" ht="15" customHeight="1">
      <c r="A36" s="18" t="s">
        <v>119</v>
      </c>
    </row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9e6ee499e436b529d82436e76b1a7b3a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6df4e2daa05c8d5154ef92d0ae29045c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FE571-7D6C-48C6-958F-648478577A72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2.xml><?xml version="1.0" encoding="utf-8"?>
<ds:datastoreItem xmlns:ds="http://schemas.openxmlformats.org/officeDocument/2006/customXml" ds:itemID="{650F5D02-8841-4A2E-99DD-B52B147DFE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194FB-BBD0-4B7F-ABA9-6F1E26BAB2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inhoud</vt:lpstr>
      <vt:lpstr>inkomsten</vt:lpstr>
      <vt:lpstr>inkomsten vanaf 2001</vt:lpstr>
      <vt:lpstr>uitgaven</vt:lpstr>
      <vt:lpstr>uitgaven 2001-2015</vt:lpstr>
      <vt:lpstr>uitgaven 2016-2024</vt:lpstr>
      <vt:lpstr>KNAW-instituten</vt:lpstr>
    </vt:vector>
  </TitlesOfParts>
  <Company>Rathenau Instituut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</dc:creator>
  <cp:lastModifiedBy>Yasha Tenhagen</cp:lastModifiedBy>
  <cp:lastPrinted>2015-09-03T10:23:44Z</cp:lastPrinted>
  <dcterms:created xsi:type="dcterms:W3CDTF">2009-09-30T13:38:46Z</dcterms:created>
  <dcterms:modified xsi:type="dcterms:W3CDTF">2025-12-09T14:40:44Z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