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C:\Users\PepijnH\Downloads\"/>
    </mc:Choice>
  </mc:AlternateContent>
  <xr:revisionPtr revIDLastSave="0" documentId="13_ncr:1_{296A380A-8619-4181-AB0B-C927672FC74A}" xr6:coauthVersionLast="47" xr6:coauthVersionMax="47" xr10:uidLastSave="{00000000-0000-0000-0000-000000000000}"/>
  <bookViews>
    <workbookView xWindow="-108" yWindow="-108" windowWidth="23256" windowHeight="12456" tabRatio="806" xr2:uid="{00000000-000D-0000-FFFF-FFFF00000000}"/>
  </bookViews>
  <sheets>
    <sheet name="Inhoud" sheetId="5" r:id="rId1"/>
    <sheet name="Toelichting" sheetId="9" r:id="rId2"/>
    <sheet name="Totaal" sheetId="4" r:id="rId3"/>
    <sheet name="R&amp;D" sheetId="1" r:id="rId4"/>
    <sheet name="Innovatie" sheetId="2" r:id="rId5"/>
    <sheet name="R&amp;D + Innovatie" sheetId="8" r:id="rId6"/>
    <sheet name="Fiscaal" sheetId="3" r:id="rId7"/>
    <sheet name="R&amp;D data voor NABS" sheetId="17" state="hidden" r:id="rId8"/>
    <sheet name="draaitabel voor NABS_2022" sheetId="18" state="hidden" r:id="rId9"/>
    <sheet name="Draaitabel" sheetId="12" state="hidden" r:id="rId10"/>
  </sheets>
  <definedNames>
    <definedName name="_xlnm._FilterDatabase" localSheetId="3" hidden="1">'R&amp;D'!$A$3:$X$3</definedName>
    <definedName name="_xlnm._FilterDatabase" localSheetId="7" hidden="1">'R&amp;D data voor NABS'!$A$3:$O$284</definedName>
    <definedName name="_xlnm.Print_Area" localSheetId="6">Fiscaal!$A$1:$I$65</definedName>
    <definedName name="_xlnm.Print_Area" localSheetId="0">Inhoud!$B$1:$B$11</definedName>
    <definedName name="_xlnm.Print_Area" localSheetId="4">Innovatie!$A$1:$L$163</definedName>
    <definedName name="_xlnm.Print_Area" localSheetId="3">'R&amp;D'!$A$1:$W$319</definedName>
    <definedName name="_xlnm.Print_Area" localSheetId="7">'R&amp;D data voor NABS'!$B$1:$O$289</definedName>
    <definedName name="_xlnm.Print_Area" localSheetId="1">Toelichting!$A$1:$A$53</definedName>
    <definedName name="_xlnm.Print_Titles" localSheetId="4">Innovatie!$A:$B,Innovatie!$2:$3</definedName>
    <definedName name="_xlnm.Print_Titles" localSheetId="3">'R&amp;D'!$A:$B,'R&amp;D'!$3:$4</definedName>
    <definedName name="_xlnm.Print_Titles" localSheetId="7">'R&amp;D data voor NABS'!$B:$C,'R&amp;D data voor NABS'!$3:$3</definedName>
  </definedNames>
  <calcPr calcId="191028"/>
  <pivotCaches>
    <pivotCache cacheId="0" r:id="rId11"/>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8" i="1" l="1"/>
  <c r="F318" i="1"/>
  <c r="G318" i="1"/>
  <c r="H318" i="1"/>
  <c r="I318" i="1"/>
  <c r="E319" i="1"/>
  <c r="F319" i="1"/>
  <c r="G319" i="1"/>
  <c r="H319" i="1"/>
  <c r="I319" i="1"/>
  <c r="H317" i="1" l="1"/>
  <c r="I317" i="1"/>
  <c r="G317" i="1"/>
  <c r="F317" i="1"/>
  <c r="E317" i="1"/>
  <c r="F20" i="4"/>
  <c r="I90" i="1"/>
  <c r="G13" i="4"/>
  <c r="U70" i="3" l="1"/>
  <c r="R41" i="1" l="1"/>
  <c r="S41" i="1"/>
  <c r="T41" i="1"/>
  <c r="U41" i="1"/>
  <c r="V41" i="1"/>
  <c r="W41" i="1"/>
  <c r="Q41" i="1"/>
  <c r="Q293" i="1"/>
  <c r="Q294" i="1"/>
  <c r="D288" i="1" l="1"/>
  <c r="E288" i="1"/>
  <c r="F288" i="1"/>
  <c r="G288" i="1"/>
  <c r="H288" i="1"/>
  <c r="I288" i="1"/>
  <c r="C23" i="1" l="1"/>
  <c r="Q117" i="1" l="1"/>
  <c r="R117" i="1"/>
  <c r="S117" i="1"/>
  <c r="T117" i="1"/>
  <c r="U117" i="1"/>
  <c r="V117" i="1"/>
  <c r="W117" i="1"/>
  <c r="Q118" i="1"/>
  <c r="R118" i="1"/>
  <c r="S118" i="1"/>
  <c r="T118" i="1"/>
  <c r="U118" i="1"/>
  <c r="V118" i="1"/>
  <c r="W118" i="1"/>
  <c r="C121" i="1"/>
  <c r="I261" i="1"/>
  <c r="C79" i="1" l="1"/>
  <c r="D219" i="1"/>
  <c r="C219" i="1"/>
  <c r="Q209" i="1"/>
  <c r="Q196" i="1"/>
  <c r="Q192" i="1"/>
  <c r="R192" i="1"/>
  <c r="S192" i="1"/>
  <c r="T192" i="1"/>
  <c r="U192" i="1"/>
  <c r="V192" i="1"/>
  <c r="W192" i="1"/>
  <c r="Q193" i="1"/>
  <c r="R193" i="1"/>
  <c r="S193" i="1"/>
  <c r="T193" i="1"/>
  <c r="U193" i="1"/>
  <c r="V193" i="1"/>
  <c r="W193" i="1"/>
  <c r="T139" i="1"/>
  <c r="U139" i="1"/>
  <c r="W135" i="1"/>
  <c r="W136" i="1"/>
  <c r="W146" i="1"/>
  <c r="W188" i="1"/>
  <c r="Q188" i="1"/>
  <c r="R188" i="1"/>
  <c r="S188" i="1"/>
  <c r="T188" i="1"/>
  <c r="U188" i="1"/>
  <c r="V188" i="1"/>
  <c r="Q146" i="1"/>
  <c r="R146" i="1"/>
  <c r="S146" i="1"/>
  <c r="T146" i="1"/>
  <c r="U146" i="1"/>
  <c r="V146" i="1"/>
  <c r="Q135" i="1"/>
  <c r="R135" i="1"/>
  <c r="S135" i="1"/>
  <c r="T135" i="1"/>
  <c r="U135" i="1"/>
  <c r="V135" i="1"/>
  <c r="Q136" i="1"/>
  <c r="R136" i="1"/>
  <c r="S136" i="1"/>
  <c r="T136" i="1"/>
  <c r="U136" i="1"/>
  <c r="V136" i="1"/>
  <c r="R209" i="1" l="1"/>
  <c r="S209" i="1"/>
  <c r="T209" i="1"/>
  <c r="U209" i="1"/>
  <c r="V209" i="1"/>
  <c r="W209" i="1"/>
  <c r="Q214" i="1" l="1"/>
  <c r="R214" i="1"/>
  <c r="S214" i="1"/>
  <c r="T214" i="1"/>
  <c r="U214" i="1"/>
  <c r="V214" i="1"/>
  <c r="W214" i="1"/>
  <c r="R259" i="1"/>
  <c r="S259" i="1"/>
  <c r="T259" i="1"/>
  <c r="U259" i="1"/>
  <c r="V259" i="1"/>
  <c r="W259" i="1"/>
  <c r="Q259" i="1"/>
  <c r="Q260" i="1"/>
  <c r="R260" i="1"/>
  <c r="S260" i="1"/>
  <c r="T260" i="1"/>
  <c r="U260" i="1"/>
  <c r="V260" i="1"/>
  <c r="W260" i="1"/>
  <c r="Q104" i="1" l="1"/>
  <c r="R104" i="1"/>
  <c r="S104" i="1"/>
  <c r="T104" i="1"/>
  <c r="U104" i="1"/>
  <c r="V104" i="1"/>
  <c r="W104" i="1"/>
  <c r="Q98" i="1"/>
  <c r="R98" i="1"/>
  <c r="S98" i="1"/>
  <c r="T98" i="1"/>
  <c r="U98" i="1"/>
  <c r="V98" i="1"/>
  <c r="W98" i="1"/>
  <c r="Q244" i="1" l="1"/>
  <c r="R244" i="1"/>
  <c r="S244" i="1"/>
  <c r="T244" i="1"/>
  <c r="U244" i="1"/>
  <c r="V244" i="1"/>
  <c r="W244" i="1"/>
  <c r="D261" i="1" l="1"/>
  <c r="C13" i="8" s="1"/>
  <c r="Q228" i="1"/>
  <c r="R225" i="1"/>
  <c r="S225" i="1"/>
  <c r="T225" i="1"/>
  <c r="U225" i="1"/>
  <c r="V225" i="1"/>
  <c r="W225" i="1"/>
  <c r="Q225" i="1"/>
  <c r="C8" i="1"/>
  <c r="D8" i="1"/>
  <c r="E8" i="1"/>
  <c r="F8" i="1"/>
  <c r="G8" i="1"/>
  <c r="H8" i="1"/>
  <c r="I8" i="1"/>
  <c r="D4" i="1"/>
  <c r="E4" i="1" s="1"/>
  <c r="F4" i="1" s="1"/>
  <c r="B12" i="8"/>
  <c r="W42" i="1"/>
  <c r="R76" i="1"/>
  <c r="S76" i="1"/>
  <c r="T76" i="1"/>
  <c r="U76" i="1"/>
  <c r="V76" i="1"/>
  <c r="W76" i="1"/>
  <c r="R77" i="1"/>
  <c r="S77" i="1"/>
  <c r="T77" i="1"/>
  <c r="U77" i="1"/>
  <c r="V77" i="1"/>
  <c r="W77" i="1"/>
  <c r="R78" i="1"/>
  <c r="S78" i="1"/>
  <c r="T78" i="1"/>
  <c r="U78" i="1"/>
  <c r="V78" i="1"/>
  <c r="W78" i="1"/>
  <c r="Q78" i="1"/>
  <c r="Q77" i="1"/>
  <c r="Q76" i="1"/>
  <c r="R35" i="1"/>
  <c r="S35" i="1"/>
  <c r="T35" i="1"/>
  <c r="U35" i="1"/>
  <c r="V35" i="1"/>
  <c r="W35" i="1"/>
  <c r="R36" i="1"/>
  <c r="S36" i="1"/>
  <c r="T36" i="1"/>
  <c r="U36" i="1"/>
  <c r="V36" i="1"/>
  <c r="W36" i="1"/>
  <c r="R37" i="1"/>
  <c r="S37" i="1"/>
  <c r="T37" i="1"/>
  <c r="U37" i="1"/>
  <c r="V37" i="1"/>
  <c r="W37" i="1"/>
  <c r="R38" i="1"/>
  <c r="S38" i="1"/>
  <c r="T38" i="1"/>
  <c r="U38" i="1"/>
  <c r="V38" i="1"/>
  <c r="W38" i="1"/>
  <c r="R40" i="1"/>
  <c r="S40" i="1"/>
  <c r="T40" i="1"/>
  <c r="U40" i="1"/>
  <c r="V40" i="1"/>
  <c r="W40" i="1"/>
  <c r="R42" i="1"/>
  <c r="S42" i="1"/>
  <c r="T42" i="1"/>
  <c r="U42" i="1"/>
  <c r="V42" i="1"/>
  <c r="R43" i="1"/>
  <c r="S43" i="1"/>
  <c r="T43" i="1"/>
  <c r="U43" i="1"/>
  <c r="V43" i="1"/>
  <c r="W43" i="1"/>
  <c r="R44" i="1"/>
  <c r="S44" i="1"/>
  <c r="T44" i="1"/>
  <c r="U44" i="1"/>
  <c r="V44" i="1"/>
  <c r="W44" i="1"/>
  <c r="R45" i="1"/>
  <c r="S45" i="1"/>
  <c r="T45" i="1"/>
  <c r="U45" i="1"/>
  <c r="V45" i="1"/>
  <c r="W45" i="1"/>
  <c r="R46" i="1"/>
  <c r="S46" i="1"/>
  <c r="T46" i="1"/>
  <c r="U46" i="1"/>
  <c r="V46" i="1"/>
  <c r="W46" i="1"/>
  <c r="R47" i="1"/>
  <c r="S47" i="1"/>
  <c r="T47" i="1"/>
  <c r="U47" i="1"/>
  <c r="V47" i="1"/>
  <c r="W47" i="1"/>
  <c r="Q47" i="1"/>
  <c r="Q46" i="1"/>
  <c r="Q45" i="1"/>
  <c r="Q44" i="1"/>
  <c r="Q43" i="1"/>
  <c r="Q42" i="1"/>
  <c r="Q40" i="1"/>
  <c r="Q38" i="1"/>
  <c r="Q37" i="1"/>
  <c r="Q36" i="1"/>
  <c r="Q35" i="1"/>
  <c r="C160" i="2"/>
  <c r="B48" i="8" s="1"/>
  <c r="C154" i="2"/>
  <c r="B47" i="8" s="1"/>
  <c r="C146" i="2"/>
  <c r="B46" i="8" s="1"/>
  <c r="D138" i="2"/>
  <c r="C45" i="8" s="1"/>
  <c r="E138" i="2"/>
  <c r="D45" i="8" s="1"/>
  <c r="F138" i="2"/>
  <c r="E45" i="8" s="1"/>
  <c r="G138" i="2"/>
  <c r="F45" i="8" s="1"/>
  <c r="H138" i="2"/>
  <c r="G45" i="8" s="1"/>
  <c r="I138" i="2"/>
  <c r="H45" i="8" s="1"/>
  <c r="C138" i="2"/>
  <c r="B45" i="8" s="1"/>
  <c r="C66" i="2"/>
  <c r="B43" i="8" s="1"/>
  <c r="D37" i="2"/>
  <c r="C41" i="8" s="1"/>
  <c r="E37" i="2"/>
  <c r="D41" i="8" s="1"/>
  <c r="F37" i="2"/>
  <c r="E41" i="8" s="1"/>
  <c r="G37" i="2"/>
  <c r="F41" i="8" s="1"/>
  <c r="H37" i="2"/>
  <c r="G41" i="8" s="1"/>
  <c r="I37" i="2"/>
  <c r="H41" i="8" s="1"/>
  <c r="C37" i="2"/>
  <c r="B41" i="8" s="1"/>
  <c r="D129" i="2"/>
  <c r="C44" i="8" s="1"/>
  <c r="E129" i="2"/>
  <c r="D44" i="8" s="1"/>
  <c r="F129" i="2"/>
  <c r="E44" i="8" s="1"/>
  <c r="G129" i="2"/>
  <c r="F44" i="8" s="1"/>
  <c r="H129" i="2"/>
  <c r="G44" i="8" s="1"/>
  <c r="I129" i="2"/>
  <c r="H44" i="8" s="1"/>
  <c r="C129" i="2"/>
  <c r="B44" i="8" s="1"/>
  <c r="I219" i="1"/>
  <c r="H12" i="8" s="1"/>
  <c r="D313" i="1"/>
  <c r="D15" i="8"/>
  <c r="F313" i="1"/>
  <c r="F15" i="8"/>
  <c r="H313" i="1"/>
  <c r="I313" i="1"/>
  <c r="C288" i="1"/>
  <c r="B15" i="8" s="1"/>
  <c r="C16" i="1"/>
  <c r="C304" i="1" s="1"/>
  <c r="C305" i="1"/>
  <c r="C32" i="1"/>
  <c r="C306" i="1" s="1"/>
  <c r="C307" i="1"/>
  <c r="C90" i="1"/>
  <c r="C308" i="1" s="1"/>
  <c r="C272" i="1"/>
  <c r="B14" i="8" s="1"/>
  <c r="C295" i="1"/>
  <c r="B16" i="8" s="1"/>
  <c r="D23" i="1"/>
  <c r="D305" i="1" s="1"/>
  <c r="E23" i="1"/>
  <c r="D7" i="8" s="1"/>
  <c r="D55" i="8" s="1"/>
  <c r="F23" i="1"/>
  <c r="E7" i="8" s="1"/>
  <c r="E55" i="8" s="1"/>
  <c r="G23" i="1"/>
  <c r="G305" i="1" s="1"/>
  <c r="H23" i="1"/>
  <c r="H305" i="1" s="1"/>
  <c r="I23" i="1"/>
  <c r="H7" i="8" s="1"/>
  <c r="E261" i="1"/>
  <c r="E311" i="1" s="1"/>
  <c r="F261" i="1"/>
  <c r="E13" i="8" s="1"/>
  <c r="G261" i="1"/>
  <c r="F13" i="8" s="1"/>
  <c r="H261" i="1"/>
  <c r="H311" i="1" s="1"/>
  <c r="I311" i="1"/>
  <c r="C12" i="8"/>
  <c r="E219" i="1"/>
  <c r="E310" i="1" s="1"/>
  <c r="F219" i="1"/>
  <c r="E12" i="8" s="1"/>
  <c r="G219" i="1"/>
  <c r="G310" i="1" s="1"/>
  <c r="H219" i="1"/>
  <c r="G12" i="8" s="1"/>
  <c r="Q268" i="1"/>
  <c r="R268" i="1"/>
  <c r="S268" i="1"/>
  <c r="T268" i="1"/>
  <c r="U268" i="1"/>
  <c r="V268" i="1"/>
  <c r="W268" i="1"/>
  <c r="Q31" i="1"/>
  <c r="R31" i="1"/>
  <c r="S31" i="1"/>
  <c r="T31" i="1"/>
  <c r="U31" i="1"/>
  <c r="V31" i="1"/>
  <c r="W31" i="1"/>
  <c r="D90" i="1"/>
  <c r="D308" i="1" s="1"/>
  <c r="Q218" i="1"/>
  <c r="R218" i="1"/>
  <c r="S218" i="1"/>
  <c r="T218" i="1"/>
  <c r="U218" i="1"/>
  <c r="V218" i="1"/>
  <c r="W218" i="1"/>
  <c r="Q189" i="1"/>
  <c r="R189" i="1"/>
  <c r="S189" i="1"/>
  <c r="T189" i="1"/>
  <c r="U189" i="1"/>
  <c r="V189" i="1"/>
  <c r="W189" i="1"/>
  <c r="Q190" i="1"/>
  <c r="R190" i="1"/>
  <c r="S190" i="1"/>
  <c r="T190" i="1"/>
  <c r="U190" i="1"/>
  <c r="V190" i="1"/>
  <c r="W190" i="1"/>
  <c r="Q176" i="1"/>
  <c r="R176" i="1"/>
  <c r="S176" i="1"/>
  <c r="T176" i="1"/>
  <c r="U176" i="1"/>
  <c r="V176" i="1"/>
  <c r="W176" i="1"/>
  <c r="Q177" i="1"/>
  <c r="R177" i="1"/>
  <c r="S177" i="1"/>
  <c r="T177" i="1"/>
  <c r="U177" i="1"/>
  <c r="V177" i="1"/>
  <c r="W177" i="1"/>
  <c r="Q178" i="1"/>
  <c r="R178" i="1"/>
  <c r="S178" i="1"/>
  <c r="T178" i="1"/>
  <c r="U178" i="1"/>
  <c r="V178" i="1"/>
  <c r="W178" i="1"/>
  <c r="Q179" i="1"/>
  <c r="R179" i="1"/>
  <c r="S179" i="1"/>
  <c r="T179" i="1"/>
  <c r="U179" i="1"/>
  <c r="V179" i="1"/>
  <c r="W179" i="1"/>
  <c r="Q180" i="1"/>
  <c r="R180" i="1"/>
  <c r="S180" i="1"/>
  <c r="T180" i="1"/>
  <c r="U180" i="1"/>
  <c r="V180" i="1"/>
  <c r="W180" i="1"/>
  <c r="Q181" i="1"/>
  <c r="R181" i="1"/>
  <c r="S181" i="1"/>
  <c r="T181" i="1"/>
  <c r="U181" i="1"/>
  <c r="V181" i="1"/>
  <c r="W181" i="1"/>
  <c r="Q182" i="1"/>
  <c r="R182" i="1"/>
  <c r="S182" i="1"/>
  <c r="T182" i="1"/>
  <c r="U182" i="1"/>
  <c r="V182" i="1"/>
  <c r="W182" i="1"/>
  <c r="Q252" i="1"/>
  <c r="R252" i="1"/>
  <c r="S252" i="1"/>
  <c r="T252" i="1"/>
  <c r="U252" i="1"/>
  <c r="V252" i="1"/>
  <c r="W252" i="1"/>
  <c r="Q253" i="1"/>
  <c r="R253" i="1"/>
  <c r="S253" i="1"/>
  <c r="T253" i="1"/>
  <c r="U253" i="1"/>
  <c r="V253" i="1"/>
  <c r="W253" i="1"/>
  <c r="Q254" i="1"/>
  <c r="R254" i="1"/>
  <c r="S254" i="1"/>
  <c r="T254" i="1"/>
  <c r="U254" i="1"/>
  <c r="V254" i="1"/>
  <c r="W254" i="1"/>
  <c r="Q255" i="1"/>
  <c r="R255" i="1"/>
  <c r="S255" i="1"/>
  <c r="T255" i="1"/>
  <c r="U255" i="1"/>
  <c r="V255" i="1"/>
  <c r="W255" i="1"/>
  <c r="Q256" i="1"/>
  <c r="R256" i="1"/>
  <c r="S256" i="1"/>
  <c r="T256" i="1"/>
  <c r="U256" i="1"/>
  <c r="V256" i="1"/>
  <c r="W256" i="1"/>
  <c r="Q257" i="1"/>
  <c r="R257" i="1"/>
  <c r="S257" i="1"/>
  <c r="T257" i="1"/>
  <c r="U257" i="1"/>
  <c r="V257" i="1"/>
  <c r="W257" i="1"/>
  <c r="Q258" i="1"/>
  <c r="R258" i="1"/>
  <c r="S258" i="1"/>
  <c r="T258" i="1"/>
  <c r="U258" i="1"/>
  <c r="V258" i="1"/>
  <c r="W258" i="1"/>
  <c r="Q230" i="1"/>
  <c r="R230" i="1"/>
  <c r="S230" i="1"/>
  <c r="T230" i="1"/>
  <c r="U230" i="1"/>
  <c r="V230" i="1"/>
  <c r="W230" i="1"/>
  <c r="Q231" i="1"/>
  <c r="R231" i="1"/>
  <c r="S231" i="1"/>
  <c r="T231" i="1"/>
  <c r="U231" i="1"/>
  <c r="V231" i="1"/>
  <c r="W231" i="1"/>
  <c r="Q232" i="1"/>
  <c r="R232" i="1"/>
  <c r="S232" i="1"/>
  <c r="T232" i="1"/>
  <c r="U232" i="1"/>
  <c r="V232" i="1"/>
  <c r="W232" i="1"/>
  <c r="Q233" i="1"/>
  <c r="R233" i="1"/>
  <c r="S233" i="1"/>
  <c r="T233" i="1"/>
  <c r="U233" i="1"/>
  <c r="V233" i="1"/>
  <c r="W233" i="1"/>
  <c r="Q234" i="1"/>
  <c r="R234" i="1"/>
  <c r="S234" i="1"/>
  <c r="T234" i="1"/>
  <c r="U234" i="1"/>
  <c r="V234" i="1"/>
  <c r="W234" i="1"/>
  <c r="Q235" i="1"/>
  <c r="R235" i="1"/>
  <c r="S235" i="1"/>
  <c r="T235" i="1"/>
  <c r="U235" i="1"/>
  <c r="V235" i="1"/>
  <c r="W235" i="1"/>
  <c r="Q236" i="1"/>
  <c r="R236" i="1"/>
  <c r="S236" i="1"/>
  <c r="T236" i="1"/>
  <c r="U236" i="1"/>
  <c r="V236" i="1"/>
  <c r="W236" i="1"/>
  <c r="Q237" i="1"/>
  <c r="R237" i="1"/>
  <c r="S237" i="1"/>
  <c r="T237" i="1"/>
  <c r="U237" i="1"/>
  <c r="V237" i="1"/>
  <c r="W237" i="1"/>
  <c r="Q238" i="1"/>
  <c r="R238" i="1"/>
  <c r="S238" i="1"/>
  <c r="T238" i="1"/>
  <c r="U238" i="1"/>
  <c r="V238" i="1"/>
  <c r="W238" i="1"/>
  <c r="Q239" i="1"/>
  <c r="R239" i="1"/>
  <c r="S239" i="1"/>
  <c r="T239" i="1"/>
  <c r="U239" i="1"/>
  <c r="V239" i="1"/>
  <c r="W239" i="1"/>
  <c r="Q240" i="1"/>
  <c r="R240" i="1"/>
  <c r="S240" i="1"/>
  <c r="T240" i="1"/>
  <c r="U240" i="1"/>
  <c r="V240" i="1"/>
  <c r="W240" i="1"/>
  <c r="Q241" i="1"/>
  <c r="R241" i="1"/>
  <c r="S241" i="1"/>
  <c r="T241" i="1"/>
  <c r="U241" i="1"/>
  <c r="V241" i="1"/>
  <c r="W241" i="1"/>
  <c r="W22" i="1"/>
  <c r="V22" i="1"/>
  <c r="U22" i="1"/>
  <c r="T22" i="1"/>
  <c r="S22" i="1"/>
  <c r="R22" i="1"/>
  <c r="Q22" i="1"/>
  <c r="W19" i="1"/>
  <c r="V19" i="1"/>
  <c r="U19" i="1"/>
  <c r="T19" i="1"/>
  <c r="S19" i="1"/>
  <c r="R19" i="1"/>
  <c r="Q19" i="1"/>
  <c r="T276" i="1"/>
  <c r="T277" i="1"/>
  <c r="T278" i="1"/>
  <c r="T279" i="1"/>
  <c r="T280" i="1"/>
  <c r="T281" i="1"/>
  <c r="T282" i="1"/>
  <c r="T283" i="1"/>
  <c r="T284" i="1"/>
  <c r="T285" i="1"/>
  <c r="T286" i="1"/>
  <c r="E31" i="8" s="1"/>
  <c r="S276" i="1"/>
  <c r="S277" i="1"/>
  <c r="S278" i="1"/>
  <c r="S279" i="1"/>
  <c r="S280" i="1"/>
  <c r="S281" i="1"/>
  <c r="S282" i="1"/>
  <c r="S283" i="1"/>
  <c r="S284" i="1"/>
  <c r="S285" i="1"/>
  <c r="R276" i="1"/>
  <c r="R277" i="1"/>
  <c r="R278" i="1"/>
  <c r="R279" i="1"/>
  <c r="R280" i="1"/>
  <c r="R281" i="1"/>
  <c r="R282" i="1"/>
  <c r="R283" i="1"/>
  <c r="R284" i="1"/>
  <c r="R285" i="1"/>
  <c r="U276" i="1"/>
  <c r="U277" i="1"/>
  <c r="U278" i="1"/>
  <c r="U279" i="1"/>
  <c r="U280" i="1"/>
  <c r="U281" i="1"/>
  <c r="U282" i="1"/>
  <c r="U283" i="1"/>
  <c r="U284" i="1"/>
  <c r="U285" i="1"/>
  <c r="V276" i="1"/>
  <c r="V277" i="1"/>
  <c r="V278" i="1"/>
  <c r="V279" i="1"/>
  <c r="V280" i="1"/>
  <c r="V281" i="1"/>
  <c r="V282" i="1"/>
  <c r="V283" i="1"/>
  <c r="V284" i="1"/>
  <c r="V285" i="1"/>
  <c r="W276" i="1"/>
  <c r="W277" i="1"/>
  <c r="W278" i="1"/>
  <c r="W279" i="1"/>
  <c r="W280" i="1"/>
  <c r="W281" i="1"/>
  <c r="W282" i="1"/>
  <c r="W283" i="1"/>
  <c r="W284" i="1"/>
  <c r="W285" i="1"/>
  <c r="R275" i="1"/>
  <c r="S275" i="1"/>
  <c r="T275" i="1"/>
  <c r="U275" i="1"/>
  <c r="V275" i="1"/>
  <c r="W275" i="1"/>
  <c r="Q275" i="1"/>
  <c r="Q276" i="1"/>
  <c r="Q277" i="1"/>
  <c r="Q278" i="1"/>
  <c r="Q279" i="1"/>
  <c r="Q280" i="1"/>
  <c r="Q281" i="1"/>
  <c r="Q282" i="1"/>
  <c r="Q283" i="1"/>
  <c r="Q284" i="1"/>
  <c r="Q285" i="1"/>
  <c r="Q265" i="1"/>
  <c r="Q266" i="1"/>
  <c r="Q267" i="1"/>
  <c r="Q269" i="1"/>
  <c r="Q270" i="1"/>
  <c r="Q271" i="1"/>
  <c r="B30" i="8" s="1"/>
  <c r="R265" i="1"/>
  <c r="R266" i="1"/>
  <c r="R267" i="1"/>
  <c r="R269" i="1"/>
  <c r="R270" i="1"/>
  <c r="R271" i="1"/>
  <c r="C30" i="8" s="1"/>
  <c r="S265" i="1"/>
  <c r="S266" i="1"/>
  <c r="S267" i="1"/>
  <c r="S269" i="1"/>
  <c r="S270" i="1"/>
  <c r="S271" i="1"/>
  <c r="D30" i="8" s="1"/>
  <c r="T265" i="1"/>
  <c r="T266" i="1"/>
  <c r="T267" i="1"/>
  <c r="T269" i="1"/>
  <c r="T270" i="1"/>
  <c r="T271" i="1"/>
  <c r="E30" i="8" s="1"/>
  <c r="U265" i="1"/>
  <c r="U266" i="1"/>
  <c r="U267" i="1"/>
  <c r="U269" i="1"/>
  <c r="U270" i="1"/>
  <c r="U271" i="1"/>
  <c r="F30" i="8" s="1"/>
  <c r="V265" i="1"/>
  <c r="V266" i="1"/>
  <c r="V267" i="1"/>
  <c r="V269" i="1"/>
  <c r="V270" i="1"/>
  <c r="V271" i="1"/>
  <c r="G30" i="8" s="1"/>
  <c r="W265" i="1"/>
  <c r="W266" i="1"/>
  <c r="W267" i="1"/>
  <c r="W269" i="1"/>
  <c r="W270" i="1"/>
  <c r="W271" i="1"/>
  <c r="H30" i="8" s="1"/>
  <c r="R264" i="1"/>
  <c r="S264" i="1"/>
  <c r="T264" i="1"/>
  <c r="U264" i="1"/>
  <c r="V264" i="1"/>
  <c r="W264" i="1"/>
  <c r="Q264" i="1"/>
  <c r="R207" i="1"/>
  <c r="S207" i="1"/>
  <c r="T207" i="1"/>
  <c r="U207" i="1"/>
  <c r="V207" i="1"/>
  <c r="W207" i="1"/>
  <c r="R206" i="1"/>
  <c r="S206" i="1"/>
  <c r="T206" i="1"/>
  <c r="U206" i="1"/>
  <c r="V206" i="1"/>
  <c r="W206" i="1"/>
  <c r="R203" i="1"/>
  <c r="S203" i="1"/>
  <c r="T203" i="1"/>
  <c r="U203" i="1"/>
  <c r="V203" i="1"/>
  <c r="W203" i="1"/>
  <c r="R201" i="1"/>
  <c r="S201" i="1"/>
  <c r="T201" i="1"/>
  <c r="U201" i="1"/>
  <c r="V201" i="1"/>
  <c r="W201" i="1"/>
  <c r="R200" i="1"/>
  <c r="S200" i="1"/>
  <c r="T200" i="1"/>
  <c r="U200" i="1"/>
  <c r="V200" i="1"/>
  <c r="W200" i="1"/>
  <c r="R199" i="1"/>
  <c r="S199" i="1"/>
  <c r="T199" i="1"/>
  <c r="U199" i="1"/>
  <c r="V199" i="1"/>
  <c r="W199" i="1"/>
  <c r="Q199" i="1"/>
  <c r="Q200" i="1"/>
  <c r="Q201" i="1"/>
  <c r="Q203" i="1"/>
  <c r="Q204" i="1"/>
  <c r="Q205" i="1"/>
  <c r="Q206" i="1"/>
  <c r="Q207" i="1"/>
  <c r="U132" i="1"/>
  <c r="V132" i="1"/>
  <c r="W132" i="1"/>
  <c r="T126" i="1"/>
  <c r="T127" i="1"/>
  <c r="T128" i="1"/>
  <c r="T129" i="1"/>
  <c r="T130" i="1"/>
  <c r="T131" i="1"/>
  <c r="T132" i="1"/>
  <c r="S126" i="1"/>
  <c r="S127" i="1"/>
  <c r="S128" i="1"/>
  <c r="S129" i="1"/>
  <c r="S130" i="1"/>
  <c r="S131" i="1"/>
  <c r="S132" i="1"/>
  <c r="R126" i="1"/>
  <c r="R127" i="1"/>
  <c r="R128" i="1"/>
  <c r="R129" i="1"/>
  <c r="R130" i="1"/>
  <c r="R131" i="1"/>
  <c r="R132" i="1"/>
  <c r="Q126" i="1"/>
  <c r="Q127" i="1"/>
  <c r="Q128" i="1"/>
  <c r="Q129" i="1"/>
  <c r="Q130" i="1"/>
  <c r="Q131" i="1"/>
  <c r="Q132" i="1"/>
  <c r="W93" i="1"/>
  <c r="W94" i="1"/>
  <c r="W95" i="1"/>
  <c r="W96" i="1"/>
  <c r="W97" i="1"/>
  <c r="W99" i="1"/>
  <c r="W100" i="1"/>
  <c r="W101" i="1"/>
  <c r="W102" i="1"/>
  <c r="W103" i="1"/>
  <c r="W105" i="1"/>
  <c r="W106" i="1"/>
  <c r="W107" i="1"/>
  <c r="W108" i="1"/>
  <c r="W109" i="1"/>
  <c r="W110" i="1"/>
  <c r="W111" i="1"/>
  <c r="W112" i="1"/>
  <c r="W113" i="1"/>
  <c r="W114" i="1"/>
  <c r="W115" i="1"/>
  <c r="W116" i="1"/>
  <c r="W119" i="1"/>
  <c r="V93" i="1"/>
  <c r="V94" i="1"/>
  <c r="V95" i="1"/>
  <c r="V96" i="1"/>
  <c r="V97" i="1"/>
  <c r="V99" i="1"/>
  <c r="V100" i="1"/>
  <c r="V101" i="1"/>
  <c r="V102" i="1"/>
  <c r="V103" i="1"/>
  <c r="V105" i="1"/>
  <c r="V106" i="1"/>
  <c r="V107" i="1"/>
  <c r="V108" i="1"/>
  <c r="V109" i="1"/>
  <c r="V110" i="1"/>
  <c r="V111" i="1"/>
  <c r="V112" i="1"/>
  <c r="V113" i="1"/>
  <c r="V114" i="1"/>
  <c r="V115" i="1"/>
  <c r="V116" i="1"/>
  <c r="V119" i="1"/>
  <c r="U93" i="1"/>
  <c r="U94" i="1"/>
  <c r="U95" i="1"/>
  <c r="U96" i="1"/>
  <c r="U97" i="1"/>
  <c r="U99" i="1"/>
  <c r="U100" i="1"/>
  <c r="U101" i="1"/>
  <c r="U102" i="1"/>
  <c r="U103" i="1"/>
  <c r="U105" i="1"/>
  <c r="U106" i="1"/>
  <c r="U107" i="1"/>
  <c r="U108" i="1"/>
  <c r="U109" i="1"/>
  <c r="U110" i="1"/>
  <c r="U111" i="1"/>
  <c r="U112" i="1"/>
  <c r="U113" i="1"/>
  <c r="U114" i="1"/>
  <c r="U115" i="1"/>
  <c r="U116" i="1"/>
  <c r="U119" i="1"/>
  <c r="T93" i="1"/>
  <c r="T94" i="1"/>
  <c r="T95" i="1"/>
  <c r="T96" i="1"/>
  <c r="T97" i="1"/>
  <c r="T99" i="1"/>
  <c r="T100" i="1"/>
  <c r="T101" i="1"/>
  <c r="T102" i="1"/>
  <c r="T103" i="1"/>
  <c r="T105" i="1"/>
  <c r="T106" i="1"/>
  <c r="T107" i="1"/>
  <c r="T108" i="1"/>
  <c r="T109" i="1"/>
  <c r="T110" i="1"/>
  <c r="T111" i="1"/>
  <c r="T112" i="1"/>
  <c r="T113" i="1"/>
  <c r="T114" i="1"/>
  <c r="T115" i="1"/>
  <c r="T116" i="1"/>
  <c r="T119" i="1"/>
  <c r="S93" i="1"/>
  <c r="S94" i="1"/>
  <c r="S95" i="1"/>
  <c r="S96" i="1"/>
  <c r="S97" i="1"/>
  <c r="S99" i="1"/>
  <c r="S100" i="1"/>
  <c r="S101" i="1"/>
  <c r="S102" i="1"/>
  <c r="S103" i="1"/>
  <c r="S105" i="1"/>
  <c r="S106" i="1"/>
  <c r="S107" i="1"/>
  <c r="S108" i="1"/>
  <c r="S109" i="1"/>
  <c r="S110" i="1"/>
  <c r="S111" i="1"/>
  <c r="S112" i="1"/>
  <c r="S113" i="1"/>
  <c r="S114" i="1"/>
  <c r="S115" i="1"/>
  <c r="S116" i="1"/>
  <c r="S119" i="1"/>
  <c r="R93" i="1"/>
  <c r="R94" i="1"/>
  <c r="R95" i="1"/>
  <c r="R96" i="1"/>
  <c r="R97" i="1"/>
  <c r="R99" i="1"/>
  <c r="R100" i="1"/>
  <c r="R101" i="1"/>
  <c r="R102" i="1"/>
  <c r="R103" i="1"/>
  <c r="R105" i="1"/>
  <c r="R106" i="1"/>
  <c r="R107" i="1"/>
  <c r="R108" i="1"/>
  <c r="R109" i="1"/>
  <c r="R110" i="1"/>
  <c r="R111" i="1"/>
  <c r="R112" i="1"/>
  <c r="R113" i="1"/>
  <c r="R114" i="1"/>
  <c r="R115" i="1"/>
  <c r="R116" i="1"/>
  <c r="R119" i="1"/>
  <c r="Q93" i="1"/>
  <c r="Q94" i="1"/>
  <c r="Q95" i="1"/>
  <c r="Q96" i="1"/>
  <c r="Q97" i="1"/>
  <c r="Q99" i="1"/>
  <c r="Q100" i="1"/>
  <c r="Q101" i="1"/>
  <c r="Q102" i="1"/>
  <c r="Q103" i="1"/>
  <c r="Q105" i="1"/>
  <c r="Q106" i="1"/>
  <c r="Q107" i="1"/>
  <c r="Q108" i="1"/>
  <c r="Q109" i="1"/>
  <c r="Q110" i="1"/>
  <c r="Q111" i="1"/>
  <c r="Q112" i="1"/>
  <c r="Q113" i="1"/>
  <c r="Q114" i="1"/>
  <c r="Q115" i="1"/>
  <c r="Q116" i="1"/>
  <c r="Q119" i="1"/>
  <c r="R7" i="1"/>
  <c r="R8" i="1" s="1"/>
  <c r="S7" i="1"/>
  <c r="S8" i="1" s="1"/>
  <c r="T7" i="1"/>
  <c r="T8" i="1" s="1"/>
  <c r="T302" i="1" s="1"/>
  <c r="U7" i="1"/>
  <c r="U8" i="1" s="1"/>
  <c r="U302" i="1" s="1"/>
  <c r="V7" i="1"/>
  <c r="V8" i="1" s="1"/>
  <c r="V302" i="1" s="1"/>
  <c r="W7" i="1"/>
  <c r="W8" i="1" s="1"/>
  <c r="Q7" i="1"/>
  <c r="Q8" i="1" s="1"/>
  <c r="W11" i="1"/>
  <c r="W12" i="1"/>
  <c r="W13" i="1"/>
  <c r="W14" i="1"/>
  <c r="W15" i="1"/>
  <c r="V11" i="1"/>
  <c r="V12" i="1"/>
  <c r="V13" i="1"/>
  <c r="V14" i="1"/>
  <c r="V15" i="1"/>
  <c r="U11" i="1"/>
  <c r="U12" i="1"/>
  <c r="U13" i="1"/>
  <c r="U14" i="1"/>
  <c r="U15" i="1"/>
  <c r="T11" i="1"/>
  <c r="T12" i="1"/>
  <c r="T13" i="1"/>
  <c r="T14" i="1"/>
  <c r="T15" i="1"/>
  <c r="S11" i="1"/>
  <c r="S12" i="1"/>
  <c r="S13" i="1"/>
  <c r="S14" i="1"/>
  <c r="S15" i="1"/>
  <c r="R11" i="1"/>
  <c r="R12" i="1"/>
  <c r="R13" i="1"/>
  <c r="R14" i="1"/>
  <c r="R15" i="1"/>
  <c r="Q11" i="1"/>
  <c r="Q12" i="1"/>
  <c r="Q13" i="1"/>
  <c r="Q14" i="1"/>
  <c r="Q15" i="1"/>
  <c r="D79" i="1"/>
  <c r="D307" i="1" s="1"/>
  <c r="E79" i="1"/>
  <c r="E307" i="1" s="1"/>
  <c r="G79" i="1"/>
  <c r="F9" i="8" s="1"/>
  <c r="H79" i="1"/>
  <c r="H307" i="1" s="1"/>
  <c r="F79" i="1"/>
  <c r="F307" i="1" s="1"/>
  <c r="I79" i="1"/>
  <c r="H9" i="8" s="1"/>
  <c r="W20" i="1"/>
  <c r="W21" i="1"/>
  <c r="V20" i="1"/>
  <c r="V21" i="1"/>
  <c r="U20" i="1"/>
  <c r="U21" i="1"/>
  <c r="T20" i="1"/>
  <c r="T21" i="1"/>
  <c r="S20" i="1"/>
  <c r="S21" i="1"/>
  <c r="R20" i="1"/>
  <c r="R21" i="1"/>
  <c r="Q20" i="1"/>
  <c r="Q21" i="1"/>
  <c r="H66" i="2"/>
  <c r="G43" i="8" s="1"/>
  <c r="I66" i="2"/>
  <c r="H43" i="8" s="1"/>
  <c r="C42" i="2"/>
  <c r="B42" i="8" s="1"/>
  <c r="D272" i="1"/>
  <c r="D312" i="1" s="1"/>
  <c r="D121" i="1"/>
  <c r="D309" i="1" s="1"/>
  <c r="E90" i="1"/>
  <c r="E308" i="1" s="1"/>
  <c r="F272" i="1"/>
  <c r="F312" i="1" s="1"/>
  <c r="Q185" i="1"/>
  <c r="R185" i="1"/>
  <c r="S185" i="1"/>
  <c r="T185" i="1"/>
  <c r="U185" i="1"/>
  <c r="V185" i="1"/>
  <c r="W185" i="1"/>
  <c r="R293" i="1"/>
  <c r="S293" i="1"/>
  <c r="T293" i="1"/>
  <c r="U293" i="1"/>
  <c r="V293" i="1"/>
  <c r="W293" i="1"/>
  <c r="B32" i="8"/>
  <c r="R294" i="1"/>
  <c r="C32" i="8" s="1"/>
  <c r="S294" i="1"/>
  <c r="D32" i="8" s="1"/>
  <c r="T294" i="1"/>
  <c r="E32" i="8" s="1"/>
  <c r="U294" i="1"/>
  <c r="F32" i="8" s="1"/>
  <c r="V294" i="1"/>
  <c r="G32" i="8" s="1"/>
  <c r="W294" i="1"/>
  <c r="R292" i="1"/>
  <c r="S292" i="1"/>
  <c r="T292" i="1"/>
  <c r="U292" i="1"/>
  <c r="V292" i="1"/>
  <c r="W292" i="1"/>
  <c r="Q292" i="1"/>
  <c r="Q217" i="1"/>
  <c r="R217" i="1"/>
  <c r="S217" i="1"/>
  <c r="T217" i="1"/>
  <c r="U217" i="1"/>
  <c r="V217" i="1"/>
  <c r="W217" i="1"/>
  <c r="Q216" i="1"/>
  <c r="R216" i="1"/>
  <c r="S216" i="1"/>
  <c r="T216" i="1"/>
  <c r="U216" i="1"/>
  <c r="V216" i="1"/>
  <c r="W216" i="1"/>
  <c r="Q198" i="1"/>
  <c r="R198" i="1"/>
  <c r="S198" i="1"/>
  <c r="T198" i="1"/>
  <c r="U198" i="1"/>
  <c r="V198" i="1"/>
  <c r="W198" i="1"/>
  <c r="Q197" i="1"/>
  <c r="R197" i="1"/>
  <c r="S197" i="1"/>
  <c r="T197" i="1"/>
  <c r="U197" i="1"/>
  <c r="V197" i="1"/>
  <c r="W197" i="1"/>
  <c r="R196" i="1"/>
  <c r="S196" i="1"/>
  <c r="T196" i="1"/>
  <c r="U196" i="1"/>
  <c r="V196" i="1"/>
  <c r="W196" i="1"/>
  <c r="Q167" i="1"/>
  <c r="R167" i="1"/>
  <c r="S167" i="1"/>
  <c r="T167" i="1"/>
  <c r="U167" i="1"/>
  <c r="V167" i="1"/>
  <c r="W167" i="1"/>
  <c r="Q166" i="1"/>
  <c r="R166" i="1"/>
  <c r="S166" i="1"/>
  <c r="T166" i="1"/>
  <c r="U166" i="1"/>
  <c r="V166" i="1"/>
  <c r="W166" i="1"/>
  <c r="Q165" i="1"/>
  <c r="R165" i="1"/>
  <c r="S165" i="1"/>
  <c r="T165" i="1"/>
  <c r="U165" i="1"/>
  <c r="V165" i="1"/>
  <c r="W165" i="1"/>
  <c r="Q134" i="1"/>
  <c r="R134" i="1"/>
  <c r="S134" i="1"/>
  <c r="T134" i="1"/>
  <c r="U134" i="1"/>
  <c r="V134" i="1"/>
  <c r="W134" i="1"/>
  <c r="Q147" i="1"/>
  <c r="R147" i="1"/>
  <c r="S147" i="1"/>
  <c r="T147" i="1"/>
  <c r="U147" i="1"/>
  <c r="V147" i="1"/>
  <c r="W147" i="1"/>
  <c r="Q143" i="1"/>
  <c r="R143" i="1"/>
  <c r="S143" i="1"/>
  <c r="T143" i="1"/>
  <c r="U143" i="1"/>
  <c r="V143" i="1"/>
  <c r="W143" i="1"/>
  <c r="Q139" i="1"/>
  <c r="R139" i="1"/>
  <c r="S139" i="1"/>
  <c r="V139" i="1"/>
  <c r="W139" i="1"/>
  <c r="Q138" i="1"/>
  <c r="R138" i="1"/>
  <c r="S138" i="1"/>
  <c r="T138" i="1"/>
  <c r="U138" i="1"/>
  <c r="V138" i="1"/>
  <c r="W138" i="1"/>
  <c r="I121" i="1"/>
  <c r="I309" i="1" s="1"/>
  <c r="H121" i="1"/>
  <c r="G11" i="8" s="1"/>
  <c r="G121" i="1"/>
  <c r="G309" i="1" s="1"/>
  <c r="F121" i="1"/>
  <c r="E11" i="8" s="1"/>
  <c r="E121" i="1"/>
  <c r="E309" i="1" s="1"/>
  <c r="G66" i="2"/>
  <c r="F43" i="8" s="1"/>
  <c r="F66" i="2"/>
  <c r="E43" i="8" s="1"/>
  <c r="E66" i="2"/>
  <c r="D43" i="8" s="1"/>
  <c r="D66" i="2"/>
  <c r="C43" i="8" s="1"/>
  <c r="R312" i="1"/>
  <c r="S312" i="1"/>
  <c r="T312" i="1"/>
  <c r="U312" i="1"/>
  <c r="V312" i="1"/>
  <c r="W312" i="1"/>
  <c r="Q312" i="1"/>
  <c r="R286" i="1"/>
  <c r="C31" i="8" s="1"/>
  <c r="S286" i="1"/>
  <c r="D31" i="8" s="1"/>
  <c r="U286" i="1"/>
  <c r="V286" i="1"/>
  <c r="G31" i="8" s="1"/>
  <c r="W286" i="1"/>
  <c r="H31" i="8" s="1"/>
  <c r="Q286" i="1"/>
  <c r="B31" i="8" s="1"/>
  <c r="W223" i="1"/>
  <c r="W224" i="1"/>
  <c r="W226" i="1"/>
  <c r="W227" i="1"/>
  <c r="W228" i="1"/>
  <c r="W229" i="1"/>
  <c r="W242" i="1"/>
  <c r="W243" i="1"/>
  <c r="W245" i="1"/>
  <c r="W246" i="1"/>
  <c r="W247" i="1"/>
  <c r="W248" i="1"/>
  <c r="W249" i="1"/>
  <c r="W250" i="1"/>
  <c r="W251" i="1"/>
  <c r="V223" i="1"/>
  <c r="V224" i="1"/>
  <c r="V226" i="1"/>
  <c r="V227" i="1"/>
  <c r="V228" i="1"/>
  <c r="V229" i="1"/>
  <c r="V242" i="1"/>
  <c r="V243" i="1"/>
  <c r="V245" i="1"/>
  <c r="V246" i="1"/>
  <c r="V247" i="1"/>
  <c r="V248" i="1"/>
  <c r="V249" i="1"/>
  <c r="V250" i="1"/>
  <c r="V251" i="1"/>
  <c r="U223" i="1"/>
  <c r="U224" i="1"/>
  <c r="U226" i="1"/>
  <c r="U227" i="1"/>
  <c r="U228" i="1"/>
  <c r="U229" i="1"/>
  <c r="U242" i="1"/>
  <c r="U243" i="1"/>
  <c r="U245" i="1"/>
  <c r="U246" i="1"/>
  <c r="U247" i="1"/>
  <c r="U248" i="1"/>
  <c r="U249" i="1"/>
  <c r="U250" i="1"/>
  <c r="U251" i="1"/>
  <c r="T223" i="1"/>
  <c r="T224" i="1"/>
  <c r="T226" i="1"/>
  <c r="T227" i="1"/>
  <c r="T228" i="1"/>
  <c r="T229" i="1"/>
  <c r="T242" i="1"/>
  <c r="T243" i="1"/>
  <c r="T245" i="1"/>
  <c r="T246" i="1"/>
  <c r="T247" i="1"/>
  <c r="T248" i="1"/>
  <c r="T249" i="1"/>
  <c r="T250" i="1"/>
  <c r="T251" i="1"/>
  <c r="S223" i="1"/>
  <c r="S224" i="1"/>
  <c r="S226" i="1"/>
  <c r="S227" i="1"/>
  <c r="S228" i="1"/>
  <c r="S229" i="1"/>
  <c r="S242" i="1"/>
  <c r="S243" i="1"/>
  <c r="S245" i="1"/>
  <c r="S246" i="1"/>
  <c r="S247" i="1"/>
  <c r="S248" i="1"/>
  <c r="S249" i="1"/>
  <c r="S250" i="1"/>
  <c r="S251" i="1"/>
  <c r="R223" i="1"/>
  <c r="R224" i="1"/>
  <c r="R226" i="1"/>
  <c r="R227" i="1"/>
  <c r="R228" i="1"/>
  <c r="R229" i="1"/>
  <c r="R242" i="1"/>
  <c r="R243" i="1"/>
  <c r="R245" i="1"/>
  <c r="R246" i="1"/>
  <c r="R247" i="1"/>
  <c r="R248" i="1"/>
  <c r="R249" i="1"/>
  <c r="R250" i="1"/>
  <c r="R251" i="1"/>
  <c r="Q223" i="1"/>
  <c r="Q224" i="1"/>
  <c r="Q226" i="1"/>
  <c r="Q227" i="1"/>
  <c r="Q229" i="1"/>
  <c r="Q242" i="1"/>
  <c r="Q243" i="1"/>
  <c r="Q245" i="1"/>
  <c r="Q246" i="1"/>
  <c r="Q247" i="1"/>
  <c r="Q248" i="1"/>
  <c r="Q249" i="1"/>
  <c r="Q250" i="1"/>
  <c r="Q251" i="1"/>
  <c r="Q222" i="1"/>
  <c r="T83" i="1"/>
  <c r="T84" i="1"/>
  <c r="T85" i="1"/>
  <c r="T86" i="1"/>
  <c r="T87" i="1"/>
  <c r="T88" i="1"/>
  <c r="T89" i="1"/>
  <c r="S83" i="1"/>
  <c r="S84" i="1"/>
  <c r="S85" i="1"/>
  <c r="S86" i="1"/>
  <c r="S87" i="1"/>
  <c r="S88" i="1"/>
  <c r="S89" i="1"/>
  <c r="R83" i="1"/>
  <c r="R84" i="1"/>
  <c r="R85" i="1"/>
  <c r="R86" i="1"/>
  <c r="R87" i="1"/>
  <c r="R88" i="1"/>
  <c r="R89" i="1"/>
  <c r="Q83" i="1"/>
  <c r="Q84" i="1"/>
  <c r="Q85" i="1"/>
  <c r="Q86" i="1"/>
  <c r="Q87" i="1"/>
  <c r="Q88" i="1"/>
  <c r="Q89" i="1"/>
  <c r="Q82" i="1"/>
  <c r="R30" i="1"/>
  <c r="S30" i="1"/>
  <c r="T30" i="1"/>
  <c r="U30" i="1"/>
  <c r="V30" i="1"/>
  <c r="W30" i="1"/>
  <c r="R29" i="1"/>
  <c r="S29" i="1"/>
  <c r="T29" i="1"/>
  <c r="U29" i="1"/>
  <c r="V29" i="1"/>
  <c r="W29" i="1"/>
  <c r="Q29" i="1"/>
  <c r="Q30" i="1"/>
  <c r="Q27" i="1"/>
  <c r="Q26" i="1"/>
  <c r="R222" i="1"/>
  <c r="S222" i="1"/>
  <c r="T222" i="1"/>
  <c r="U222" i="1"/>
  <c r="V222" i="1"/>
  <c r="W222" i="1"/>
  <c r="I32" i="1"/>
  <c r="I306" i="1" s="1"/>
  <c r="H32" i="1"/>
  <c r="H306" i="1" s="1"/>
  <c r="G32" i="1"/>
  <c r="G306" i="1" s="1"/>
  <c r="F32" i="1"/>
  <c r="F306" i="1" s="1"/>
  <c r="E32" i="1"/>
  <c r="D8" i="8" s="1"/>
  <c r="D56" i="8" s="1"/>
  <c r="D32" i="1"/>
  <c r="D306" i="1" s="1"/>
  <c r="U85" i="1"/>
  <c r="V85" i="1"/>
  <c r="W85" i="1"/>
  <c r="U89" i="1"/>
  <c r="V89" i="1"/>
  <c r="W89" i="1"/>
  <c r="U88" i="1"/>
  <c r="V88" i="1"/>
  <c r="W88" i="1"/>
  <c r="U87" i="1"/>
  <c r="V87" i="1"/>
  <c r="W87" i="1"/>
  <c r="U83" i="1"/>
  <c r="V83" i="1"/>
  <c r="W83" i="1"/>
  <c r="U84" i="1"/>
  <c r="V84" i="1"/>
  <c r="W84" i="1"/>
  <c r="D42" i="2"/>
  <c r="C42" i="8" s="1"/>
  <c r="E42" i="2"/>
  <c r="D42" i="8" s="1"/>
  <c r="F42" i="2"/>
  <c r="E42" i="8" s="1"/>
  <c r="G42" i="2"/>
  <c r="F42" i="8" s="1"/>
  <c r="H42" i="2"/>
  <c r="G42" i="8" s="1"/>
  <c r="I42" i="2"/>
  <c r="H42" i="8" s="1"/>
  <c r="F146" i="2"/>
  <c r="E46" i="8" s="1"/>
  <c r="I146" i="2"/>
  <c r="H46" i="8" s="1"/>
  <c r="H146" i="2"/>
  <c r="G46" i="8" s="1"/>
  <c r="G146" i="2"/>
  <c r="F46" i="8" s="1"/>
  <c r="E146" i="2"/>
  <c r="D46" i="8" s="1"/>
  <c r="D146" i="2"/>
  <c r="C46" i="8" s="1"/>
  <c r="I272" i="1"/>
  <c r="I312" i="1" s="1"/>
  <c r="H272" i="1"/>
  <c r="G14" i="8" s="1"/>
  <c r="G272" i="1"/>
  <c r="G312" i="1" s="1"/>
  <c r="E272" i="1"/>
  <c r="E312" i="1" s="1"/>
  <c r="F160" i="2"/>
  <c r="E48" i="8" s="1"/>
  <c r="G154" i="2"/>
  <c r="F47" i="8" s="1"/>
  <c r="Q215" i="1"/>
  <c r="R215" i="1"/>
  <c r="S215" i="1"/>
  <c r="T215" i="1"/>
  <c r="U215" i="1"/>
  <c r="V215" i="1"/>
  <c r="W215" i="1"/>
  <c r="Q213" i="1"/>
  <c r="R213" i="1"/>
  <c r="S213" i="1"/>
  <c r="T213" i="1"/>
  <c r="U213" i="1"/>
  <c r="V213" i="1"/>
  <c r="W213" i="1"/>
  <c r="Q164" i="1"/>
  <c r="R164" i="1"/>
  <c r="S164" i="1"/>
  <c r="T164" i="1"/>
  <c r="U164" i="1"/>
  <c r="V164" i="1"/>
  <c r="W164" i="1"/>
  <c r="Q163" i="1"/>
  <c r="R163" i="1"/>
  <c r="S163" i="1"/>
  <c r="T163" i="1"/>
  <c r="U163" i="1"/>
  <c r="V163" i="1"/>
  <c r="W163" i="1"/>
  <c r="Q162" i="1"/>
  <c r="R162" i="1"/>
  <c r="S162" i="1"/>
  <c r="T162" i="1"/>
  <c r="U162" i="1"/>
  <c r="V162" i="1"/>
  <c r="W162" i="1"/>
  <c r="R120" i="1"/>
  <c r="S120" i="1"/>
  <c r="T120" i="1"/>
  <c r="U120" i="1"/>
  <c r="V120" i="1"/>
  <c r="W120" i="1"/>
  <c r="Q120" i="1"/>
  <c r="C13" i="3"/>
  <c r="D8" i="4" s="1"/>
  <c r="D13" i="3"/>
  <c r="E8" i="4" s="1"/>
  <c r="E13" i="3"/>
  <c r="F8" i="4" s="1"/>
  <c r="F13" i="3"/>
  <c r="G13" i="3"/>
  <c r="H8" i="4" s="1"/>
  <c r="H13" i="3"/>
  <c r="I8" i="4" s="1"/>
  <c r="B13" i="3"/>
  <c r="C7" i="3"/>
  <c r="D7" i="3"/>
  <c r="E7" i="3"/>
  <c r="F7" i="3"/>
  <c r="G7" i="3"/>
  <c r="G15" i="3" s="1"/>
  <c r="H7" i="4" s="1"/>
  <c r="H7" i="3"/>
  <c r="B7" i="3"/>
  <c r="B15" i="3" s="1"/>
  <c r="C7" i="4" s="1"/>
  <c r="F15" i="3"/>
  <c r="G7" i="4" s="1"/>
  <c r="Q148" i="1"/>
  <c r="W86" i="1"/>
  <c r="V86" i="1"/>
  <c r="U86" i="1"/>
  <c r="U131" i="1"/>
  <c r="V131" i="1"/>
  <c r="W131" i="1"/>
  <c r="D3" i="17"/>
  <c r="G48" i="18"/>
  <c r="C46" i="18"/>
  <c r="D46" i="18"/>
  <c r="E46" i="18"/>
  <c r="F46" i="18"/>
  <c r="G46" i="18"/>
  <c r="H46" i="18"/>
  <c r="H48" i="18" s="1"/>
  <c r="B46" i="18"/>
  <c r="B48" i="18" s="1"/>
  <c r="C45" i="18"/>
  <c r="C48" i="18" s="1"/>
  <c r="D45" i="18"/>
  <c r="D48" i="18" s="1"/>
  <c r="E45" i="18"/>
  <c r="E48" i="18"/>
  <c r="F45" i="18"/>
  <c r="F48" i="18"/>
  <c r="G45" i="18"/>
  <c r="H45" i="18"/>
  <c r="B45" i="18"/>
  <c r="J284" i="17"/>
  <c r="I284" i="17"/>
  <c r="H284" i="17"/>
  <c r="G284" i="17"/>
  <c r="F284" i="17"/>
  <c r="J283" i="17"/>
  <c r="I283" i="17"/>
  <c r="H283" i="17"/>
  <c r="G283" i="17"/>
  <c r="F283" i="17"/>
  <c r="J282" i="17"/>
  <c r="I282" i="17"/>
  <c r="H282" i="17"/>
  <c r="G282" i="17"/>
  <c r="F282" i="17"/>
  <c r="J281" i="17"/>
  <c r="I281" i="17"/>
  <c r="H281" i="17"/>
  <c r="G281" i="17"/>
  <c r="F281" i="17"/>
  <c r="J280" i="17"/>
  <c r="I280" i="17"/>
  <c r="H280" i="17"/>
  <c r="G280" i="17"/>
  <c r="F280" i="17"/>
  <c r="J279" i="17"/>
  <c r="I279" i="17"/>
  <c r="H279" i="17"/>
  <c r="G279" i="17"/>
  <c r="F279" i="17"/>
  <c r="H190" i="17"/>
  <c r="G190" i="17"/>
  <c r="F190" i="17"/>
  <c r="E190" i="17"/>
  <c r="H189" i="17"/>
  <c r="G189" i="17"/>
  <c r="F189" i="17"/>
  <c r="E189" i="17"/>
  <c r="F188" i="17"/>
  <c r="E188" i="17"/>
  <c r="F187" i="17"/>
  <c r="E187" i="17"/>
  <c r="I184" i="17"/>
  <c r="H184" i="17"/>
  <c r="G184" i="17"/>
  <c r="F184" i="17"/>
  <c r="E184" i="17"/>
  <c r="I183" i="17"/>
  <c r="H183" i="17"/>
  <c r="G183" i="17"/>
  <c r="F183" i="17"/>
  <c r="E183" i="17"/>
  <c r="I182" i="17"/>
  <c r="H182" i="17"/>
  <c r="G182" i="17"/>
  <c r="F182" i="17"/>
  <c r="E182" i="17"/>
  <c r="I181" i="17"/>
  <c r="H181" i="17"/>
  <c r="G181" i="17"/>
  <c r="F181" i="17"/>
  <c r="E181" i="17"/>
  <c r="I180" i="17"/>
  <c r="H180" i="17"/>
  <c r="G180" i="17"/>
  <c r="F180" i="17"/>
  <c r="E180" i="17"/>
  <c r="I211" i="17"/>
  <c r="H211" i="17"/>
  <c r="G211" i="17"/>
  <c r="F211" i="17"/>
  <c r="E211" i="17"/>
  <c r="I210" i="17"/>
  <c r="H210" i="17"/>
  <c r="G210" i="17"/>
  <c r="F210" i="17"/>
  <c r="E210" i="17"/>
  <c r="I209" i="17"/>
  <c r="H209" i="17"/>
  <c r="G209" i="17"/>
  <c r="F209" i="17"/>
  <c r="E209" i="17"/>
  <c r="I208" i="17"/>
  <c r="H208" i="17"/>
  <c r="G208" i="17"/>
  <c r="F208" i="17"/>
  <c r="E208" i="17"/>
  <c r="I206" i="17"/>
  <c r="H206" i="17"/>
  <c r="G206" i="17"/>
  <c r="F206" i="17"/>
  <c r="E206" i="17"/>
  <c r="I205" i="17"/>
  <c r="H205" i="17"/>
  <c r="G205" i="17"/>
  <c r="F205" i="17"/>
  <c r="E205" i="17"/>
  <c r="I204" i="17"/>
  <c r="H204" i="17"/>
  <c r="G204" i="17"/>
  <c r="F204" i="17"/>
  <c r="E204" i="17"/>
  <c r="I203" i="17"/>
  <c r="H203" i="17"/>
  <c r="G203" i="17"/>
  <c r="F203" i="17"/>
  <c r="E203" i="17"/>
  <c r="J178" i="17"/>
  <c r="I178" i="17"/>
  <c r="H178" i="17"/>
  <c r="G178" i="17"/>
  <c r="F178" i="17"/>
  <c r="E178" i="17"/>
  <c r="J177" i="17"/>
  <c r="I177" i="17"/>
  <c r="H177" i="17"/>
  <c r="G177" i="17"/>
  <c r="F177" i="17"/>
  <c r="E177" i="17"/>
  <c r="J176" i="17"/>
  <c r="I176" i="17"/>
  <c r="H176" i="17"/>
  <c r="G176" i="17"/>
  <c r="F176" i="17"/>
  <c r="E176" i="17"/>
  <c r="J175" i="17"/>
  <c r="I175" i="17"/>
  <c r="H175" i="17"/>
  <c r="G175" i="17"/>
  <c r="F175" i="17"/>
  <c r="E175" i="17"/>
  <c r="D175" i="17"/>
  <c r="J174" i="17"/>
  <c r="I174" i="17"/>
  <c r="H174" i="17"/>
  <c r="G174" i="17"/>
  <c r="F174" i="17"/>
  <c r="E174" i="17"/>
  <c r="D174" i="17"/>
  <c r="J173" i="17"/>
  <c r="I173" i="17"/>
  <c r="H173" i="17"/>
  <c r="G173" i="17"/>
  <c r="F173" i="17"/>
  <c r="E173" i="17"/>
  <c r="D173" i="17"/>
  <c r="J172" i="17"/>
  <c r="I172" i="17"/>
  <c r="H172" i="17"/>
  <c r="G172" i="17"/>
  <c r="F172" i="17"/>
  <c r="E172" i="17"/>
  <c r="D172" i="17"/>
  <c r="I171" i="17"/>
  <c r="H171" i="17"/>
  <c r="G171" i="17"/>
  <c r="F171" i="17"/>
  <c r="E171" i="17"/>
  <c r="I170" i="17"/>
  <c r="H170" i="17"/>
  <c r="G170" i="17"/>
  <c r="F170" i="17"/>
  <c r="E170" i="17"/>
  <c r="I169" i="17"/>
  <c r="H169" i="17"/>
  <c r="G169" i="17"/>
  <c r="F169" i="17"/>
  <c r="E169" i="17"/>
  <c r="J23" i="17"/>
  <c r="I23" i="17"/>
  <c r="H23" i="17"/>
  <c r="G23" i="17"/>
  <c r="F23" i="17"/>
  <c r="E23" i="17"/>
  <c r="D23" i="17"/>
  <c r="J22" i="17"/>
  <c r="I22" i="17"/>
  <c r="H22" i="17"/>
  <c r="G22" i="17"/>
  <c r="F22" i="17"/>
  <c r="E22" i="17"/>
  <c r="D22" i="17"/>
  <c r="J21" i="17"/>
  <c r="I21" i="17"/>
  <c r="H21" i="17"/>
  <c r="G21" i="17"/>
  <c r="F21" i="17"/>
  <c r="E21" i="17"/>
  <c r="D21" i="17"/>
  <c r="J20" i="17"/>
  <c r="I20" i="17"/>
  <c r="H20" i="17"/>
  <c r="G20" i="17"/>
  <c r="F20" i="17"/>
  <c r="E20" i="17"/>
  <c r="D20" i="17"/>
  <c r="J19" i="17"/>
  <c r="I19" i="17"/>
  <c r="H19" i="17"/>
  <c r="G19" i="17"/>
  <c r="F19" i="17"/>
  <c r="E19" i="17"/>
  <c r="D19" i="17"/>
  <c r="J18" i="17"/>
  <c r="I18" i="17"/>
  <c r="H18" i="17"/>
  <c r="G18" i="17"/>
  <c r="F18" i="17"/>
  <c r="E18" i="17"/>
  <c r="D18" i="17"/>
  <c r="J17" i="17"/>
  <c r="J288" i="17" s="1"/>
  <c r="I17" i="17"/>
  <c r="I288" i="17" s="1"/>
  <c r="H17" i="17"/>
  <c r="G17" i="17"/>
  <c r="F17" i="17"/>
  <c r="E17" i="17"/>
  <c r="D17" i="17"/>
  <c r="J16" i="17"/>
  <c r="I16" i="17"/>
  <c r="H16" i="17"/>
  <c r="G16" i="17"/>
  <c r="F16" i="17"/>
  <c r="E16" i="17"/>
  <c r="D16" i="17"/>
  <c r="J15" i="17"/>
  <c r="I15" i="17"/>
  <c r="H15" i="17"/>
  <c r="H288" i="17" s="1"/>
  <c r="G15" i="17"/>
  <c r="G288" i="17" s="1"/>
  <c r="F15" i="17"/>
  <c r="F288" i="17" s="1"/>
  <c r="E15" i="17"/>
  <c r="E288" i="17" s="1"/>
  <c r="D15" i="17"/>
  <c r="D288" i="17" s="1"/>
  <c r="J3" i="17"/>
  <c r="I3" i="17"/>
  <c r="H3" i="17"/>
  <c r="G3" i="17"/>
  <c r="F3" i="17"/>
  <c r="E3" i="17"/>
  <c r="Q211" i="1"/>
  <c r="R211" i="1"/>
  <c r="S211" i="1"/>
  <c r="T211" i="1"/>
  <c r="U211" i="1"/>
  <c r="V211" i="1"/>
  <c r="W211" i="1"/>
  <c r="D160" i="2"/>
  <c r="C48" i="8" s="1"/>
  <c r="E160" i="2"/>
  <c r="D48" i="8" s="1"/>
  <c r="G160" i="2"/>
  <c r="F48" i="8" s="1"/>
  <c r="H160" i="2"/>
  <c r="G48" i="8" s="1"/>
  <c r="I160" i="2"/>
  <c r="H48" i="8" s="1"/>
  <c r="D295" i="1"/>
  <c r="D314" i="1" s="1"/>
  <c r="E295" i="1"/>
  <c r="E314" i="1" s="1"/>
  <c r="F295" i="1"/>
  <c r="E16" i="8" s="1"/>
  <c r="G295" i="1"/>
  <c r="G314" i="1" s="1"/>
  <c r="H295" i="1"/>
  <c r="G16" i="8" s="1"/>
  <c r="I295" i="1"/>
  <c r="H16" i="8" s="1"/>
  <c r="Q160" i="1"/>
  <c r="R160" i="1"/>
  <c r="S160" i="1"/>
  <c r="T160" i="1"/>
  <c r="U160" i="1"/>
  <c r="V160" i="1"/>
  <c r="W160" i="1"/>
  <c r="Q159" i="1"/>
  <c r="R159" i="1"/>
  <c r="S159" i="1"/>
  <c r="T159" i="1"/>
  <c r="U159" i="1"/>
  <c r="V159" i="1"/>
  <c r="W159" i="1"/>
  <c r="Q158" i="1"/>
  <c r="R158" i="1"/>
  <c r="S158" i="1"/>
  <c r="T158" i="1"/>
  <c r="U158" i="1"/>
  <c r="V158" i="1"/>
  <c r="W158" i="1"/>
  <c r="R168" i="1"/>
  <c r="S168" i="1"/>
  <c r="T168" i="1"/>
  <c r="U168" i="1"/>
  <c r="V168" i="1"/>
  <c r="W168" i="1"/>
  <c r="R169" i="1"/>
  <c r="S169" i="1"/>
  <c r="T169" i="1"/>
  <c r="U169" i="1"/>
  <c r="V169" i="1"/>
  <c r="W169" i="1"/>
  <c r="R170" i="1"/>
  <c r="S170" i="1"/>
  <c r="T170" i="1"/>
  <c r="U170" i="1"/>
  <c r="V170" i="1"/>
  <c r="W170" i="1"/>
  <c r="R171" i="1"/>
  <c r="S171" i="1"/>
  <c r="T171" i="1"/>
  <c r="U171" i="1"/>
  <c r="V171" i="1"/>
  <c r="W171" i="1"/>
  <c r="R172" i="1"/>
  <c r="S172" i="1"/>
  <c r="T172" i="1"/>
  <c r="U172" i="1"/>
  <c r="V172" i="1"/>
  <c r="W172" i="1"/>
  <c r="R173" i="1"/>
  <c r="S173" i="1"/>
  <c r="T173" i="1"/>
  <c r="U173" i="1"/>
  <c r="V173" i="1"/>
  <c r="W173" i="1"/>
  <c r="R174" i="1"/>
  <c r="S174" i="1"/>
  <c r="T174" i="1"/>
  <c r="U174" i="1"/>
  <c r="V174" i="1"/>
  <c r="W174" i="1"/>
  <c r="R183" i="1"/>
  <c r="S183" i="1"/>
  <c r="T183" i="1"/>
  <c r="U183" i="1"/>
  <c r="V183" i="1"/>
  <c r="W183" i="1"/>
  <c r="R184" i="1"/>
  <c r="S184" i="1"/>
  <c r="T184" i="1"/>
  <c r="U184" i="1"/>
  <c r="V184" i="1"/>
  <c r="W184" i="1"/>
  <c r="R186" i="1"/>
  <c r="S186" i="1"/>
  <c r="T186" i="1"/>
  <c r="U186" i="1"/>
  <c r="V186" i="1"/>
  <c r="W186" i="1"/>
  <c r="R187" i="1"/>
  <c r="S187" i="1"/>
  <c r="T187" i="1"/>
  <c r="U187" i="1"/>
  <c r="V187" i="1"/>
  <c r="W187" i="1"/>
  <c r="R191" i="1"/>
  <c r="S191" i="1"/>
  <c r="T191" i="1"/>
  <c r="U191" i="1"/>
  <c r="V191" i="1"/>
  <c r="W191" i="1"/>
  <c r="R195" i="1"/>
  <c r="S195" i="1"/>
  <c r="T195" i="1"/>
  <c r="U195" i="1"/>
  <c r="V195" i="1"/>
  <c r="W195" i="1"/>
  <c r="R204" i="1"/>
  <c r="S204" i="1"/>
  <c r="T204" i="1"/>
  <c r="U204" i="1"/>
  <c r="V204" i="1"/>
  <c r="W204" i="1"/>
  <c r="R205" i="1"/>
  <c r="S205" i="1"/>
  <c r="T205" i="1"/>
  <c r="U205" i="1"/>
  <c r="V205" i="1"/>
  <c r="W205" i="1"/>
  <c r="R208" i="1"/>
  <c r="S208" i="1"/>
  <c r="T208" i="1"/>
  <c r="U208" i="1"/>
  <c r="V208" i="1"/>
  <c r="W208" i="1"/>
  <c r="R210" i="1"/>
  <c r="S210" i="1"/>
  <c r="T210" i="1"/>
  <c r="U210" i="1"/>
  <c r="V210" i="1"/>
  <c r="W210" i="1"/>
  <c r="R212" i="1"/>
  <c r="S212" i="1"/>
  <c r="T212" i="1"/>
  <c r="U212" i="1"/>
  <c r="V212" i="1"/>
  <c r="W212" i="1"/>
  <c r="Q170" i="1"/>
  <c r="Q171" i="1"/>
  <c r="Q172" i="1"/>
  <c r="Q173" i="1"/>
  <c r="Q174" i="1"/>
  <c r="Q183" i="1"/>
  <c r="Q184" i="1"/>
  <c r="Q186" i="1"/>
  <c r="Q187" i="1"/>
  <c r="Q191" i="1"/>
  <c r="Q195" i="1"/>
  <c r="Q208" i="1"/>
  <c r="Q210" i="1"/>
  <c r="Q212" i="1"/>
  <c r="Q169" i="1"/>
  <c r="Q168" i="1"/>
  <c r="R137" i="1"/>
  <c r="S137" i="1"/>
  <c r="T137" i="1"/>
  <c r="U137" i="1"/>
  <c r="V137" i="1"/>
  <c r="W137" i="1"/>
  <c r="R140" i="1"/>
  <c r="S140" i="1"/>
  <c r="T140" i="1"/>
  <c r="U140" i="1"/>
  <c r="V140" i="1"/>
  <c r="W140" i="1"/>
  <c r="R141" i="1"/>
  <c r="S141" i="1"/>
  <c r="T141" i="1"/>
  <c r="U141" i="1"/>
  <c r="V141" i="1"/>
  <c r="W141" i="1"/>
  <c r="R142" i="1"/>
  <c r="S142" i="1"/>
  <c r="T142" i="1"/>
  <c r="U142" i="1"/>
  <c r="V142" i="1"/>
  <c r="W142" i="1"/>
  <c r="R144" i="1"/>
  <c r="S144" i="1"/>
  <c r="T144" i="1"/>
  <c r="U144" i="1"/>
  <c r="V144" i="1"/>
  <c r="W144" i="1"/>
  <c r="R145" i="1"/>
  <c r="S145" i="1"/>
  <c r="T145" i="1"/>
  <c r="U145" i="1"/>
  <c r="V145" i="1"/>
  <c r="W145" i="1"/>
  <c r="R148" i="1"/>
  <c r="S148" i="1"/>
  <c r="T148" i="1"/>
  <c r="U148" i="1"/>
  <c r="V148" i="1"/>
  <c r="W148" i="1"/>
  <c r="R149" i="1"/>
  <c r="S149" i="1"/>
  <c r="T149" i="1"/>
  <c r="U149" i="1"/>
  <c r="V149" i="1"/>
  <c r="W149" i="1"/>
  <c r="R150" i="1"/>
  <c r="S150" i="1"/>
  <c r="T150" i="1"/>
  <c r="U150" i="1"/>
  <c r="V150" i="1"/>
  <c r="W150" i="1"/>
  <c r="R151" i="1"/>
  <c r="S151" i="1"/>
  <c r="T151" i="1"/>
  <c r="U151" i="1"/>
  <c r="V151" i="1"/>
  <c r="W151" i="1"/>
  <c r="R152" i="1"/>
  <c r="S152" i="1"/>
  <c r="T152" i="1"/>
  <c r="U152" i="1"/>
  <c r="V152" i="1"/>
  <c r="W152" i="1"/>
  <c r="R153" i="1"/>
  <c r="S153" i="1"/>
  <c r="T153" i="1"/>
  <c r="U153" i="1"/>
  <c r="V153" i="1"/>
  <c r="W153" i="1"/>
  <c r="R154" i="1"/>
  <c r="S154" i="1"/>
  <c r="T154" i="1"/>
  <c r="U154" i="1"/>
  <c r="V154" i="1"/>
  <c r="W154" i="1"/>
  <c r="R155" i="1"/>
  <c r="S155" i="1"/>
  <c r="T155" i="1"/>
  <c r="U155" i="1"/>
  <c r="V155" i="1"/>
  <c r="W155" i="1"/>
  <c r="R156" i="1"/>
  <c r="S156" i="1"/>
  <c r="T156" i="1"/>
  <c r="U156" i="1"/>
  <c r="V156" i="1"/>
  <c r="W156" i="1"/>
  <c r="R157" i="1"/>
  <c r="S157" i="1"/>
  <c r="T157" i="1"/>
  <c r="U157" i="1"/>
  <c r="V157" i="1"/>
  <c r="W157" i="1"/>
  <c r="R161" i="1"/>
  <c r="S161" i="1"/>
  <c r="T161" i="1"/>
  <c r="U161" i="1"/>
  <c r="V161" i="1"/>
  <c r="W161" i="1"/>
  <c r="Q137" i="1"/>
  <c r="Q140" i="1"/>
  <c r="Q141" i="1"/>
  <c r="Q142" i="1"/>
  <c r="Q144" i="1"/>
  <c r="Q145" i="1"/>
  <c r="Q149" i="1"/>
  <c r="Q150" i="1"/>
  <c r="Q151" i="1"/>
  <c r="Q152" i="1"/>
  <c r="Q153" i="1"/>
  <c r="Q154" i="1"/>
  <c r="Q155" i="1"/>
  <c r="Q156" i="1"/>
  <c r="Q157" i="1"/>
  <c r="Q161" i="1"/>
  <c r="R125" i="1"/>
  <c r="S125" i="1"/>
  <c r="T125" i="1"/>
  <c r="U125" i="1"/>
  <c r="V125" i="1"/>
  <c r="W125" i="1"/>
  <c r="U126" i="1"/>
  <c r="V126" i="1"/>
  <c r="W126" i="1"/>
  <c r="U127" i="1"/>
  <c r="V127" i="1"/>
  <c r="W127" i="1"/>
  <c r="U128" i="1"/>
  <c r="V128" i="1"/>
  <c r="W128" i="1"/>
  <c r="U129" i="1"/>
  <c r="V129" i="1"/>
  <c r="W129" i="1"/>
  <c r="U130" i="1"/>
  <c r="V130" i="1"/>
  <c r="W130" i="1"/>
  <c r="Q125" i="1"/>
  <c r="D13" i="4"/>
  <c r="E13" i="4"/>
  <c r="F13" i="4"/>
  <c r="H13" i="4"/>
  <c r="I13" i="4"/>
  <c r="C13" i="4"/>
  <c r="S82" i="1"/>
  <c r="T82" i="1"/>
  <c r="U82" i="1"/>
  <c r="V82" i="1"/>
  <c r="W82" i="1"/>
  <c r="R82" i="1"/>
  <c r="W28" i="1"/>
  <c r="V28" i="1"/>
  <c r="U28" i="1"/>
  <c r="T28" i="1"/>
  <c r="S28" i="1"/>
  <c r="R28" i="1"/>
  <c r="Q28" i="1"/>
  <c r="W27" i="1"/>
  <c r="V27" i="1"/>
  <c r="U27" i="1"/>
  <c r="T27" i="1"/>
  <c r="S27" i="1"/>
  <c r="R27" i="1"/>
  <c r="W26" i="1"/>
  <c r="V26" i="1"/>
  <c r="U26" i="1"/>
  <c r="T26" i="1"/>
  <c r="S26" i="1"/>
  <c r="R26" i="1"/>
  <c r="E1" i="12"/>
  <c r="G8" i="4"/>
  <c r="C8" i="4"/>
  <c r="A22" i="8"/>
  <c r="A38" i="8" s="1"/>
  <c r="A54" i="8" s="1"/>
  <c r="A23" i="8"/>
  <c r="A39" i="8"/>
  <c r="A55" i="8"/>
  <c r="A24" i="8"/>
  <c r="A40" i="8"/>
  <c r="A56" i="8"/>
  <c r="A25" i="8"/>
  <c r="A41" i="8" s="1"/>
  <c r="A57" i="8" s="1"/>
  <c r="A26" i="8"/>
  <c r="A42" i="8"/>
  <c r="A58" i="8"/>
  <c r="A27" i="8"/>
  <c r="A43" i="8"/>
  <c r="A59" i="8"/>
  <c r="A28" i="8"/>
  <c r="A44" i="8"/>
  <c r="A60" i="8"/>
  <c r="A30" i="8"/>
  <c r="A46" i="8"/>
  <c r="A62" i="8"/>
  <c r="A31" i="8"/>
  <c r="A47" i="8"/>
  <c r="A63" i="8"/>
  <c r="A21" i="8"/>
  <c r="A37" i="8"/>
  <c r="A53" i="8"/>
  <c r="D2" i="2"/>
  <c r="E2" i="2"/>
  <c r="F2" i="2"/>
  <c r="C2" i="2"/>
  <c r="Q4" i="1"/>
  <c r="C3" i="2"/>
  <c r="B4" i="8" s="1"/>
  <c r="C302" i="1"/>
  <c r="Q301" i="1" s="1"/>
  <c r="F90" i="1"/>
  <c r="F308" i="1" s="1"/>
  <c r="G90" i="1"/>
  <c r="G308" i="1" s="1"/>
  <c r="H90" i="1"/>
  <c r="H308" i="1" s="1"/>
  <c r="I308" i="1"/>
  <c r="L308" i="1" s="1"/>
  <c r="D16" i="1"/>
  <c r="D304" i="1" s="1"/>
  <c r="E16" i="1"/>
  <c r="E304" i="1" s="1"/>
  <c r="F16" i="1"/>
  <c r="E6" i="8" s="1"/>
  <c r="E54" i="8" s="1"/>
  <c r="G16" i="1"/>
  <c r="F6" i="8" s="1"/>
  <c r="F54" i="8" s="1"/>
  <c r="H16" i="1"/>
  <c r="H304" i="1" s="1"/>
  <c r="I16" i="1"/>
  <c r="I304" i="1" s="1"/>
  <c r="D154" i="2"/>
  <c r="C47" i="8" s="1"/>
  <c r="E154" i="2"/>
  <c r="D47" i="8" s="1"/>
  <c r="F154" i="2"/>
  <c r="E47" i="8" s="1"/>
  <c r="H154" i="2"/>
  <c r="G47" i="8" s="1"/>
  <c r="I154" i="2"/>
  <c r="H47" i="8" s="1"/>
  <c r="I305" i="1"/>
  <c r="T133" i="1"/>
  <c r="Q133" i="1"/>
  <c r="S133" i="1"/>
  <c r="W133" i="1"/>
  <c r="R133" i="1"/>
  <c r="V133" i="1"/>
  <c r="U133" i="1"/>
  <c r="B11" i="8"/>
  <c r="L306" i="1" l="1"/>
  <c r="L305" i="1"/>
  <c r="B6" i="8"/>
  <c r="B54" i="8" s="1"/>
  <c r="L304" i="1"/>
  <c r="H55" i="8"/>
  <c r="G12" i="4"/>
  <c r="G20" i="4"/>
  <c r="C12" i="4"/>
  <c r="H12" i="4"/>
  <c r="B5" i="8"/>
  <c r="B53" i="8" s="1"/>
  <c r="C29" i="4"/>
  <c r="C30" i="4" s="1"/>
  <c r="H15" i="3"/>
  <c r="I7" i="4" s="1"/>
  <c r="D15" i="3"/>
  <c r="E7" i="4" s="1"/>
  <c r="E29" i="4" s="1"/>
  <c r="E30" i="4" s="1"/>
  <c r="E15" i="3"/>
  <c r="F7" i="4" s="1"/>
  <c r="I303" i="1"/>
  <c r="I299" i="1"/>
  <c r="I4" i="4" s="1"/>
  <c r="G5" i="8"/>
  <c r="G53" i="8" s="1"/>
  <c r="H299" i="1"/>
  <c r="I289" i="17" s="1"/>
  <c r="G303" i="1"/>
  <c r="G299" i="1"/>
  <c r="G4" i="4" s="1"/>
  <c r="C15" i="3"/>
  <c r="D7" i="4" s="1"/>
  <c r="F303" i="1"/>
  <c r="F299" i="1"/>
  <c r="F4" i="4" s="1"/>
  <c r="F14" i="4" s="1"/>
  <c r="D5" i="8"/>
  <c r="D53" i="8" s="1"/>
  <c r="E299" i="1"/>
  <c r="E4" i="4" s="1"/>
  <c r="E14" i="4" s="1"/>
  <c r="D303" i="1"/>
  <c r="D299" i="1"/>
  <c r="R4" i="1"/>
  <c r="G7" i="8"/>
  <c r="G55" i="8" s="1"/>
  <c r="C313" i="1"/>
  <c r="K313" i="1" s="1"/>
  <c r="D302" i="1"/>
  <c r="R301" i="1" s="1"/>
  <c r="D3" i="2"/>
  <c r="C4" i="8" s="1"/>
  <c r="C20" i="8" s="1"/>
  <c r="C52" i="8" s="1"/>
  <c r="H29" i="4"/>
  <c r="G29" i="4"/>
  <c r="C16" i="4"/>
  <c r="C5" i="8"/>
  <c r="C53" i="8" s="1"/>
  <c r="C303" i="1"/>
  <c r="D310" i="1"/>
  <c r="D12" i="8"/>
  <c r="D60" i="8" s="1"/>
  <c r="I310" i="1"/>
  <c r="F310" i="1"/>
  <c r="H15" i="8"/>
  <c r="C314" i="1"/>
  <c r="F7" i="8"/>
  <c r="F55" i="8" s="1"/>
  <c r="H14" i="8"/>
  <c r="G307" i="1"/>
  <c r="U295" i="1"/>
  <c r="U313" i="1" s="1"/>
  <c r="D9" i="8"/>
  <c r="D57" i="8" s="1"/>
  <c r="H314" i="1"/>
  <c r="U288" i="1"/>
  <c r="D10" i="8"/>
  <c r="D58" i="8" s="1"/>
  <c r="F12" i="8"/>
  <c r="F60" i="8" s="1"/>
  <c r="E303" i="1"/>
  <c r="C15" i="8"/>
  <c r="C63" i="8" s="1"/>
  <c r="B7" i="8"/>
  <c r="B55" i="8" s="1"/>
  <c r="C11" i="8"/>
  <c r="C59" i="8" s="1"/>
  <c r="C163" i="2"/>
  <c r="C6" i="4" s="1"/>
  <c r="E60" i="8"/>
  <c r="B64" i="8"/>
  <c r="H163" i="2"/>
  <c r="H6" i="4" s="1"/>
  <c r="F163" i="2"/>
  <c r="F6" i="4" s="1"/>
  <c r="D163" i="2"/>
  <c r="D6" i="4" s="1"/>
  <c r="H60" i="8"/>
  <c r="C49" i="8"/>
  <c r="E49" i="8"/>
  <c r="E59" i="8"/>
  <c r="B63" i="8"/>
  <c r="B49" i="8"/>
  <c r="B60" i="8"/>
  <c r="G59" i="8"/>
  <c r="H49" i="8"/>
  <c r="G49" i="8"/>
  <c r="D49" i="8"/>
  <c r="F49" i="8"/>
  <c r="B62" i="8"/>
  <c r="F63" i="8"/>
  <c r="F61" i="8"/>
  <c r="E163" i="2"/>
  <c r="E6" i="4" s="1"/>
  <c r="D63" i="8"/>
  <c r="H64" i="8"/>
  <c r="G163" i="2"/>
  <c r="G6" i="4" s="1"/>
  <c r="G64" i="8"/>
  <c r="G62" i="8"/>
  <c r="H57" i="8"/>
  <c r="G60" i="8"/>
  <c r="E61" i="8"/>
  <c r="B59" i="8"/>
  <c r="F57" i="8"/>
  <c r="C60" i="8"/>
  <c r="I163" i="2"/>
  <c r="I6" i="4" s="1"/>
  <c r="E64" i="8"/>
  <c r="C61" i="8"/>
  <c r="F14" i="8"/>
  <c r="F62" i="8" s="1"/>
  <c r="V295" i="1"/>
  <c r="V313" i="1" s="1"/>
  <c r="H303" i="1"/>
  <c r="F8" i="8"/>
  <c r="F56" i="8" s="1"/>
  <c r="E9" i="8"/>
  <c r="E57" i="8" s="1"/>
  <c r="D16" i="8"/>
  <c r="D64" i="8" s="1"/>
  <c r="B10" i="8"/>
  <c r="B58" i="8" s="1"/>
  <c r="G313" i="1"/>
  <c r="G15" i="8"/>
  <c r="G63" i="8" s="1"/>
  <c r="K305" i="1"/>
  <c r="Q23" i="1"/>
  <c r="B23" i="8" s="1"/>
  <c r="D14" i="8"/>
  <c r="D62" i="8" s="1"/>
  <c r="F5" i="8"/>
  <c r="F53" i="8" s="1"/>
  <c r="E313" i="1"/>
  <c r="H310" i="1"/>
  <c r="I314" i="1"/>
  <c r="T295" i="1"/>
  <c r="T313" i="1" s="1"/>
  <c r="Q295" i="1"/>
  <c r="Q313" i="1" s="1"/>
  <c r="R23" i="1"/>
  <c r="C23" i="8" s="1"/>
  <c r="C310" i="1"/>
  <c r="E5" i="8"/>
  <c r="E53" i="8" s="1"/>
  <c r="C6" i="8"/>
  <c r="C54" i="8" s="1"/>
  <c r="F11" i="8"/>
  <c r="F59" i="8" s="1"/>
  <c r="R288" i="1"/>
  <c r="T219" i="1"/>
  <c r="E28" i="8" s="1"/>
  <c r="E306" i="1"/>
  <c r="H8" i="8"/>
  <c r="E14" i="8"/>
  <c r="E62" i="8" s="1"/>
  <c r="E305" i="1"/>
  <c r="B4" i="3"/>
  <c r="B10" i="3" s="1"/>
  <c r="C16" i="8"/>
  <c r="C64" i="8" s="1"/>
  <c r="D11" i="8"/>
  <c r="D59" i="8" s="1"/>
  <c r="C21" i="8"/>
  <c r="R302" i="1"/>
  <c r="C312" i="1"/>
  <c r="K312" i="1" s="1"/>
  <c r="S295" i="1"/>
  <c r="S313" i="1" s="1"/>
  <c r="W23" i="1"/>
  <c r="H23" i="8" s="1"/>
  <c r="W16" i="1"/>
  <c r="W303" i="1" s="1"/>
  <c r="V272" i="1"/>
  <c r="V311" i="1" s="1"/>
  <c r="W272" i="1"/>
  <c r="W311" i="1" s="1"/>
  <c r="R272" i="1"/>
  <c r="R311" i="1" s="1"/>
  <c r="Q288" i="1"/>
  <c r="S23" i="1"/>
  <c r="S304" i="1" s="1"/>
  <c r="H5" i="8"/>
  <c r="V90" i="1"/>
  <c r="V307" i="1" s="1"/>
  <c r="C9" i="8"/>
  <c r="C57" i="8" s="1"/>
  <c r="E10" i="8"/>
  <c r="E58" i="8" s="1"/>
  <c r="C14" i="8"/>
  <c r="C62" i="8" s="1"/>
  <c r="R295" i="1"/>
  <c r="R313" i="1" s="1"/>
  <c r="V16" i="1"/>
  <c r="V303" i="1" s="1"/>
  <c r="U272" i="1"/>
  <c r="U311" i="1" s="1"/>
  <c r="S272" i="1"/>
  <c r="S311" i="1" s="1"/>
  <c r="S288" i="1"/>
  <c r="T23" i="1"/>
  <c r="T304" i="1" s="1"/>
  <c r="T90" i="1"/>
  <c r="T307" i="1" s="1"/>
  <c r="R16" i="1"/>
  <c r="R303" i="1" s="1"/>
  <c r="U16" i="1"/>
  <c r="F22" i="8" s="1"/>
  <c r="V288" i="1"/>
  <c r="F31" i="8"/>
  <c r="F305" i="1"/>
  <c r="H312" i="1"/>
  <c r="K304" i="1"/>
  <c r="G10" i="8"/>
  <c r="G58" i="8" s="1"/>
  <c r="F10" i="8"/>
  <c r="F58" i="8" s="1"/>
  <c r="G6" i="8"/>
  <c r="G54" i="8" s="1"/>
  <c r="K308" i="1"/>
  <c r="T32" i="1"/>
  <c r="T305" i="1" s="1"/>
  <c r="E24" i="8" s="1"/>
  <c r="F16" i="8"/>
  <c r="F64" i="8" s="1"/>
  <c r="U219" i="1"/>
  <c r="F28" i="8" s="1"/>
  <c r="V219" i="1"/>
  <c r="V309" i="1" s="1"/>
  <c r="F309" i="1"/>
  <c r="D21" i="8"/>
  <c r="S302" i="1"/>
  <c r="U23" i="1"/>
  <c r="U304" i="1" s="1"/>
  <c r="V23" i="1"/>
  <c r="V304" i="1" s="1"/>
  <c r="H11" i="8"/>
  <c r="W219" i="1"/>
  <c r="H28" i="8" s="1"/>
  <c r="Q16" i="1"/>
  <c r="B22" i="8" s="1"/>
  <c r="W121" i="1"/>
  <c r="H27" i="8" s="1"/>
  <c r="R219" i="1"/>
  <c r="C28" i="8" s="1"/>
  <c r="Q272" i="1"/>
  <c r="Q311" i="1" s="1"/>
  <c r="H6" i="8"/>
  <c r="G21" i="8"/>
  <c r="S32" i="1"/>
  <c r="S305" i="1" s="1"/>
  <c r="F314" i="1"/>
  <c r="I307" i="1"/>
  <c r="G8" i="8"/>
  <c r="G56" i="8" s="1"/>
  <c r="G9" i="8"/>
  <c r="G57" i="8" s="1"/>
  <c r="F21" i="8"/>
  <c r="Q90" i="1"/>
  <c r="B26" i="8" s="1"/>
  <c r="R90" i="1"/>
  <c r="R307" i="1" s="1"/>
  <c r="U121" i="1"/>
  <c r="U308" i="1" s="1"/>
  <c r="W288" i="1"/>
  <c r="W295" i="1"/>
  <c r="W313" i="1" s="1"/>
  <c r="S16" i="1"/>
  <c r="D22" i="8" s="1"/>
  <c r="Q121" i="1"/>
  <c r="B27" i="8" s="1"/>
  <c r="R121" i="1"/>
  <c r="R308" i="1" s="1"/>
  <c r="T121" i="1"/>
  <c r="T308" i="1" s="1"/>
  <c r="V121" i="1"/>
  <c r="G27" i="8" s="1"/>
  <c r="R32" i="1"/>
  <c r="R305" i="1" s="1"/>
  <c r="C24" i="8" s="1"/>
  <c r="S90" i="1"/>
  <c r="D26" i="8" s="1"/>
  <c r="T16" i="1"/>
  <c r="E22" i="8" s="1"/>
  <c r="S121" i="1"/>
  <c r="S308" i="1" s="1"/>
  <c r="Q219" i="1"/>
  <c r="Q309" i="1" s="1"/>
  <c r="S219" i="1"/>
  <c r="D28" i="8" s="1"/>
  <c r="T272" i="1"/>
  <c r="T311" i="1" s="1"/>
  <c r="H309" i="1"/>
  <c r="C7" i="8"/>
  <c r="C55" i="8" s="1"/>
  <c r="U32" i="1"/>
  <c r="U305" i="1" s="1"/>
  <c r="F24" i="8" s="1"/>
  <c r="F304" i="1"/>
  <c r="D6" i="8"/>
  <c r="D54" i="8" s="1"/>
  <c r="W90" i="1"/>
  <c r="H26" i="8" s="1"/>
  <c r="U90" i="1"/>
  <c r="U307" i="1" s="1"/>
  <c r="Q79" i="1"/>
  <c r="T79" i="1"/>
  <c r="E25" i="8" s="1"/>
  <c r="R79" i="1"/>
  <c r="C25" i="8" s="1"/>
  <c r="V79" i="1"/>
  <c r="V306" i="1" s="1"/>
  <c r="U79" i="1"/>
  <c r="F25" i="8" s="1"/>
  <c r="S79" i="1"/>
  <c r="S306" i="1" s="1"/>
  <c r="W79" i="1"/>
  <c r="H25" i="8" s="1"/>
  <c r="H13" i="8"/>
  <c r="C261" i="1"/>
  <c r="C311" i="1" s="1"/>
  <c r="K311" i="1" s="1"/>
  <c r="G13" i="8"/>
  <c r="G61" i="8" s="1"/>
  <c r="G311" i="1"/>
  <c r="F311" i="1"/>
  <c r="H21" i="8"/>
  <c r="W302" i="1"/>
  <c r="Q302" i="1"/>
  <c r="B21" i="8"/>
  <c r="F302" i="1"/>
  <c r="T301" i="1" s="1"/>
  <c r="G4" i="1"/>
  <c r="F3" i="2"/>
  <c r="T4" i="1"/>
  <c r="B36" i="8"/>
  <c r="B20" i="8"/>
  <c r="B52" i="8" s="1"/>
  <c r="E3" i="2"/>
  <c r="W32" i="1"/>
  <c r="W305" i="1" s="1"/>
  <c r="H24" i="8" s="1"/>
  <c r="C309" i="1"/>
  <c r="K309" i="1" s="1"/>
  <c r="C10" i="8"/>
  <c r="C58" i="8" s="1"/>
  <c r="S4" i="1"/>
  <c r="E21" i="8"/>
  <c r="Q261" i="1"/>
  <c r="B29" i="8" s="1"/>
  <c r="E302" i="1"/>
  <c r="S301" i="1" s="1"/>
  <c r="E15" i="8"/>
  <c r="E63" i="8" s="1"/>
  <c r="T288" i="1"/>
  <c r="G304" i="1"/>
  <c r="B9" i="8"/>
  <c r="B57" i="8" s="1"/>
  <c r="H10" i="8"/>
  <c r="H32" i="8"/>
  <c r="S261" i="1"/>
  <c r="D29" i="8" s="1"/>
  <c r="U261" i="1"/>
  <c r="U310" i="1" s="1"/>
  <c r="R261" i="1"/>
  <c r="R310" i="1" s="1"/>
  <c r="W261" i="1"/>
  <c r="W310" i="1" s="1"/>
  <c r="V261" i="1"/>
  <c r="V310" i="1" s="1"/>
  <c r="D13" i="8"/>
  <c r="T261" i="1"/>
  <c r="E29" i="8" s="1"/>
  <c r="D311" i="1"/>
  <c r="B8" i="8"/>
  <c r="B56" i="8" s="1"/>
  <c r="V32" i="1"/>
  <c r="V305" i="1" s="1"/>
  <c r="G24" i="8" s="1"/>
  <c r="K306" i="1"/>
  <c r="Q32" i="1"/>
  <c r="E8" i="8"/>
  <c r="C8" i="8"/>
  <c r="H289" i="17" l="1"/>
  <c r="H61" i="8"/>
  <c r="H63" i="8"/>
  <c r="H54" i="8"/>
  <c r="H53" i="8"/>
  <c r="H56" i="8"/>
  <c r="H58" i="8"/>
  <c r="C299" i="1"/>
  <c r="C301" i="1" s="1"/>
  <c r="L314" i="1"/>
  <c r="H62" i="8"/>
  <c r="H59" i="8"/>
  <c r="G15" i="4"/>
  <c r="G14" i="4"/>
  <c r="H20" i="4"/>
  <c r="G30" i="4"/>
  <c r="G16" i="4"/>
  <c r="H30" i="4"/>
  <c r="H15" i="4"/>
  <c r="D16" i="4"/>
  <c r="D12" i="4"/>
  <c r="F15" i="4"/>
  <c r="C15" i="4"/>
  <c r="E16" i="4"/>
  <c r="F16" i="4"/>
  <c r="F12" i="4"/>
  <c r="E12" i="4"/>
  <c r="E15" i="4"/>
  <c r="D15" i="4"/>
  <c r="I12" i="4"/>
  <c r="L303" i="1"/>
  <c r="K303" i="1"/>
  <c r="K307" i="1"/>
  <c r="L307" i="1"/>
  <c r="L311" i="1"/>
  <c r="L309" i="1"/>
  <c r="L310" i="1"/>
  <c r="L313" i="1"/>
  <c r="L312" i="1"/>
  <c r="I29" i="4"/>
  <c r="F29" i="4"/>
  <c r="F30" i="4" s="1"/>
  <c r="D29" i="4"/>
  <c r="D30" i="4" s="1"/>
  <c r="Q306" i="1"/>
  <c r="Q299" i="1"/>
  <c r="C5" i="4" s="1"/>
  <c r="S303" i="1"/>
  <c r="C36" i="8"/>
  <c r="C4" i="3"/>
  <c r="C10" i="3" s="1"/>
  <c r="K314" i="1"/>
  <c r="D315" i="1"/>
  <c r="K310" i="1"/>
  <c r="T303" i="1"/>
  <c r="T309" i="1"/>
  <c r="I9" i="4"/>
  <c r="C22" i="8"/>
  <c r="G28" i="8"/>
  <c r="Q303" i="1"/>
  <c r="U306" i="1"/>
  <c r="B28" i="8"/>
  <c r="D25" i="8"/>
  <c r="R309" i="1"/>
  <c r="F23" i="8"/>
  <c r="I315" i="1"/>
  <c r="E23" i="8"/>
  <c r="Q307" i="1"/>
  <c r="R304" i="1"/>
  <c r="U309" i="1"/>
  <c r="E26" i="8"/>
  <c r="G25" i="8"/>
  <c r="W304" i="1"/>
  <c r="Q304" i="1"/>
  <c r="W307" i="1"/>
  <c r="D23" i="8"/>
  <c r="T306" i="1"/>
  <c r="G26" i="8"/>
  <c r="C26" i="8"/>
  <c r="B25" i="8"/>
  <c r="E315" i="1"/>
  <c r="F65" i="8"/>
  <c r="S307" i="1"/>
  <c r="W309" i="1"/>
  <c r="F17" i="8"/>
  <c r="G22" i="8"/>
  <c r="U303" i="1"/>
  <c r="W306" i="1"/>
  <c r="G65" i="8"/>
  <c r="H315" i="1"/>
  <c r="F315" i="1"/>
  <c r="S309" i="1"/>
  <c r="F26" i="8"/>
  <c r="G23" i="8"/>
  <c r="H22" i="8"/>
  <c r="D27" i="8"/>
  <c r="E27" i="8"/>
  <c r="V308" i="1"/>
  <c r="V314" i="1" s="1"/>
  <c r="C27" i="8"/>
  <c r="Q308" i="1"/>
  <c r="W308" i="1"/>
  <c r="F27" i="8"/>
  <c r="R306" i="1"/>
  <c r="G315" i="1"/>
  <c r="G17" i="8"/>
  <c r="C315" i="1"/>
  <c r="B13" i="8"/>
  <c r="B61" i="8" s="1"/>
  <c r="B65" i="8" s="1"/>
  <c r="R299" i="1"/>
  <c r="D5" i="4" s="1"/>
  <c r="D10" i="4" s="1"/>
  <c r="D18" i="4" s="1"/>
  <c r="H4" i="4"/>
  <c r="S299" i="1"/>
  <c r="E5" i="4" s="1"/>
  <c r="E10" i="4" s="1"/>
  <c r="E18" i="4" s="1"/>
  <c r="S310" i="1"/>
  <c r="Q310" i="1"/>
  <c r="J289" i="17"/>
  <c r="D4" i="3"/>
  <c r="D10" i="3" s="1"/>
  <c r="D4" i="8"/>
  <c r="E4" i="8"/>
  <c r="E4" i="3"/>
  <c r="E10" i="3" s="1"/>
  <c r="U299" i="1"/>
  <c r="G5" i="4" s="1"/>
  <c r="G3" i="2"/>
  <c r="H4" i="1"/>
  <c r="G302" i="1"/>
  <c r="U301" i="1" s="1"/>
  <c r="U4" i="1"/>
  <c r="H17" i="8"/>
  <c r="F29" i="8"/>
  <c r="E9" i="4"/>
  <c r="E17" i="4" s="1"/>
  <c r="F289" i="17"/>
  <c r="H29" i="8"/>
  <c r="V299" i="1"/>
  <c r="H5" i="4" s="1"/>
  <c r="H10" i="4" s="1"/>
  <c r="W299" i="1"/>
  <c r="I5" i="4" s="1"/>
  <c r="G29" i="8"/>
  <c r="T310" i="1"/>
  <c r="T299" i="1"/>
  <c r="F5" i="4" s="1"/>
  <c r="F10" i="4" s="1"/>
  <c r="F18" i="4" s="1"/>
  <c r="C29" i="8"/>
  <c r="D61" i="8"/>
  <c r="D65" i="8" s="1"/>
  <c r="D17" i="8"/>
  <c r="D24" i="8"/>
  <c r="G289" i="17"/>
  <c r="F9" i="4"/>
  <c r="F17" i="4" s="1"/>
  <c r="Q305" i="1"/>
  <c r="E56" i="8"/>
  <c r="E65" i="8" s="1"/>
  <c r="E17" i="8"/>
  <c r="C56" i="8"/>
  <c r="C65" i="8" s="1"/>
  <c r="C17" i="8"/>
  <c r="D4" i="4"/>
  <c r="E289" i="17"/>
  <c r="D317" i="1" l="1"/>
  <c r="H65" i="8"/>
  <c r="I20" i="4"/>
  <c r="I17" i="4" s="1"/>
  <c r="H16" i="4"/>
  <c r="H14" i="4"/>
  <c r="G9" i="4"/>
  <c r="G17" i="4" s="1"/>
  <c r="C10" i="4"/>
  <c r="C18" i="4" s="1"/>
  <c r="I10" i="4"/>
  <c r="G10" i="4"/>
  <c r="L315" i="1"/>
  <c r="C4" i="4"/>
  <c r="K315" i="1"/>
  <c r="U314" i="1"/>
  <c r="S314" i="1"/>
  <c r="R314" i="1"/>
  <c r="E33" i="8"/>
  <c r="T314" i="1"/>
  <c r="B17" i="8"/>
  <c r="H33" i="8"/>
  <c r="D289" i="17"/>
  <c r="W314" i="1"/>
  <c r="G33" i="8"/>
  <c r="D33" i="8"/>
  <c r="C33" i="8"/>
  <c r="F33" i="8"/>
  <c r="Q314" i="1"/>
  <c r="H9" i="4"/>
  <c r="G27" i="4"/>
  <c r="E27" i="4"/>
  <c r="F4" i="3"/>
  <c r="F10" i="3" s="1"/>
  <c r="F4" i="8"/>
  <c r="V4" i="1"/>
  <c r="I4" i="1"/>
  <c r="H3" i="2"/>
  <c r="H302" i="1"/>
  <c r="V301" i="1" s="1"/>
  <c r="E20" i="8"/>
  <c r="E52" i="8" s="1"/>
  <c r="E36" i="8"/>
  <c r="D36" i="8"/>
  <c r="D20" i="8"/>
  <c r="D52" i="8" s="1"/>
  <c r="I27" i="4"/>
  <c r="H27" i="4"/>
  <c r="E11" i="4"/>
  <c r="F27" i="4"/>
  <c r="F11" i="4"/>
  <c r="B24" i="8"/>
  <c r="B33" i="8" s="1"/>
  <c r="H18" i="4"/>
  <c r="D9" i="4"/>
  <c r="D14" i="4"/>
  <c r="D27" i="4"/>
  <c r="G18" i="4" l="1"/>
  <c r="G11" i="4"/>
  <c r="I11" i="4"/>
  <c r="I30" i="4"/>
  <c r="I14" i="4"/>
  <c r="I16" i="4"/>
  <c r="I15" i="4"/>
  <c r="H17" i="4"/>
  <c r="C9" i="4"/>
  <c r="I18" i="4"/>
  <c r="C27" i="4"/>
  <c r="C14" i="4"/>
  <c r="H11" i="4"/>
  <c r="G4" i="3"/>
  <c r="G10" i="3" s="1"/>
  <c r="G4" i="8"/>
  <c r="I3" i="2"/>
  <c r="I302" i="1"/>
  <c r="W301" i="1" s="1"/>
  <c r="W4" i="1"/>
  <c r="F20" i="8"/>
  <c r="F52" i="8" s="1"/>
  <c r="F36" i="8"/>
  <c r="D17" i="4"/>
  <c r="D11" i="4"/>
  <c r="C17" i="4" l="1"/>
  <c r="C11" i="4"/>
  <c r="G20" i="8"/>
  <c r="G52" i="8" s="1"/>
  <c r="G36" i="8"/>
  <c r="H4" i="8"/>
  <c r="H4" i="3"/>
  <c r="H10" i="3" s="1"/>
  <c r="H36" i="8" l="1"/>
  <c r="H20" i="8"/>
  <c r="H5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Pepijn Heuberger</author>
  </authors>
  <commentList>
    <comment ref="B98" authorId="0" shapeId="0" xr:uid="{D02AA045-5153-4811-AD0E-3014F77EB2BB}">
      <text>
        <r>
          <rPr>
            <b/>
            <sz val="9"/>
            <color indexed="81"/>
            <rFont val="Tahoma"/>
            <family val="2"/>
          </rPr>
          <t>Pepijn Heuberger:</t>
        </r>
        <r>
          <rPr>
            <sz val="9"/>
            <color indexed="81"/>
            <rFont val="Tahoma"/>
            <family val="2"/>
          </rPr>
          <t xml:space="preserve">
Nieuw maar geen uitgaven</t>
        </r>
      </text>
    </comment>
    <comment ref="B221" authorId="0" shapeId="0" xr:uid="{2673F0B2-1683-4915-946A-89C2474FFD0F}">
      <text>
        <r>
          <rPr>
            <b/>
            <sz val="9"/>
            <color indexed="81"/>
            <rFont val="Tahoma"/>
            <family val="2"/>
          </rPr>
          <t>Pepijn Heuberger:</t>
        </r>
        <r>
          <rPr>
            <sz val="9"/>
            <color indexed="81"/>
            <rFont val="Tahoma"/>
            <family val="2"/>
          </rPr>
          <t xml:space="preserve">
Dit moet opnieuw, er is iets raars met de cellen in de geleverde data waardoor we alleen kunnen overtypen lijkt het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Nelleke van den Broek-Honingh</author>
  </authors>
  <commentList>
    <comment ref="C169" authorId="0" shapeId="0" xr:uid="{00000000-0006-0000-0900-000001000000}">
      <text>
        <r>
          <rPr>
            <b/>
            <sz val="9"/>
            <color indexed="81"/>
            <rFont val="Tahoma"/>
            <family val="2"/>
          </rPr>
          <t>Nelleke van den Broek-Honingh:</t>
        </r>
        <r>
          <rPr>
            <sz val="9"/>
            <color indexed="81"/>
            <rFont val="Tahoma"/>
            <family val="2"/>
          </rPr>
          <t xml:space="preserve">
Nieuw</t>
        </r>
      </text>
    </comment>
    <comment ref="C170" authorId="0" shapeId="0" xr:uid="{00000000-0006-0000-0900-000002000000}">
      <text>
        <r>
          <rPr>
            <b/>
            <sz val="9"/>
            <color indexed="81"/>
            <rFont val="Tahoma"/>
            <family val="2"/>
          </rPr>
          <t>Nelleke van den Broek-Honingh:</t>
        </r>
        <r>
          <rPr>
            <sz val="9"/>
            <color indexed="81"/>
            <rFont val="Tahoma"/>
            <family val="2"/>
          </rPr>
          <t xml:space="preserve">
Nieuw</t>
        </r>
      </text>
    </comment>
    <comment ref="C171" authorId="0" shapeId="0" xr:uid="{00000000-0006-0000-0900-000003000000}">
      <text>
        <r>
          <rPr>
            <b/>
            <sz val="9"/>
            <color indexed="81"/>
            <rFont val="Tahoma"/>
            <family val="2"/>
          </rPr>
          <t>Nelleke van den Broek-Honingh:</t>
        </r>
        <r>
          <rPr>
            <sz val="9"/>
            <color indexed="81"/>
            <rFont val="Tahoma"/>
            <family val="2"/>
          </rPr>
          <t xml:space="preserve">
Nieuw</t>
        </r>
      </text>
    </comment>
    <comment ref="C176" authorId="0" shapeId="0" xr:uid="{00000000-0006-0000-0900-000004000000}">
      <text>
        <r>
          <rPr>
            <b/>
            <sz val="9"/>
            <color indexed="81"/>
            <rFont val="Tahoma"/>
            <family val="2"/>
          </rPr>
          <t>Nelleke van den Broek-Honingh:</t>
        </r>
        <r>
          <rPr>
            <sz val="9"/>
            <color indexed="81"/>
            <rFont val="Tahoma"/>
            <family val="2"/>
          </rPr>
          <t xml:space="preserve">
Nieuw</t>
        </r>
      </text>
    </comment>
    <comment ref="C177" authorId="0" shapeId="0" xr:uid="{00000000-0006-0000-0900-000005000000}">
      <text>
        <r>
          <rPr>
            <b/>
            <sz val="9"/>
            <color indexed="81"/>
            <rFont val="Tahoma"/>
            <family val="2"/>
          </rPr>
          <t>Nelleke van den Broek-Honingh:</t>
        </r>
        <r>
          <rPr>
            <sz val="9"/>
            <color indexed="81"/>
            <rFont val="Tahoma"/>
            <family val="2"/>
          </rPr>
          <t xml:space="preserve">
Nieuw</t>
        </r>
      </text>
    </comment>
    <comment ref="C178" authorId="0" shapeId="0" xr:uid="{00000000-0006-0000-0900-000006000000}">
      <text>
        <r>
          <rPr>
            <b/>
            <sz val="9"/>
            <color indexed="81"/>
            <rFont val="Tahoma"/>
            <family val="2"/>
          </rPr>
          <t>Nelleke van den Broek-Honingh:</t>
        </r>
        <r>
          <rPr>
            <sz val="9"/>
            <color indexed="81"/>
            <rFont val="Tahoma"/>
            <family val="2"/>
          </rPr>
          <t xml:space="preserve">
Nieuw</t>
        </r>
      </text>
    </comment>
    <comment ref="C180" authorId="0" shapeId="0" xr:uid="{00000000-0006-0000-0900-000007000000}">
      <text>
        <r>
          <rPr>
            <b/>
            <sz val="9"/>
            <color indexed="81"/>
            <rFont val="Tahoma"/>
            <family val="2"/>
          </rPr>
          <t>Nelleke van den Broek-Honingh:</t>
        </r>
        <r>
          <rPr>
            <sz val="9"/>
            <color indexed="81"/>
            <rFont val="Tahoma"/>
            <family val="2"/>
          </rPr>
          <t xml:space="preserve">
Nieuw</t>
        </r>
      </text>
    </comment>
    <comment ref="C181" authorId="0" shapeId="0" xr:uid="{00000000-0006-0000-0900-000008000000}">
      <text>
        <r>
          <rPr>
            <b/>
            <sz val="9"/>
            <color indexed="81"/>
            <rFont val="Tahoma"/>
            <family val="2"/>
          </rPr>
          <t>Nelleke van den Broek-Honingh:</t>
        </r>
        <r>
          <rPr>
            <sz val="9"/>
            <color indexed="81"/>
            <rFont val="Tahoma"/>
            <family val="2"/>
          </rPr>
          <t xml:space="preserve">
Nieuw</t>
        </r>
      </text>
    </comment>
    <comment ref="C182" authorId="0" shapeId="0" xr:uid="{00000000-0006-0000-0900-000009000000}">
      <text>
        <r>
          <rPr>
            <b/>
            <sz val="9"/>
            <color indexed="81"/>
            <rFont val="Tahoma"/>
            <family val="2"/>
          </rPr>
          <t>Nelleke van den Broek-Honingh:</t>
        </r>
        <r>
          <rPr>
            <sz val="9"/>
            <color indexed="81"/>
            <rFont val="Tahoma"/>
            <family val="2"/>
          </rPr>
          <t xml:space="preserve">
Nieuw</t>
        </r>
      </text>
    </comment>
    <comment ref="C183" authorId="0" shapeId="0" xr:uid="{00000000-0006-0000-0900-00000A000000}">
      <text>
        <r>
          <rPr>
            <b/>
            <sz val="9"/>
            <color indexed="81"/>
            <rFont val="Tahoma"/>
            <family val="2"/>
          </rPr>
          <t>Nelleke van den Broek-Honingh:</t>
        </r>
        <r>
          <rPr>
            <sz val="9"/>
            <color indexed="81"/>
            <rFont val="Tahoma"/>
            <family val="2"/>
          </rPr>
          <t xml:space="preserve">
Nieuw</t>
        </r>
      </text>
    </comment>
    <comment ref="C184" authorId="0" shapeId="0" xr:uid="{00000000-0006-0000-0900-00000B000000}">
      <text>
        <r>
          <rPr>
            <b/>
            <sz val="9"/>
            <color indexed="81"/>
            <rFont val="Tahoma"/>
            <family val="2"/>
          </rPr>
          <t>Nelleke van den Broek-Honingh:</t>
        </r>
        <r>
          <rPr>
            <sz val="9"/>
            <color indexed="81"/>
            <rFont val="Tahoma"/>
            <family val="2"/>
          </rPr>
          <t xml:space="preserve">
Nieuw</t>
        </r>
      </text>
    </comment>
    <comment ref="C185" authorId="0" shapeId="0" xr:uid="{00000000-0006-0000-0900-00000C000000}">
      <text>
        <r>
          <rPr>
            <b/>
            <sz val="9"/>
            <color indexed="81"/>
            <rFont val="Tahoma"/>
            <family val="2"/>
          </rPr>
          <t>Nelleke van den Broek-Honingh:</t>
        </r>
        <r>
          <rPr>
            <sz val="9"/>
            <color indexed="81"/>
            <rFont val="Tahoma"/>
            <family val="2"/>
          </rPr>
          <t xml:space="preserve">
Nieuw</t>
        </r>
      </text>
    </comment>
    <comment ref="C186" authorId="0" shapeId="0" xr:uid="{00000000-0006-0000-0900-00000D000000}">
      <text>
        <r>
          <rPr>
            <b/>
            <sz val="9"/>
            <color indexed="81"/>
            <rFont val="Tahoma"/>
            <family val="2"/>
          </rPr>
          <t>Nelleke van den Broek-Honingh:</t>
        </r>
        <r>
          <rPr>
            <sz val="9"/>
            <color indexed="81"/>
            <rFont val="Tahoma"/>
            <family val="2"/>
          </rPr>
          <t xml:space="preserve">
Nieuw</t>
        </r>
      </text>
    </comment>
    <comment ref="C187" authorId="0" shapeId="0" xr:uid="{00000000-0006-0000-0900-00000E000000}">
      <text>
        <r>
          <rPr>
            <b/>
            <sz val="9"/>
            <color indexed="81"/>
            <rFont val="Tahoma"/>
            <family val="2"/>
          </rPr>
          <t>Nelleke van den Broek-Honingh:</t>
        </r>
        <r>
          <rPr>
            <sz val="9"/>
            <color indexed="81"/>
            <rFont val="Tahoma"/>
            <family val="2"/>
          </rPr>
          <t xml:space="preserve">
Nieuw</t>
        </r>
      </text>
    </comment>
    <comment ref="C188" authorId="0" shapeId="0" xr:uid="{00000000-0006-0000-0900-00000F000000}">
      <text>
        <r>
          <rPr>
            <b/>
            <sz val="9"/>
            <color indexed="81"/>
            <rFont val="Tahoma"/>
            <family val="2"/>
          </rPr>
          <t>Nelleke van den Broek-Honingh:</t>
        </r>
        <r>
          <rPr>
            <sz val="9"/>
            <color indexed="81"/>
            <rFont val="Tahoma"/>
            <family val="2"/>
          </rPr>
          <t xml:space="preserve">
Nieuw</t>
        </r>
      </text>
    </comment>
    <comment ref="C189" authorId="0" shapeId="0" xr:uid="{00000000-0006-0000-0900-000010000000}">
      <text>
        <r>
          <rPr>
            <b/>
            <sz val="9"/>
            <color indexed="81"/>
            <rFont val="Tahoma"/>
            <family val="2"/>
          </rPr>
          <t>Nelleke van den Broek-Honingh:</t>
        </r>
        <r>
          <rPr>
            <sz val="9"/>
            <color indexed="81"/>
            <rFont val="Tahoma"/>
            <family val="2"/>
          </rPr>
          <t xml:space="preserve">
Nieuw</t>
        </r>
      </text>
    </comment>
    <comment ref="C190" authorId="0" shapeId="0" xr:uid="{00000000-0006-0000-0900-000011000000}">
      <text>
        <r>
          <rPr>
            <b/>
            <sz val="9"/>
            <color indexed="81"/>
            <rFont val="Tahoma"/>
            <family val="2"/>
          </rPr>
          <t>Nelleke van den Broek-Honingh:</t>
        </r>
        <r>
          <rPr>
            <sz val="9"/>
            <color indexed="81"/>
            <rFont val="Tahoma"/>
            <family val="2"/>
          </rPr>
          <t xml:space="preserve">
Nieuw</t>
        </r>
      </text>
    </comment>
    <comment ref="C191" authorId="0" shapeId="0" xr:uid="{00000000-0006-0000-0900-000012000000}">
      <text>
        <r>
          <rPr>
            <b/>
            <sz val="9"/>
            <color indexed="81"/>
            <rFont val="Tahoma"/>
            <family val="2"/>
          </rPr>
          <t>Nelleke van den Broek-Honingh:</t>
        </r>
        <r>
          <rPr>
            <sz val="9"/>
            <color indexed="81"/>
            <rFont val="Tahoma"/>
            <family val="2"/>
          </rPr>
          <t xml:space="preserve">
Nieuw</t>
        </r>
      </text>
    </comment>
    <comment ref="C203" authorId="0" shapeId="0" xr:uid="{00000000-0006-0000-0900-000013000000}">
      <text>
        <r>
          <rPr>
            <b/>
            <sz val="9"/>
            <color indexed="81"/>
            <rFont val="Tahoma"/>
            <family val="2"/>
          </rPr>
          <t>Nelleke van den Broek-Honingh:</t>
        </r>
        <r>
          <rPr>
            <sz val="9"/>
            <color indexed="81"/>
            <rFont val="Tahoma"/>
            <family val="2"/>
          </rPr>
          <t xml:space="preserve">
Nieuw</t>
        </r>
      </text>
    </comment>
    <comment ref="C204" authorId="0" shapeId="0" xr:uid="{00000000-0006-0000-0900-000014000000}">
      <text>
        <r>
          <rPr>
            <b/>
            <sz val="9"/>
            <color indexed="81"/>
            <rFont val="Tahoma"/>
            <family val="2"/>
          </rPr>
          <t>Nelleke van den Broek-Honingh:</t>
        </r>
        <r>
          <rPr>
            <sz val="9"/>
            <color indexed="81"/>
            <rFont val="Tahoma"/>
            <family val="2"/>
          </rPr>
          <t xml:space="preserve">
Nieuw</t>
        </r>
      </text>
    </comment>
    <comment ref="C205" authorId="0" shapeId="0" xr:uid="{00000000-0006-0000-0900-000015000000}">
      <text>
        <r>
          <rPr>
            <b/>
            <sz val="9"/>
            <color indexed="81"/>
            <rFont val="Tahoma"/>
            <family val="2"/>
          </rPr>
          <t>Nelleke van den Broek-Honingh:</t>
        </r>
        <r>
          <rPr>
            <sz val="9"/>
            <color indexed="81"/>
            <rFont val="Tahoma"/>
            <family val="2"/>
          </rPr>
          <t xml:space="preserve">
Nieuw</t>
        </r>
      </text>
    </comment>
    <comment ref="C206" authorId="0" shapeId="0" xr:uid="{00000000-0006-0000-0900-000016000000}">
      <text>
        <r>
          <rPr>
            <b/>
            <sz val="9"/>
            <color indexed="81"/>
            <rFont val="Tahoma"/>
            <family val="2"/>
          </rPr>
          <t>Nelleke van den Broek-Honingh:</t>
        </r>
        <r>
          <rPr>
            <sz val="9"/>
            <color indexed="81"/>
            <rFont val="Tahoma"/>
            <family val="2"/>
          </rPr>
          <t xml:space="preserve">
Nieuw</t>
        </r>
      </text>
    </comment>
    <comment ref="C207" authorId="0" shapeId="0" xr:uid="{00000000-0006-0000-0900-000017000000}">
      <text>
        <r>
          <rPr>
            <b/>
            <sz val="9"/>
            <color indexed="81"/>
            <rFont val="Tahoma"/>
            <family val="2"/>
          </rPr>
          <t>Nelleke van den Broek-Honingh:</t>
        </r>
        <r>
          <rPr>
            <sz val="9"/>
            <color indexed="81"/>
            <rFont val="Tahoma"/>
            <family val="2"/>
          </rPr>
          <t xml:space="preserve">
Nieuw</t>
        </r>
      </text>
    </comment>
    <comment ref="C208" authorId="0" shapeId="0" xr:uid="{00000000-0006-0000-0900-000018000000}">
      <text>
        <r>
          <rPr>
            <b/>
            <sz val="9"/>
            <color indexed="81"/>
            <rFont val="Tahoma"/>
            <family val="2"/>
          </rPr>
          <t>Nelleke van den Broek-Honingh:</t>
        </r>
        <r>
          <rPr>
            <sz val="9"/>
            <color indexed="81"/>
            <rFont val="Tahoma"/>
            <family val="2"/>
          </rPr>
          <t xml:space="preserve">
Nieuw</t>
        </r>
      </text>
    </comment>
    <comment ref="C209" authorId="0" shapeId="0" xr:uid="{00000000-0006-0000-0900-000019000000}">
      <text>
        <r>
          <rPr>
            <b/>
            <sz val="9"/>
            <color indexed="81"/>
            <rFont val="Tahoma"/>
            <family val="2"/>
          </rPr>
          <t>Nelleke van den Broek-Honingh:</t>
        </r>
        <r>
          <rPr>
            <sz val="9"/>
            <color indexed="81"/>
            <rFont val="Tahoma"/>
            <family val="2"/>
          </rPr>
          <t xml:space="preserve">
Nieuw</t>
        </r>
      </text>
    </comment>
    <comment ref="C210" authorId="0" shapeId="0" xr:uid="{00000000-0006-0000-0900-00001A000000}">
      <text>
        <r>
          <rPr>
            <b/>
            <sz val="9"/>
            <color indexed="81"/>
            <rFont val="Tahoma"/>
            <family val="2"/>
          </rPr>
          <t>Nelleke van den Broek-Honingh:</t>
        </r>
        <r>
          <rPr>
            <sz val="9"/>
            <color indexed="81"/>
            <rFont val="Tahoma"/>
            <family val="2"/>
          </rPr>
          <t xml:space="preserve">
Nieuw</t>
        </r>
      </text>
    </comment>
    <comment ref="C211" authorId="0" shapeId="0" xr:uid="{00000000-0006-0000-0900-00001B000000}">
      <text>
        <r>
          <rPr>
            <b/>
            <sz val="9"/>
            <color indexed="81"/>
            <rFont val="Tahoma"/>
            <family val="2"/>
          </rPr>
          <t>Nelleke van den Broek-Honingh:</t>
        </r>
        <r>
          <rPr>
            <sz val="9"/>
            <color indexed="81"/>
            <rFont val="Tahoma"/>
            <family val="2"/>
          </rPr>
          <t xml:space="preserve">
Nieuw</t>
        </r>
      </text>
    </comment>
  </commentList>
</comments>
</file>

<file path=xl/sharedStrings.xml><?xml version="1.0" encoding="utf-8"?>
<sst xmlns="http://schemas.openxmlformats.org/spreadsheetml/2006/main" count="3232" uniqueCount="1098">
  <si>
    <t>INHOUD VAN HET DOCUMENT</t>
  </si>
  <si>
    <t>- Toelichting</t>
  </si>
  <si>
    <t>- Totaaloverzicht: overheidsuitgaven voor R&amp;D en innovatie 2024-2030, in miljoenen euro en procenten van het BBP</t>
  </si>
  <si>
    <t>- Overheidsuitgaven voor R&amp;D en het aandeel innovatierelevante R&amp;D-uitgaven, per begrotingsartikel, 2024-2030, in miljoenen euro</t>
  </si>
  <si>
    <t>- Overheidsuitgaven voor innovatie per begrotingsartikel, 2024-2030, in miljoenen euro</t>
  </si>
  <si>
    <t>- Overzicht: overheidsuitgaven voor R&amp;D en innovatie, per departement, 2024-2030, in miljoenen euro</t>
  </si>
  <si>
    <t>- Fiscale instrumenten voor R&amp;D en innovatie, 2024-2030, in miljoenen euro</t>
  </si>
  <si>
    <t>- Overheidsuitgaven voor R&amp;D naar type uitgaven, 2024-2030</t>
  </si>
  <si>
    <t>- R&amp;D-uitgaven per NABS-categorie, 2024-2030 (Europese classificatie 2007)</t>
  </si>
  <si>
    <t>TOELICHTING</t>
  </si>
  <si>
    <t>ALGEMENE TOELICHTING</t>
  </si>
  <si>
    <t>- De cijfers van OCW zijn wat betreft het onderzoeksgedeelte van de eerste geldstroom van de universiteiten inclusief de bijdrage</t>
  </si>
  <si>
    <t>aan het onderzoeksgedeelte van de Wageningen Universiteit.</t>
  </si>
  <si>
    <t xml:space="preserve">- De cijfers van EZK zijn vanaf 2011 inclusief de bijdragen van de ministeries van OCW, I&amp;M, SZW en VWS voor de vraagfinanciering TNO. </t>
  </si>
  <si>
    <t xml:space="preserve">- De cijfers voor 2024 zijn de realisatiecijfers. De cijfers voor 2025 zijn de voorlopige realisatiecijfers 2025, stand begroting 2026. </t>
  </si>
  <si>
    <t xml:space="preserve">De tabel bevat voor 2026 de cijfers van de ontwerpbegroting. De cijfers voor de jaren 2027-2030 zijn de meerjarenramingen. </t>
  </si>
  <si>
    <t>SPECIFIEKE TOELICHTING</t>
  </si>
  <si>
    <t>Definitie van onderzoek en ontwikkelingswerk (R&amp;D)</t>
  </si>
  <si>
    <t xml:space="preserve">Onderzoek (en ontwikkeling) omvat systematisch verrichte, creatieve activiteiten, gebaseerd op wetenschappelijke methoden en </t>
  </si>
  <si>
    <t>gericht op het vergroten van wetenschappelijke kennis en op het ontwikkelen van toepassingen van die kennis.</t>
  </si>
  <si>
    <t>Kenmerkend voor R&amp;D is het element van oorspronkelijkheid of vernieuwing in het onderzoek.</t>
  </si>
  <si>
    <r>
      <t>Niet</t>
    </r>
    <r>
      <rPr>
        <sz val="11"/>
        <rFont val="Calibri"/>
        <family val="2"/>
        <scheme val="minor"/>
      </rPr>
      <t xml:space="preserve"> als onderzoek aan te merken zijn activiteiten zoals: </t>
    </r>
  </si>
  <si>
    <t>- routinematig verzamelen van gegevens of het routinematig verrichten van metingen;</t>
  </si>
  <si>
    <t>- documentatiewerkzaamheden en vertaalwerk, verspreiding van wetenschappelijke publicaties;</t>
  </si>
  <si>
    <t>- haalbaarheidsonderzoeken, kwaliteitscontroles en vergelijkende onderzoeken;</t>
  </si>
  <si>
    <t>- marketing en implementatie van toepassingen.</t>
  </si>
  <si>
    <t>A. Institutionele financiering: Vaste bijdragen aan instituten</t>
  </si>
  <si>
    <t xml:space="preserve">Uitgaven die samenhangen met min of meer vaste bijdragen aan onderzoeksinstituten. Het betreft de financiering van instellingen zonder dat er sprake is van een directe selectie van projecten of programma’s vanuit het departement en zonder directe inhoudelijke invulling vanuit de departementen. De uitgaven kunnen de vorm hebben van een basisfinanciering, gericht op de instandhouding van een basisvoorziening, en/of een vorm van doelfinanciering, waarbij de invulling plaatsvindt door het instituut. Dat sluit overigens niet uit dat wensen van het departement daarbij een rol kunnen spelen. </t>
  </si>
  <si>
    <t>B. Projectfinancering: Uitgaven voor onderzoek en ontwikkelingswerk in projecten en programma's</t>
  </si>
  <si>
    <t xml:space="preserve">Uitgaven van een departement voor het onderzoek dat het departement zelf verricht of laat doen door eigen onderzoeksdiensten dan wel uitbesteedt aan universiteiten, instituten of andere derden (private non profit of private partijen). Het gaat om geld dat wordt toegekend aan een groep of individu voor de uitvoering van een R&amp;D-activiteit, dat beperkt is in reikwijdte, budget en tijd, en meestal wordt uitgevoerd op basis van de indiening van een onderzoeksvoorstel dat de onderzoeksactiviteiten beschrijft. </t>
  </si>
  <si>
    <t>%-R&amp;D</t>
  </si>
  <si>
    <t>Aandeel van de vermelde uitgaven voor onderzoek en ontwikkelingswerk in de totale uitgaven van het begrotingsartikel.</t>
  </si>
  <si>
    <t>Code NABS-categorie</t>
  </si>
  <si>
    <t xml:space="preserve">De NABS-classificatie is een indeling van het statistische bureau van de EU (EUROSTAT) met als doel de uitgaven voor R&amp;D te classificeren naar het doel dat het departement voor ogen heeft met de uitgaven. De classificatie kent twee niveaus. Deze twee niveaus gelden echter alleen voor twee categorieën (niet-toepassingsgericht onderzoek).
</t>
  </si>
  <si>
    <t>Bestemming</t>
  </si>
  <si>
    <t xml:space="preserve">Welke organisatie heeft het onderzoek verricht? </t>
  </si>
  <si>
    <t>Budgetten voor innovatie</t>
  </si>
  <si>
    <t>Overheidsbudgetten, die gericht zijn op het financieren van:</t>
  </si>
  <si>
    <t xml:space="preserve">activiteiten (technologisch, organisatorisch, commercieel) die primair gericht zijn op en de intentie hebben om vernieuwing </t>
  </si>
  <si>
    <t>in zowel de private als de publieke sector tot stand te brengen, leidend tot:</t>
  </si>
  <si>
    <t>- nieuwe of sterk verbeterde producten</t>
  </si>
  <si>
    <t>- nieuwe processen / methoden</t>
  </si>
  <si>
    <t>- nieuwe of sterk verbeterde diensten</t>
  </si>
  <si>
    <t>- administratieve, organisatorische of marketinginnovatie</t>
  </si>
  <si>
    <t>Geschat aandeel innovatie (%)</t>
  </si>
  <si>
    <t xml:space="preserve">Aandeel van de vermelde R&amp;D-uitgaven dat innovatierelevant is. </t>
  </si>
  <si>
    <t>Overige uitgaven voor innovatie, niet zijnde R&amp;D</t>
  </si>
  <si>
    <t>Het betreft departementale budgetten die geen R&amp;D component hebben, maar specifiek gericht zijn op de bevordering van innovatie.</t>
  </si>
  <si>
    <t>Het gaat om afgebakende overheidsinitiatieven of -interventies waar uit het doel duidelijk blijkt dat ze innovatie of</t>
  </si>
  <si>
    <t>innovatiegerelateerde activiteiten bevorderen in de betreffende sector.</t>
  </si>
  <si>
    <t>Overheidsuitgaven voor R&amp;D en innovatie, 2024-2030, in miljoenen euro en in procenten BBP</t>
  </si>
  <si>
    <t>in miljoenen euro</t>
  </si>
  <si>
    <t>A.</t>
  </si>
  <si>
    <t>Uitgaven voor R&amp;D</t>
  </si>
  <si>
    <t>- waarvan innovatierelevant</t>
  </si>
  <si>
    <t xml:space="preserve">B. </t>
  </si>
  <si>
    <t>Uitgaven voor innovatie, niet zijnde R&amp;D</t>
  </si>
  <si>
    <t xml:space="preserve">C. </t>
  </si>
  <si>
    <t>Fiscale instrumenten voor R&amp;D en innovatie</t>
  </si>
  <si>
    <t>- waarvan alleen voor innovatie: MIA/VAMIL/Groen beleggen</t>
  </si>
  <si>
    <t>Totaal</t>
  </si>
  <si>
    <t>- waarvan (relevante) uitgaven voor innovatie</t>
  </si>
  <si>
    <t>- in procenten van het totaal</t>
  </si>
  <si>
    <t>in procenten van het BBP</t>
  </si>
  <si>
    <t>Uitgaven voor R&amp;D, als % BBP</t>
  </si>
  <si>
    <t>Uitgaven voor innovatie, niet zijnde R&amp;D, als % BBP</t>
  </si>
  <si>
    <t>Fiscale instrumenten voor R&amp;D en innovatie, als % BBP</t>
  </si>
  <si>
    <t>Totale uitgaven voor R&amp;D en innovatie, als % BBP</t>
  </si>
  <si>
    <t>- (relevante) uitgaven voor innovatie</t>
  </si>
  <si>
    <t>BBP (miljarden euro)</t>
  </si>
  <si>
    <t>Bbp volumegroei % 2027-2030</t>
  </si>
  <si>
    <t>Uitgaven voor R&amp;D, niet innovatierelevant</t>
  </si>
  <si>
    <t>Fiscaal voor R&amp;D</t>
  </si>
  <si>
    <t>% bbp</t>
  </si>
  <si>
    <t>Overheidsuitgaven voor R&amp;D 2024-2030, op basis van begrotingscijfers 2026, per begrotingsartikel, per departement, in miljoenen euro</t>
  </si>
  <si>
    <t>Artikelnr.</t>
  </si>
  <si>
    <t>Begrotingsartikel</t>
  </si>
  <si>
    <t>realisatie</t>
  </si>
  <si>
    <t xml:space="preserve">stand begr. </t>
  </si>
  <si>
    <t>ontwerp</t>
  </si>
  <si>
    <t>meerjarencijfers</t>
  </si>
  <si>
    <t>% R&amp;D van (sub-)artikel</t>
  </si>
  <si>
    <t>Nabscode</t>
  </si>
  <si>
    <t>NABS</t>
  </si>
  <si>
    <t>Type</t>
  </si>
  <si>
    <t>% innovatie-</t>
  </si>
  <si>
    <t>Absolute bedragen innovatierelevant</t>
  </si>
  <si>
    <t>relevant</t>
  </si>
  <si>
    <t>III Algemene Zaken</t>
  </si>
  <si>
    <t>1-2</t>
  </si>
  <si>
    <t>Eenheid van het algemeen regeringsbeleid</t>
  </si>
  <si>
    <t>Politieke en soc. systemen, structuren/processen</t>
  </si>
  <si>
    <t>R</t>
  </si>
  <si>
    <t>Proj.</t>
  </si>
  <si>
    <t>TOTAAL ALGEMENE ZAKEN</t>
  </si>
  <si>
    <t>V Buitenlandse Zaken</t>
  </si>
  <si>
    <t>Stichting Instituut Clingendael</t>
  </si>
  <si>
    <t>SO</t>
  </si>
  <si>
    <t>Inst.</t>
  </si>
  <si>
    <t>Onderzoeksprogramma</t>
  </si>
  <si>
    <t>IO</t>
  </si>
  <si>
    <t>Landenspecifieke sectorale samenwerking</t>
  </si>
  <si>
    <t>Thematische samenwerking</t>
  </si>
  <si>
    <t>Speciale activiteiten</t>
  </si>
  <si>
    <t>TOTAAL BUITENLANDSE ZAKEN</t>
  </si>
  <si>
    <t>VI Justitie en Veiligheid</t>
  </si>
  <si>
    <t>uitgevoerd door universiteiten</t>
  </si>
  <si>
    <t>U</t>
  </si>
  <si>
    <t>proj.</t>
  </si>
  <si>
    <t>uitgevoerd door onderzoeksinstituten</t>
  </si>
  <si>
    <t>So</t>
  </si>
  <si>
    <t>Uitgevoerd door eigen diensten/kenniscentra (WODC)</t>
  </si>
  <si>
    <t>33.3</t>
  </si>
  <si>
    <t>Nederlands Forensisch Instituut (Opsporing en vervolging)</t>
  </si>
  <si>
    <t>NFI</t>
  </si>
  <si>
    <t>TOTAAL VEILIGHEID EN JUSTITIE</t>
  </si>
  <si>
    <t>VII Binnenlandse Zaken en Koninkrijksrelaties</t>
  </si>
  <si>
    <t>H22: artikel 1.1, 2.1 en 2.2</t>
  </si>
  <si>
    <t>Woningmarkt/Energietransitie en duurzaamheid/Bouwregelgeving en bouwkwaliteit</t>
  </si>
  <si>
    <t>1,3,5</t>
  </si>
  <si>
    <t>Onderzoeksinstituten (niet benoemd welke)</t>
  </si>
  <si>
    <t>O</t>
  </si>
  <si>
    <t>H22 artikel 2</t>
  </si>
  <si>
    <t>NGF: uitgevoerd door onderzoeksinstituten</t>
  </si>
  <si>
    <t>NGF: uitgevoerd door universiteiten</t>
  </si>
  <si>
    <t>TOTAAL BINNENLANDSE ZAKEN EN KONINKRIJKSRELATIES</t>
  </si>
  <si>
    <t>VIII Onderwijs, Cultuur en Wetenschap</t>
  </si>
  <si>
    <t>Universiteiten (incl. WUR)</t>
  </si>
  <si>
    <t>12 div.</t>
  </si>
  <si>
    <t>Onderzoek uit algemene universitaire fondsen</t>
  </si>
  <si>
    <t>inst.</t>
  </si>
  <si>
    <t xml:space="preserve">Onderzoek UMC's </t>
  </si>
  <si>
    <t>12.3</t>
  </si>
  <si>
    <t>Medische wetenschappen</t>
  </si>
  <si>
    <t>UMC</t>
  </si>
  <si>
    <t>Onderzoekscomponent hogescholen (HBO Bekostiging Deel ontwerp en ontwikkeling)(incl. groen)</t>
  </si>
  <si>
    <t>HBO</t>
  </si>
  <si>
    <t>NWO: Praktijkgericht onderzoek hbo  (SIA)</t>
  </si>
  <si>
    <t>Bekostiging Praktijkgericht onderzoek hbo (Fonds Onderzoek en Wetenschap)</t>
  </si>
  <si>
    <t>NationaalGroeiFonds: Nationale LLO-Katalysator</t>
  </si>
  <si>
    <t>Onderwijs</t>
  </si>
  <si>
    <t>NationaalGroeiFonds: Digitaliseringsimpuls NL</t>
  </si>
  <si>
    <t>NationaalGroeiFonds: Nationale Aanpak Professionalisering van Leraren</t>
  </si>
  <si>
    <t>HO</t>
  </si>
  <si>
    <t>NUFFIC</t>
  </si>
  <si>
    <t>UNU-MERIT</t>
  </si>
  <si>
    <t>13.5</t>
  </si>
  <si>
    <t>Sociale wetenschappen</t>
  </si>
  <si>
    <t>div.</t>
  </si>
  <si>
    <t>Onderwijsonderzoek</t>
  </si>
  <si>
    <t>U/HBO/NWO/SO</t>
  </si>
  <si>
    <t>KNAW</t>
  </si>
  <si>
    <t>NWO</t>
  </si>
  <si>
    <t>DIV.</t>
  </si>
  <si>
    <t>NWO NWA</t>
  </si>
  <si>
    <t>Fonds Onderzoek en Wetenschap: NWO</t>
  </si>
  <si>
    <t>Fonds Onderzoek en Wetenschap: subsidies</t>
  </si>
  <si>
    <t>Delta Climate Center</t>
  </si>
  <si>
    <t>Milieubeheer en milieuzorg</t>
  </si>
  <si>
    <t>DCC</t>
  </si>
  <si>
    <t>Koninklijke Bibliotheek (hoofdbekostiging, zie ook art. 14)</t>
  </si>
  <si>
    <t>Cultuur, recreatie, religie en massamedia</t>
  </si>
  <si>
    <t>NWO Talentenontwikkeling (o.a. VI)</t>
  </si>
  <si>
    <t>NWO TTW</t>
  </si>
  <si>
    <t>13.2</t>
  </si>
  <si>
    <t>Technische wetenschappen</t>
  </si>
  <si>
    <t>STW</t>
  </si>
  <si>
    <t>NWO Grootschalige researchinfrastructuur</t>
  </si>
  <si>
    <t>NWO Regieorgaan onderwijsonderzoek</t>
  </si>
  <si>
    <t>nwo</t>
  </si>
  <si>
    <t>Naturalis - Biodiversity center</t>
  </si>
  <si>
    <t>13.1</t>
  </si>
  <si>
    <t>Naturalis</t>
  </si>
  <si>
    <t>Primatencentrum (BPRC)</t>
  </si>
  <si>
    <t>Gezondheid</t>
  </si>
  <si>
    <t>STT</t>
  </si>
  <si>
    <t xml:space="preserve">Caribisch Nederland </t>
  </si>
  <si>
    <t>Exploratie en exploitatie van het aards milieu</t>
  </si>
  <si>
    <t>Poolonderzoek</t>
  </si>
  <si>
    <t>Natuurwetenschappen</t>
  </si>
  <si>
    <t>Nationale coördinatie</t>
  </si>
  <si>
    <t>EMBC</t>
  </si>
  <si>
    <t>EMBL</t>
  </si>
  <si>
    <t>ESA</t>
  </si>
  <si>
    <t>Exploratie en exploitatie van de ruimte</t>
  </si>
  <si>
    <t>CERN</t>
  </si>
  <si>
    <t>ESO</t>
  </si>
  <si>
    <t>SKAO</t>
  </si>
  <si>
    <t>Netherlands Academy of Engineering</t>
  </si>
  <si>
    <t>Industriële productie en technologie</t>
  </si>
  <si>
    <t>NEA</t>
  </si>
  <si>
    <t>NEMO</t>
  </si>
  <si>
    <t>Stichting AAP</t>
  </si>
  <si>
    <t>Rijksdienst voor het Cultureel Erfgoed (RCE)</t>
  </si>
  <si>
    <t>14.4</t>
  </si>
  <si>
    <t>Rijksbureau voor Kunsthistorisch onderzoek (RKD)</t>
  </si>
  <si>
    <t>Culturele zaken: onderzoek</t>
  </si>
  <si>
    <t>Subsidie Boekmanstichting</t>
  </si>
  <si>
    <t>NGF- Einstein Telescope</t>
  </si>
  <si>
    <t>NGF- Zelfdenkende moleculaire systemen</t>
  </si>
  <si>
    <t>NGF- BioTech Booster</t>
  </si>
  <si>
    <t>TOTAAL ONDERWIJS, CULTUUR EN WETENSCHAP</t>
  </si>
  <si>
    <t>X Defensie</t>
  </si>
  <si>
    <t>U0604</t>
  </si>
  <si>
    <t>Bijdrage grote onderzoeksfaciliteiten</t>
  </si>
  <si>
    <t>Defensie</t>
  </si>
  <si>
    <t>TNO/NLR/MARIN</t>
  </si>
  <si>
    <t>U0945</t>
  </si>
  <si>
    <t>institutionele financiering TNO</t>
  </si>
  <si>
    <t>TO2</t>
  </si>
  <si>
    <t>institutionele financiering NLR</t>
  </si>
  <si>
    <t>institutionele financiering MARIN</t>
  </si>
  <si>
    <t>Programmafinanciering TNO, NLR, MARIN</t>
  </si>
  <si>
    <t>Projecten uitgevoerd door andere binnenlandse private derden</t>
  </si>
  <si>
    <t>U0601</t>
  </si>
  <si>
    <t xml:space="preserve">Cofinanciering internationaal (S&amp;T int. samenw en S&amp;T NAVO INNOV) </t>
  </si>
  <si>
    <t>NGF Project Polaris</t>
  </si>
  <si>
    <t>U/TO2/O</t>
  </si>
  <si>
    <t>TOTAAL DEFENSIE</t>
  </si>
  <si>
    <t>XI Infrastructuur en Waterstaat</t>
  </si>
  <si>
    <t>1217U01020004</t>
  </si>
  <si>
    <t>1214U02020003</t>
  </si>
  <si>
    <t>Veiligheid Subs SWOV</t>
  </si>
  <si>
    <t>Transport, telecommunicatie en overige infrastructuren</t>
  </si>
  <si>
    <t>SWOV</t>
  </si>
  <si>
    <t>5512U0602</t>
  </si>
  <si>
    <t>InfraQuest/TrafficQuest</t>
  </si>
  <si>
    <t>TNO/TUD</t>
  </si>
  <si>
    <t>Afdrachten CROW</t>
  </si>
  <si>
    <t>CROW</t>
  </si>
  <si>
    <t>Basisfinanciering CUR</t>
  </si>
  <si>
    <t>CUR</t>
  </si>
  <si>
    <t>Vernieuwing Bouw (Bouwcampus)</t>
  </si>
  <si>
    <t>Vern. Bouw</t>
  </si>
  <si>
    <t>5512U0603</t>
  </si>
  <si>
    <t>Bouwagenda</t>
  </si>
  <si>
    <t>Bouwcampus</t>
  </si>
  <si>
    <t>PianOo</t>
  </si>
  <si>
    <t>Centrum Ondergrondsbouwen</t>
  </si>
  <si>
    <t>COB</t>
  </si>
  <si>
    <t>NEN</t>
  </si>
  <si>
    <t>NNI</t>
  </si>
  <si>
    <t>Kennisontwikkeling (allianties) universiteiten</t>
  </si>
  <si>
    <t>TUD/TUE e.a.</t>
  </si>
  <si>
    <t>6505U0201</t>
  </si>
  <si>
    <t>Kennisontwikkeling (allianties) universiteiten (HWS)</t>
  </si>
  <si>
    <t>Topconsortium Kennis en Innovatie Bouw&amp;Techniek</t>
  </si>
  <si>
    <t>Deltares</t>
  </si>
  <si>
    <t>Landbouw</t>
  </si>
  <si>
    <t>1211/1213</t>
  </si>
  <si>
    <t>DGWB overige K&amp;I programmering</t>
  </si>
  <si>
    <t>RIVM, KNMI, Stowa, NIOZ</t>
  </si>
  <si>
    <t>RWS</t>
  </si>
  <si>
    <t>Arcadis, boskalis</t>
  </si>
  <si>
    <t>1223U01</t>
  </si>
  <si>
    <t>Meteorologie, seismologie en Aardobservatie (KNMI)</t>
  </si>
  <si>
    <t>KNMI</t>
  </si>
  <si>
    <t>Apparaat Planbureau Leefomgeving (PBL)</t>
  </si>
  <si>
    <t>PBL</t>
  </si>
  <si>
    <t>Doorontwikkeling kennismanagement HWN (incl. energie/klimaat)</t>
  </si>
  <si>
    <t xml:space="preserve">diverse kennisinfra </t>
  </si>
  <si>
    <t>TrafficQuest (projectgebonden) samengevoegd met InfraQuest</t>
  </si>
  <si>
    <t>Kennisprogramma Knowledge-based Pavement Engineering (KPE)</t>
  </si>
  <si>
    <t>Kennis-en kaderontwikkeling energieneutraliteit &amp; klimaatadaptatie</t>
  </si>
  <si>
    <t>Doorontwikkeling kennismanagement HWS</t>
  </si>
  <si>
    <t>Climate Adaptive Water Hubs</t>
  </si>
  <si>
    <t>1211U divers</t>
  </si>
  <si>
    <t>Nationaal Groeifondsprojecten Uppwater &amp; NL2120 DGWB</t>
  </si>
  <si>
    <t>Uppwater, NL2120</t>
  </si>
  <si>
    <t>PPS call landbouw, water voedsel + strategisch onderzoeksbudget</t>
  </si>
  <si>
    <t>uitvoering via een intermediaire organisatie</t>
  </si>
  <si>
    <t>1214U03010001</t>
  </si>
  <si>
    <t xml:space="preserve">NGF Luchtvaart in transitie </t>
  </si>
  <si>
    <t>ECN</t>
  </si>
  <si>
    <t>RIVM</t>
  </si>
  <si>
    <t>1218U01020018</t>
  </si>
  <si>
    <t>NML, divers (regelingen)</t>
  </si>
  <si>
    <t>TOTAAL INFRASTRUCTUUR EN WATERSTAAT</t>
  </si>
  <si>
    <t>Art. 1</t>
  </si>
  <si>
    <t>Goed functionerende economie en markten</t>
  </si>
  <si>
    <t>Onderzoek &amp; opdrachten</t>
  </si>
  <si>
    <t>R/O</t>
  </si>
  <si>
    <t>Beleidsvoorbereiding en evaluaties Veiligheid en Frequenties</t>
  </si>
  <si>
    <t>R/SO/O</t>
  </si>
  <si>
    <t>Cybersecurity (opdrachten)</t>
  </si>
  <si>
    <t>4,5,6,7,8,14</t>
  </si>
  <si>
    <t>U/NWO/TNO/SO/O</t>
  </si>
  <si>
    <t>Bijdrage Metrologie</t>
  </si>
  <si>
    <t>Bijdrage aan het CBS</t>
  </si>
  <si>
    <t>Politieke en soc. Systemen, structuren/processen</t>
  </si>
  <si>
    <t>Kennis en innovatie ICT</t>
  </si>
  <si>
    <t>SO/O</t>
  </si>
  <si>
    <t>NGF-project AINED RVO</t>
  </si>
  <si>
    <t>9,13.2</t>
  </si>
  <si>
    <t>U/HBO/O/TO2</t>
  </si>
  <si>
    <t>NGF-Project Nationaal Onderwijs Lab.</t>
  </si>
  <si>
    <t>U/HBO/SO/O</t>
  </si>
  <si>
    <t>NGF-project 6G Future Network Services (RVO)</t>
  </si>
  <si>
    <t>U/TNO/SO/HBO/O</t>
  </si>
  <si>
    <t>NGF - projecten subsidieroute</t>
  </si>
  <si>
    <t>2,4,5</t>
  </si>
  <si>
    <t>U/HBO/TNO/SO/O</t>
  </si>
  <si>
    <t>AI-fabriek</t>
  </si>
  <si>
    <t>PEGA - AI-fabriek</t>
  </si>
  <si>
    <t>Art. 2</t>
  </si>
  <si>
    <t>Bedrijvenbeleid: innovatief en duurzaam ondernemen</t>
  </si>
  <si>
    <t>MKB-Innovatiestimulering Topsectoren (MIT) Subsidies</t>
  </si>
  <si>
    <t>4,5,6,7,8,10</t>
  </si>
  <si>
    <t>U/TO2/SO/O</t>
  </si>
  <si>
    <t>MKB-Innovatiestimulering Topsectoren (MIT) Mede-overheden</t>
  </si>
  <si>
    <t>Eurostars: Eurostars</t>
  </si>
  <si>
    <t>Euro hpc (RVO)</t>
  </si>
  <si>
    <t>Euro QCI (KD)</t>
  </si>
  <si>
    <t xml:space="preserve"> Maritieme maakindustrie</t>
  </si>
  <si>
    <t xml:space="preserve"> IPCEI Cloudinfrastructuur en services (CIS)</t>
  </si>
  <si>
    <t xml:space="preserve"> IPCEI Micro elektronica</t>
  </si>
  <si>
    <t>IPCEI Advanced Semiconductor Technologies (subsidies)</t>
  </si>
  <si>
    <t>Overig: bijdrage aan NML</t>
  </si>
  <si>
    <t>4,5,6</t>
  </si>
  <si>
    <t>Bijdrage aan TNO</t>
  </si>
  <si>
    <t>TNO</t>
  </si>
  <si>
    <t xml:space="preserve"> Internationaal Innoveren</t>
  </si>
  <si>
    <t xml:space="preserve"> PPS-toeslag</t>
  </si>
  <si>
    <t>U/UMC/TO2/SO/O</t>
  </si>
  <si>
    <t>MARIN</t>
  </si>
  <si>
    <t xml:space="preserve"> Economische ontwikkeling en technologie</t>
  </si>
  <si>
    <t>U/TNO/DLO/SO/O</t>
  </si>
  <si>
    <t>Bijdrage aan NWO-TTW</t>
  </si>
  <si>
    <t>Topsectoren overig (Innovatieprogramma's algemeen)</t>
  </si>
  <si>
    <t>Topsectoren overig (NWO)</t>
  </si>
  <si>
    <t>Ruimtevaart (ESA)</t>
  </si>
  <si>
    <t>U/R/SO/O</t>
  </si>
  <si>
    <t xml:space="preserve"> Small Business Innovation Research</t>
  </si>
  <si>
    <t>2,4,5,7,9,10</t>
  </si>
  <si>
    <t>Cofinanciering EFRO en Interreg</t>
  </si>
  <si>
    <t>U/HBO/TO2/SO/O</t>
  </si>
  <si>
    <t>Europees Defensie Fonds cofinanciering</t>
  </si>
  <si>
    <t>O, TO2</t>
  </si>
  <si>
    <t>Just Transition Fund</t>
  </si>
  <si>
    <t>U, HBO, O, TO2</t>
  </si>
  <si>
    <t>NGF-project RegMed XB RVO</t>
  </si>
  <si>
    <t>4,7,13.2, 13.3</t>
  </si>
  <si>
    <t>U, UMC, O</t>
  </si>
  <si>
    <t>NGF-project QuantumDeltaNL RVO</t>
  </si>
  <si>
    <t>4,9,13.2</t>
  </si>
  <si>
    <t>7,9,13.3</t>
  </si>
  <si>
    <t>U/UMC//SO/O</t>
  </si>
  <si>
    <t>NGF-project NXTGEN HIGH TECH RVO</t>
  </si>
  <si>
    <t>5,6,7,8</t>
  </si>
  <si>
    <t>U//TO2/SO/O</t>
  </si>
  <si>
    <t>NGF-project NXTGEN ESA NSO RUIMTEVAART</t>
  </si>
  <si>
    <t>U/TNO/SO/O</t>
  </si>
  <si>
    <t>NGF-project Material Independence &amp; Circular Batteries (RVO)</t>
  </si>
  <si>
    <t xml:space="preserve">U/TNO/SO/O </t>
  </si>
  <si>
    <t>Faciliteiten toegepast onderzoek TO2 en RKI</t>
  </si>
  <si>
    <t>1,2,3,4,5,6,7,8,9,10,11,13</t>
  </si>
  <si>
    <t>TO2/R</t>
  </si>
  <si>
    <t>2/31</t>
  </si>
  <si>
    <t>Infrastructuur duurzame industrie (PIDI)</t>
  </si>
  <si>
    <t>2,5,6</t>
  </si>
  <si>
    <t>NGF-project Groenvermogen RVO</t>
  </si>
  <si>
    <t>5,6,9,13.2</t>
  </si>
  <si>
    <t>NGF-project Circulaire Plastics RVO</t>
  </si>
  <si>
    <t>NGF-project Bio Based Circular (RVO)</t>
  </si>
  <si>
    <t>art. 3</t>
  </si>
  <si>
    <t>Toekomstfonds</t>
  </si>
  <si>
    <t>Innovatiefonds: Innovatiekredieten</t>
  </si>
  <si>
    <t>voornamelijk 4,5,6,7, ook kan 1,2,3,8,9,10</t>
  </si>
  <si>
    <t>Innovatiefonds: risicokapitaal Seed</t>
  </si>
  <si>
    <t>voornamelijk 4,5,6,7, ook kan 1,2,3,8,9,11</t>
  </si>
  <si>
    <t>Innovatiefonds: Fund to Fund</t>
  </si>
  <si>
    <t>Innovatiefonds: Investeringen in fundamenteel en toegepast onderzoek (met vermogensbehoud)</t>
  </si>
  <si>
    <t>1,2,3,4,5,6,7,8,9,10,13,14</t>
  </si>
  <si>
    <t>7, 9, 12, 13.3</t>
  </si>
  <si>
    <t>U/UMC/NWO/KNAW/R/SO</t>
  </si>
  <si>
    <t>Regmed XB</t>
  </si>
  <si>
    <t>UMC, O</t>
  </si>
  <si>
    <t>Haalbaarheiddstudies NWO-TTW</t>
  </si>
  <si>
    <t>Smart industry</t>
  </si>
  <si>
    <t>Thematische Technology Transfer (subsidiedeel)</t>
  </si>
  <si>
    <t>voornamelijk 2,6,7, ook kan 1,3,4,5,8,9,10,14</t>
  </si>
  <si>
    <t>U, UMC, TNO</t>
  </si>
  <si>
    <t>Dutch Future Fund</t>
  </si>
  <si>
    <t>Deep Tech Fund</t>
  </si>
  <si>
    <t>Fonds Alternatieve Financiering</t>
  </si>
  <si>
    <t>Startups/mkb</t>
  </si>
  <si>
    <t>voornamelijk 4,5,6,7, ook kan 1,2,3,8,9,10,11,13</t>
  </si>
  <si>
    <t>European Tech Champions Initiative (ETCI)</t>
  </si>
  <si>
    <t>IPCEI Advanced Semiconductor Technologies (leningen)</t>
  </si>
  <si>
    <t>Secfund</t>
  </si>
  <si>
    <t>Art.4</t>
  </si>
  <si>
    <t>Een doelmatige en duurzame energievoorziening</t>
  </si>
  <si>
    <t>4/31</t>
  </si>
  <si>
    <t>RVO Missiegedreven Onderzoek Ontwikkeling en Innovatie (MOOI) (Elektr.)</t>
  </si>
  <si>
    <t>RVO Hernieuwbare Energietransitie (HER+) (Elektr.)</t>
  </si>
  <si>
    <t>Demonstratieregeling Energie- en Klimaatinnovatie (DEI+)</t>
  </si>
  <si>
    <t>RVO Subsidieregeling Duurzame Scheepsbouw (SDS) (SE)</t>
  </si>
  <si>
    <t>Energie-efficiency</t>
  </si>
  <si>
    <t>Energie</t>
  </si>
  <si>
    <t>RVO NGF-project NieuweWarmteNu! (EM)</t>
  </si>
  <si>
    <t xml:space="preserve"> RVO NGF-project Circulaire zonnepanelen (SE)</t>
  </si>
  <si>
    <t>U/HBO/NWO/TNO/O</t>
  </si>
  <si>
    <t>Leningen NGF-project Circulaire zonnepanelen (SE)</t>
  </si>
  <si>
    <t>IPCEI Waterstof</t>
  </si>
  <si>
    <t>Overige subsidies (EBN versnellen onderzoek CCS klimaatfonds)</t>
  </si>
  <si>
    <t>EBN</t>
  </si>
  <si>
    <t>Carbon Capture and Storage</t>
  </si>
  <si>
    <t>O/IO</t>
  </si>
  <si>
    <t>Hoge Flux Reactor</t>
  </si>
  <si>
    <t>HFR/NRG</t>
  </si>
  <si>
    <t>Realisatie Zon op Zee</t>
  </si>
  <si>
    <t>Subsidie project Djewels</t>
  </si>
  <si>
    <t>Stimuleringsprogramma koolstofverwijdering (klimaatfonds)</t>
  </si>
  <si>
    <t>Onderzoek mijnbouwbodembeweging</t>
  </si>
  <si>
    <t>SodM onderzoek</t>
  </si>
  <si>
    <t>Bijdrage aan Nucleair Research Group (NRG)</t>
  </si>
  <si>
    <t>NRG</t>
  </si>
  <si>
    <t>Onderzoek &amp; opdrachten: Onderzoeksprojecten K&amp;E</t>
  </si>
  <si>
    <t>Projecten Kernenergie</t>
  </si>
  <si>
    <t>SodM onderzoek TNO</t>
  </si>
  <si>
    <t>Aardwarmte</t>
  </si>
  <si>
    <t>EBN/TNO</t>
  </si>
  <si>
    <t>TOTAAL ECONOMISCHE ZAKEN (En vanaf 2025 Klimaat en Groene Groei)</t>
  </si>
  <si>
    <t>XIV Landbouw, Visserij, Voedselzekerheid en Natuur</t>
  </si>
  <si>
    <t>XIV Landbouw, Natuur en Voedselkwaliteit</t>
  </si>
  <si>
    <t>261800-U23</t>
  </si>
  <si>
    <t>Kennisbasis (Wageningen Research)</t>
  </si>
  <si>
    <t>inst</t>
  </si>
  <si>
    <t>261810-U23</t>
  </si>
  <si>
    <t>Kennisbasis (HGIS)</t>
  </si>
  <si>
    <t>281000-U23</t>
  </si>
  <si>
    <t>Bijdrage aan RIVM</t>
  </si>
  <si>
    <t>230700-U21</t>
  </si>
  <si>
    <t>Veehouderij en dierlijke ketens</t>
  </si>
  <si>
    <t>LVVN (en divers)</t>
  </si>
  <si>
    <t>261680-U23</t>
  </si>
  <si>
    <t>Sociaal economische begeleiding (KD)</t>
  </si>
  <si>
    <t>261660-U23</t>
  </si>
  <si>
    <t>Transitie landbouw Digitalisering (KD)</t>
  </si>
  <si>
    <t xml:space="preserve">261650-U23 </t>
  </si>
  <si>
    <t>Transitie landbouw KPIs en bedrijfsmanagement (KD)</t>
  </si>
  <si>
    <t xml:space="preserve">261600-U23 </t>
  </si>
  <si>
    <t>Onderzoeksprojecten (KD)</t>
  </si>
  <si>
    <t xml:space="preserve">262600-U23 </t>
  </si>
  <si>
    <t>Programmering RIVM</t>
  </si>
  <si>
    <t xml:space="preserve">261640-U23 </t>
  </si>
  <si>
    <t>Transitie landbouw meten en berekenen (KD)</t>
  </si>
  <si>
    <t xml:space="preserve">290490-U23 </t>
  </si>
  <si>
    <t>Transitie Landbouw Digitalisering (RVO)</t>
  </si>
  <si>
    <t xml:space="preserve">290560-U23 </t>
  </si>
  <si>
    <t>Transitie Landbouw: Sociaal Economische Begeleiding (RVO)</t>
  </si>
  <si>
    <t>261630-U23</t>
  </si>
  <si>
    <t xml:space="preserve">Innovatie </t>
  </si>
  <si>
    <t>290570-U23</t>
  </si>
  <si>
    <t>Groeifonds Re-Ge-NL</t>
  </si>
  <si>
    <t>290580-U23</t>
  </si>
  <si>
    <t>Groeifonds Centrum voor Proefdiervrije Biomedische Translatie (CPBT)</t>
  </si>
  <si>
    <t xml:space="preserve">290590-U23 </t>
  </si>
  <si>
    <t>Groeifonds - Holomicrobioom</t>
  </si>
  <si>
    <t xml:space="preserve">290520-U23 </t>
  </si>
  <si>
    <t>Groeifonds – Crop XR</t>
  </si>
  <si>
    <t xml:space="preserve">290530-U23 </t>
  </si>
  <si>
    <t>Groeifonds – Cellulaire agricultuur</t>
  </si>
  <si>
    <t>290550-U23</t>
  </si>
  <si>
    <t>Sabe regeling</t>
  </si>
  <si>
    <t xml:space="preserve">231320-U22 </t>
  </si>
  <si>
    <t>Verduurzamen en aanpassen van de visserijsector (WOZ)</t>
  </si>
  <si>
    <t>R (deels diverse)</t>
  </si>
  <si>
    <t xml:space="preserve">231370-U22 </t>
  </si>
  <si>
    <t>Noordzeeakkoord (KD)</t>
  </si>
  <si>
    <t xml:space="preserve">311340-U22 </t>
  </si>
  <si>
    <t>DBE Medegebruik (WOZ)</t>
  </si>
  <si>
    <t>232010-U21</t>
  </si>
  <si>
    <t>Mestaanpak</t>
  </si>
  <si>
    <t xml:space="preserve">231350-U22 </t>
  </si>
  <si>
    <t>Projecten Visserij</t>
  </si>
  <si>
    <t xml:space="preserve">261200-U23 </t>
  </si>
  <si>
    <t>Wettelijke taken</t>
  </si>
  <si>
    <t xml:space="preserve">262450-U23 </t>
  </si>
  <si>
    <t>Missiegedreven Topsectoren</t>
  </si>
  <si>
    <t>260200-U23</t>
  </si>
  <si>
    <t>Onderzoeksprogrammering</t>
  </si>
  <si>
    <t>262500-U23</t>
  </si>
  <si>
    <t>Bijdr aan ZonMw voor dierproeven</t>
  </si>
  <si>
    <t>310780-U22</t>
  </si>
  <si>
    <t>Versterking Noordzee ecosysteem (WOZ)</t>
  </si>
  <si>
    <t xml:space="preserve">261690-U23 </t>
  </si>
  <si>
    <t xml:space="preserve">Doelsturing </t>
  </si>
  <si>
    <t xml:space="preserve">250260-U21 </t>
  </si>
  <si>
    <t>Dierproeven en alternatieven</t>
  </si>
  <si>
    <t>U (deels SO)</t>
  </si>
  <si>
    <t xml:space="preserve">250400-U21 </t>
  </si>
  <si>
    <t>Proj. dierenwelzijn landbouwhuisd.</t>
  </si>
  <si>
    <t>261700-U23</t>
  </si>
  <si>
    <t>Innovatieprojecten</t>
  </si>
  <si>
    <t xml:space="preserve">262100-U23 </t>
  </si>
  <si>
    <t>Vernieuwen onderzoeksinfrastructuur</t>
  </si>
  <si>
    <t xml:space="preserve">262000-U23 </t>
  </si>
  <si>
    <t>Basisfinanciering overige kennisinstellingen</t>
  </si>
  <si>
    <t>262200-U23</t>
  </si>
  <si>
    <t>Ontwikkelen kennisbeleid</t>
  </si>
  <si>
    <t xml:space="preserve">230410-U21 </t>
  </si>
  <si>
    <t>Klimaatvriendelijke veehouderij</t>
  </si>
  <si>
    <t>divers</t>
  </si>
  <si>
    <t>250210-U21</t>
  </si>
  <si>
    <t>Dierwaardige veehouderij</t>
  </si>
  <si>
    <t>233550-U21</t>
  </si>
  <si>
    <t>Innovatieagenda energie</t>
  </si>
  <si>
    <t>TOTAAL LANDBOUW, VISSERIJ, VOEDSELZEKERHEID EN NATUUR</t>
  </si>
  <si>
    <t>XV Sociale Zaken en Werkgelegenheid</t>
  </si>
  <si>
    <t>Bijdrage RIVM</t>
  </si>
  <si>
    <t>Bijdrage TNO</t>
  </si>
  <si>
    <t>Arbeidsmarkt</t>
  </si>
  <si>
    <t>O/binnenland (departement)</t>
  </si>
  <si>
    <t>Bijstand, Participatie en Toeslagenwet</t>
  </si>
  <si>
    <t>O/binnenland (R)</t>
  </si>
  <si>
    <t>O/binnenland (U)</t>
  </si>
  <si>
    <t>Kinderopvang</t>
  </si>
  <si>
    <t>Oudedagsvoorziening</t>
  </si>
  <si>
    <t>O/binnenland (intermediair)</t>
  </si>
  <si>
    <t>Integratie en maatschappelijke samenhang</t>
  </si>
  <si>
    <t>O/binnenland (O)</t>
  </si>
  <si>
    <t>TOTAAL SOCIALE ZAKEN EN WERKGELEGENHEID</t>
  </si>
  <si>
    <t>XVI Volksgezondheid, Welzijn en Sport</t>
  </si>
  <si>
    <t>1.4.1</t>
  </si>
  <si>
    <t>Ethiek</t>
  </si>
  <si>
    <t>diversen</t>
  </si>
  <si>
    <t>2.1.1</t>
  </si>
  <si>
    <t>Kwaliteit, toegankelijkheid en betaalbaarheid van zorg (NKI)</t>
  </si>
  <si>
    <t>Kwaliteit, toegankelijkheid en betaalbaarheid van zorg (NGF: PharmaNL)</t>
  </si>
  <si>
    <t>Kwaliteit, toegankelijkheid en betaalbaarheid van zorg (IPCEI)</t>
  </si>
  <si>
    <t>4.1.1</t>
  </si>
  <si>
    <t>Positie cliënt en transparantie van zorg (nivel)</t>
  </si>
  <si>
    <t>4.3.1</t>
  </si>
  <si>
    <t>Informatiebeleid (Nictiz)</t>
  </si>
  <si>
    <t>1.1.8</t>
  </si>
  <si>
    <t>Gezondheidsbeleid (Covid en niet-Covid) (ZonMw: programmering)</t>
  </si>
  <si>
    <t>6.4.1</t>
  </si>
  <si>
    <t>Sport verenigt Nederland</t>
  </si>
  <si>
    <t>9.3.7</t>
  </si>
  <si>
    <t>Eigenaarsbijdrage RIVM</t>
  </si>
  <si>
    <t>13.3</t>
  </si>
  <si>
    <t>1.1.1</t>
  </si>
  <si>
    <t>Nationaal programma preventie (topsectorenbeleid)</t>
  </si>
  <si>
    <t>1.2.1</t>
  </si>
  <si>
    <t>vaccinonderzoek RIVM en InTraVacc (Topsectorenbeleid)</t>
  </si>
  <si>
    <t>ZonMw: programmering (Topsectorenbeleid)</t>
  </si>
  <si>
    <t>BKZ Tweedelijnszorg</t>
  </si>
  <si>
    <t>Beschikbarheidsbijdrage Ac. Zorg</t>
  </si>
  <si>
    <t>TOTAAL VOLKSGEZONDHEID, WELZIJN EN SPORT</t>
  </si>
  <si>
    <t>XVII Nationaal groeifonds</t>
  </si>
  <si>
    <t>Artikel 2</t>
  </si>
  <si>
    <t xml:space="preserve"> Bijdragen aan (andere) begrotingshoofdstukken; voorwaardelijke toekenningen - O&amp;O&amp;I</t>
  </si>
  <si>
    <t>Mogelijk alle categorieën m.u.v. 12</t>
  </si>
  <si>
    <t>Mogelijk alle bestemmingen</t>
  </si>
  <si>
    <t>Onderzoek, ontwikkeling en innovatie onverdeeld departementale route</t>
  </si>
  <si>
    <t>Subsieregeling Nationaal Groeifonds; toegekende subsidieprojecten – O&amp;O&amp;I*</t>
  </si>
  <si>
    <t>TOTAAL NATIONAAL GROEIFONDS</t>
  </si>
  <si>
    <t>TOTAAL GENERAAL</t>
  </si>
  <si>
    <t>Overzicht per departement van de R&amp;D-uitgaven, die innovatierelevant zijn</t>
  </si>
  <si>
    <t>Overzicht per departement</t>
  </si>
  <si>
    <t>2024-2030</t>
  </si>
  <si>
    <t>Ontwikkeling in %</t>
  </si>
  <si>
    <t>AZ</t>
  </si>
  <si>
    <t>Algemene Zaken</t>
  </si>
  <si>
    <t>BuZa</t>
  </si>
  <si>
    <t xml:space="preserve">Buitenlandse Zaken </t>
  </si>
  <si>
    <t>JenV</t>
  </si>
  <si>
    <t>Justitie en Veiligheid</t>
  </si>
  <si>
    <t>BZK</t>
  </si>
  <si>
    <t>Binnenlandse Zaken en Koninkrijksrelaties</t>
  </si>
  <si>
    <t>OCW</t>
  </si>
  <si>
    <t>Onderwijs, Cultuur en Wetenschap</t>
  </si>
  <si>
    <t>Def</t>
  </si>
  <si>
    <t>I&amp;W</t>
  </si>
  <si>
    <t>Infrastructuur en Waterstaat</t>
  </si>
  <si>
    <t>EZK</t>
  </si>
  <si>
    <t>Economische Zaken en Klimaat</t>
  </si>
  <si>
    <t>LNV</t>
  </si>
  <si>
    <t>Landbouw, Natuur en Voedselkwaliteit</t>
  </si>
  <si>
    <t>SZW</t>
  </si>
  <si>
    <t>Sociale Zaken en Werkgelegenheid</t>
  </si>
  <si>
    <t>VWS</t>
  </si>
  <si>
    <t>Volksgezondheid, Welzijn en Sport</t>
  </si>
  <si>
    <t>Groeifonds</t>
  </si>
  <si>
    <t>Nationaal groeifonds</t>
  </si>
  <si>
    <t>Totaal generaal</t>
  </si>
  <si>
    <t>Bron: TWIN-database Rathenau Instituut</t>
  </si>
  <si>
    <t>Klimaat en groene groei</t>
  </si>
  <si>
    <t>EZ</t>
  </si>
  <si>
    <t>Overige uitgaven voor innovatie, niet zijnde R&amp;D, in miljoenen euro</t>
  </si>
  <si>
    <t>Aandeel innovatie in % van (sub-)artikel</t>
  </si>
  <si>
    <t>%</t>
  </si>
  <si>
    <t>Kwaliteitsafspraken investeringsbudget (practoraten)</t>
  </si>
  <si>
    <t>Regionaal investeringsfonds (pps in het mbo)</t>
  </si>
  <si>
    <t>Overige subsidies</t>
  </si>
  <si>
    <t>Opdrachten</t>
  </si>
  <si>
    <t>NWO: NRO-Programma's MBO (comeniusbeurs)</t>
  </si>
  <si>
    <t>VO: CITO (digitale examens)</t>
  </si>
  <si>
    <t>VO: CvTE (digitale examens)</t>
  </si>
  <si>
    <t>VO: CITO/CvTE (rekentoets)</t>
  </si>
  <si>
    <t>VO: Digitaal examineren</t>
  </si>
  <si>
    <t>VO: Kennisrotonde</t>
  </si>
  <si>
    <t>VO: Kennisnet (Externe connectiviteit)</t>
  </si>
  <si>
    <t>VO: NGF Ontwikkelkracht</t>
  </si>
  <si>
    <t>VO: Innovatie Onderwijshuisvesting</t>
  </si>
  <si>
    <t>VO: Techkwadraat</t>
  </si>
  <si>
    <t>PO: Kennisnet (Externe connectiviteit)</t>
  </si>
  <si>
    <t>PO: SIVON (Externe connectiviteit</t>
  </si>
  <si>
    <t>PO: Kennisrotonde - NRO</t>
  </si>
  <si>
    <t>PO: NGF Digitaal onderwijs goed geregeld</t>
  </si>
  <si>
    <t>PO: NGF Inpuls Open Leermateriaal</t>
  </si>
  <si>
    <t>6, 7</t>
  </si>
  <si>
    <t>HO: comeniusbeurs/onderwijsprijs/versnellingsagenda</t>
  </si>
  <si>
    <t xml:space="preserve">HO: Subsidieregeling open en online onderwijs </t>
  </si>
  <si>
    <t>Koninklijke bibliotheek</t>
  </si>
  <si>
    <t>Nationaal Archief tbv Archief Innovatie</t>
  </si>
  <si>
    <t>Creatieve industrie</t>
  </si>
  <si>
    <t>Stimuleringsfonds creatieve industrie</t>
  </si>
  <si>
    <t>Programma ontwerpend onderzoek</t>
  </si>
  <si>
    <t>Stimuleren digitale transformatie</t>
  </si>
  <si>
    <t>NGF-Project CIIIC</t>
  </si>
  <si>
    <t>Stimuleringsfonds voor de Journalistiek</t>
  </si>
  <si>
    <t>Kortcyclische innovatie</t>
  </si>
  <si>
    <t>CODEMO</t>
  </si>
  <si>
    <t>6501U01010031</t>
  </si>
  <si>
    <t>Innovatie HWBP2</t>
  </si>
  <si>
    <t>1217U01020016</t>
  </si>
  <si>
    <t>KTF Alcohol-to-Jet</t>
  </si>
  <si>
    <t>1217U01020015</t>
  </si>
  <si>
    <t>KTF e-fuels</t>
  </si>
  <si>
    <t>1217U01020018</t>
  </si>
  <si>
    <t>KTF aandrijftechnologieen Luchtvaart</t>
  </si>
  <si>
    <t>Mobiliteit/transitie</t>
  </si>
  <si>
    <t>1217U01010013</t>
  </si>
  <si>
    <t>Opdrachten KDC</t>
  </si>
  <si>
    <t>1218U01010005</t>
  </si>
  <si>
    <t>topsector logistiek - opdrachten</t>
  </si>
  <si>
    <t>Connekt en (onderzoeks-)projecten</t>
  </si>
  <si>
    <t>1218U01020011</t>
  </si>
  <si>
    <t>topsector logistiek - subsidies</t>
  </si>
  <si>
    <t>NWO / TKI</t>
  </si>
  <si>
    <t>1221U05030003</t>
  </si>
  <si>
    <t>Groen beleggen Mia/Vamil (uitvoering)</t>
  </si>
  <si>
    <t>Meteorologie, seismologie en Aardobservatie</t>
  </si>
  <si>
    <t>1218U01020016</t>
  </si>
  <si>
    <t>NGF Subsidie elektrisch varen</t>
  </si>
  <si>
    <t>ZES, divers (regeling)</t>
  </si>
  <si>
    <t>NGF subsidie Maritiem Masterplan</t>
  </si>
  <si>
    <t>1218U01010010</t>
  </si>
  <si>
    <t>NGF Digitale Infrastructuur en Logistiek (DIL)</t>
  </si>
  <si>
    <t>Connekt</t>
  </si>
  <si>
    <t>1214U03010012</t>
  </si>
  <si>
    <t>Innovatie</t>
  </si>
  <si>
    <t>1214U03010017</t>
  </si>
  <si>
    <t>Opdrachten NGF (NGF Dutch Metropolitan Innovations)</t>
  </si>
  <si>
    <t>DMI</t>
  </si>
  <si>
    <t>1218U01010003</t>
  </si>
  <si>
    <t>Opdrachten Zeevaart: validatieonderzoek door TNO</t>
  </si>
  <si>
    <t>Opdrachten Zeevaart: validatieonderzoek door Marin</t>
  </si>
  <si>
    <t>Marin</t>
  </si>
  <si>
    <t>1218U01020019</t>
  </si>
  <si>
    <t>Subisdieregeling groene vervoerscorridor</t>
  </si>
  <si>
    <t>divers (regeling)</t>
  </si>
  <si>
    <t>1218U01020020</t>
  </si>
  <si>
    <t>KF Verduurzaming Zeevaart</t>
  </si>
  <si>
    <t>1218U01020022</t>
  </si>
  <si>
    <t>Stikstof Duurzame Zeevaart</t>
  </si>
  <si>
    <t>Divers (regeling)</t>
  </si>
  <si>
    <t>1218U01020021</t>
  </si>
  <si>
    <t>KF Verduurzaming Binnenvaart</t>
  </si>
  <si>
    <t>Divers (regeling), Condor, EICB</t>
  </si>
  <si>
    <t>XIII Economische Zaken (en vanaf 2025 waar aangegeven Klimaat en Groene Groei)</t>
  </si>
  <si>
    <t>Digital Europe</t>
  </si>
  <si>
    <t xml:space="preserve"> NGF-project AlNed RVO</t>
  </si>
  <si>
    <t>MKB-Innovatiestimulering Topsectoren(MIT)</t>
  </si>
  <si>
    <t>Maritieme maakindustrie</t>
  </si>
  <si>
    <t>IPCEI Cloudinfrastructuur en services (CIS)</t>
  </si>
  <si>
    <t xml:space="preserve"> IPCEI Micro elektronica </t>
  </si>
  <si>
    <t>Startup beleid</t>
  </si>
  <si>
    <t>Kamer van Koophandel</t>
  </si>
  <si>
    <t>Cofinanciering EFRO incl. Interreg</t>
  </si>
  <si>
    <t>Interreg Twee Zeeën</t>
  </si>
  <si>
    <t xml:space="preserve"> Just Transition Fund</t>
  </si>
  <si>
    <t>NGF-project HealthRI RVO</t>
  </si>
  <si>
    <t>Verduurzaming Industrie</t>
  </si>
  <si>
    <t>Investeringen verduurzaming industrie - klimaatfonds</t>
  </si>
  <si>
    <t xml:space="preserve"> NGF-project Groenvermogen RVO</t>
  </si>
  <si>
    <t>Innovatiefonds: risicokapitaal SEED</t>
  </si>
  <si>
    <t xml:space="preserve"> Innovatiefonds: Fund to Fund (KD)</t>
  </si>
  <si>
    <t>Onco Research</t>
  </si>
  <si>
    <t xml:space="preserve"> REGMED XB</t>
  </si>
  <si>
    <t xml:space="preserve"> Vroege fase financiering RVO/STW</t>
  </si>
  <si>
    <t>Innovatiefonds: Haalbaarheidsstudies NWO-TTW</t>
  </si>
  <si>
    <t>Innovatiefonds: ROM's</t>
  </si>
  <si>
    <t>Thematische Technology Transfer (leningdeel)</t>
  </si>
  <si>
    <t>Blended finance faciliteit Invest-NL</t>
  </si>
  <si>
    <t>RVO Missiegedreven Onderzoek Ontwikkeling en Innovatie (MOOI) (SE)</t>
  </si>
  <si>
    <t>RVO Hernieuwbare Energietransitie (HER+) (SE)</t>
  </si>
  <si>
    <t>RVO Demonstratieregeling Klimaat- en Energie-innovatie (DEI+) (SE)</t>
  </si>
  <si>
    <t>RVO NGF-project Circulaire zonnepanelen (SE) (subsidies)</t>
  </si>
  <si>
    <t>Leningen NGF - project Circulaire zonnepanelen (SE)</t>
  </si>
  <si>
    <t xml:space="preserve"> IPCEI Waterstof (EM)</t>
  </si>
  <si>
    <t xml:space="preserve"> RVO - Realisatie Zon op Zee Klimaatfonds (RE)</t>
  </si>
  <si>
    <t>RVO Geothermie lage temperatuur Klimaatfonds (TDO)</t>
  </si>
  <si>
    <t>TOTAAL ECONOMISCHE ZAKEN EN KLIMAAT</t>
  </si>
  <si>
    <t>XIV Landbouw, Visserij, Voedselzekerheid en Natur</t>
  </si>
  <si>
    <t xml:space="preserve">233350-U21 </t>
  </si>
  <si>
    <t>MEI</t>
  </si>
  <si>
    <t xml:space="preserve">233570-U21 </t>
  </si>
  <si>
    <t>Warmte-infrastructuur glastuinbouw</t>
  </si>
  <si>
    <t>232100-U21</t>
  </si>
  <si>
    <t>Energie-efficiëntie glastuinbouw (EG)</t>
  </si>
  <si>
    <t xml:space="preserve">230700-U21 </t>
  </si>
  <si>
    <t>Energie-efficiëntie glastuinbouw (EG) (Klimaatfonds)</t>
  </si>
  <si>
    <t xml:space="preserve">261670-U23 </t>
  </si>
  <si>
    <t>Experimenteerlocaties (KD)</t>
  </si>
  <si>
    <t xml:space="preserve">290540-U23 </t>
  </si>
  <si>
    <t>Experimenteerlocaties (RVO)</t>
  </si>
  <si>
    <t>Bijstand, Participatiewet en Toeslagenwet</t>
  </si>
  <si>
    <t>ZonMW</t>
  </si>
  <si>
    <t>Integratie en Maatschappelijke samenhang</t>
  </si>
  <si>
    <t>KIS</t>
  </si>
  <si>
    <t>NGF: Bijstand, Participatiewet en Toeslagenwet</t>
  </si>
  <si>
    <t xml:space="preserve">Vaardig met vaardigheden (NGF) </t>
  </si>
  <si>
    <t>NGF: Uitvoering</t>
  </si>
  <si>
    <t>PharmaNL (NGF): Kwaliteit, toegankelijkheid en betaalbaarheid zorg</t>
  </si>
  <si>
    <t>Pallas (Medische isotopen): Kwaliteit, toegankelijkheid en betaalbaarheid zorg</t>
  </si>
  <si>
    <t>9.1.10</t>
  </si>
  <si>
    <t>internationale samenwerking: IHTSDO (SNOMED CT)</t>
  </si>
  <si>
    <t>2.50.60</t>
  </si>
  <si>
    <t>Pallas (Medische isotopen)</t>
  </si>
  <si>
    <t>2.50.15</t>
  </si>
  <si>
    <t xml:space="preserve">Artikel 2: </t>
  </si>
  <si>
    <t>Bijdragen aan (andere) begrotingshoofdstukken; voorwaardelijke toekenningen - O&amp;O&amp;I</t>
  </si>
  <si>
    <t>Artikel 2:</t>
  </si>
  <si>
    <t xml:space="preserve"> Onderzoek, ontwikkeling en innovatie onverdeeld departementale route</t>
  </si>
  <si>
    <t>Uitgaven voor R&amp;D en innovatie, per departement, in miljoenen euro</t>
  </si>
  <si>
    <t>R&amp;D-uitgaven per departement, miljoenen euro</t>
  </si>
  <si>
    <t xml:space="preserve">Justitie en Veiligheid </t>
  </si>
  <si>
    <t>Landbouw, natuur en voedselkwaliteit</t>
  </si>
  <si>
    <t>Nationaal Groeifonds</t>
  </si>
  <si>
    <t xml:space="preserve">Totaal </t>
  </si>
  <si>
    <t>waarvan innovatierelevante R&amp;D-uitgaven, miljoenen euro</t>
  </si>
  <si>
    <t>Innovatie-uitgaven per departement, miljoenen euro</t>
  </si>
  <si>
    <t>Totale uitgaven voor R&amp;D en innovatie per departement, miljoenen euro</t>
  </si>
  <si>
    <t>Omvang fiscale instrumenten voor R&amp;D en innovatie, in miljoenen euro</t>
  </si>
  <si>
    <t>Ministerie van Economische Zaken en Klimaat</t>
  </si>
  <si>
    <t>% R&amp;D van (sub)-artikel</t>
  </si>
  <si>
    <t>Afdrachtsvermindering speur- en ontwikkelingswerk WBSO (incl. RDA)</t>
  </si>
  <si>
    <t>Aftrek speur- en ontwikkelingswerk</t>
  </si>
  <si>
    <t>Fiscale instrumenten voor R&amp;D</t>
  </si>
  <si>
    <t>Alleen voor innovatie:</t>
  </si>
  <si>
    <t>% innovatie van (sub)-artikel</t>
  </si>
  <si>
    <t>MIA</t>
  </si>
  <si>
    <t>VAMIL</t>
  </si>
  <si>
    <t xml:space="preserve">Sub-totaal Groen beleggen / MIA / VAMIL </t>
  </si>
  <si>
    <t>Totaal fiscale instrumenten</t>
  </si>
  <si>
    <t>Bronnen:</t>
  </si>
  <si>
    <t>Cijfers MIA/VAMIL/Groen beleggen o.b.v Budgettair belang in:</t>
  </si>
  <si>
    <t>Cijfers WBSO en RDA gebaseerd op:</t>
  </si>
  <si>
    <t>Notities:</t>
  </si>
  <si>
    <t>Per 2016 is de Research &amp; Development Aftrek (RDA) samengevoegd met de WBSO</t>
  </si>
  <si>
    <t>De MIA/VAMIL is tijdelijk verhoogd met € 30 miljoen voor drie jaren 2022-2024.</t>
  </si>
  <si>
    <t>In 2023 is van dit MIA-bedrag 2 miljoen afgetrokken ten behoeve van uitvoeringskosten. Met deze maatregel wordt ook in 2024 de MIA verhoging gekort naar 48 miljoen.</t>
  </si>
  <si>
    <t xml:space="preserve">Dekking van de uitvoeringskosten voor de jaren 2025 en verder wordt bezien als onderdeel van reguliere uitgavenbesluitvorming.
</t>
  </si>
  <si>
    <t xml:space="preserve">Vanaf 2027 wordt het budget van de milieu-investeringsaftrek (MIA)  verhoogd vanwege een toenemend aantal aanvragen door de klimaat- en 
energietransitie en inflatie (de budgetten worden niet jaarlĳks geïndexeerd).
</t>
  </si>
  <si>
    <t>Afkortingen:</t>
  </si>
  <si>
    <t>WBSO</t>
  </si>
  <si>
    <t>Wet Bevordering Speur- en Ontwikkelingswerk</t>
  </si>
  <si>
    <t>RDA</t>
  </si>
  <si>
    <t>Research &amp; Development Aftrek</t>
  </si>
  <si>
    <t>Regeling Milieu Investeringsaftrek</t>
  </si>
  <si>
    <t>Regeling Willekeurige afschrijving milieu-investeringen</t>
  </si>
  <si>
    <r>
      <t xml:space="preserve">Naast de fiscale R&amp;D en innovatieregelingen WBSO en de RDA is er de </t>
    </r>
    <r>
      <rPr>
        <u/>
        <sz val="11"/>
        <color theme="1"/>
        <rFont val="Calibri"/>
        <family val="2"/>
        <scheme val="minor"/>
      </rPr>
      <t>Innovatiebox</t>
    </r>
    <r>
      <rPr>
        <sz val="11"/>
        <color theme="1"/>
        <rFont val="Calibri"/>
        <family val="2"/>
        <scheme val="minor"/>
      </rPr>
      <t xml:space="preserve">. </t>
    </r>
  </si>
  <si>
    <t>De innovatiebox wordt niet meegenomen in de TWIN-tabellen, voornamelijk omdat het een ander type regeling is dan bijvoorbeeld de WBSO.</t>
  </si>
  <si>
    <t>Waar het bij de WBSO gaat om belastingvoordelen over uitgaven aan R&amp;D en innovatie, gaat het bij de innovatiebox om een lager belastingtarief</t>
  </si>
  <si>
    <r>
      <t xml:space="preserve">over </t>
    </r>
    <r>
      <rPr>
        <u/>
        <sz val="11"/>
        <color theme="1"/>
        <rFont val="Calibri"/>
        <family val="2"/>
        <scheme val="minor"/>
      </rPr>
      <t>winst</t>
    </r>
    <r>
      <rPr>
        <sz val="11"/>
        <color theme="1"/>
        <rFont val="Calibri"/>
        <family val="2"/>
        <scheme val="minor"/>
      </rPr>
      <t xml:space="preserve"> die voortkomt uit R&amp;D- of innovatieactiviteiten die bedrijven in het verleden hebben ondernomen.</t>
    </r>
  </si>
  <si>
    <t>In de internationale statistieken worden de met de innovatiebox vergelijkbare "patent boxes" om die reden ook niet meegenomen bij de fiscale steun voor</t>
  </si>
  <si>
    <t>R&amp;D en innovatie (zie OECD Frascati Manual 2015, blz. 346). Het toekomstig budgettair belang en het daarmee samenhangende gebruik van de WBSO is niet</t>
  </si>
  <si>
    <t>beperkt tot een bepaald budget, zodat het kan meelopen met economische ontwikkelingen. Bij de introductie van de innovatiebox werd de jaarlijkse derving</t>
  </si>
  <si>
    <t>voor de structurele situatie geraamd op €625 miljoen. Tussen 2013 en 2014 liep het bedrag verder op van €883 mln. naar €1.081 mln. Voor 2016 is het budgettair</t>
  </si>
  <si>
    <t xml:space="preserve"> belang van de Innovatiebox uitgekomen op €1.368 miljoen, hoger dan in 2015 (€1.264)  wegens een grondslagstijging dankzij de economische groei. </t>
  </si>
  <si>
    <t>In 2017 is het bedrag voor de Innovatiebox €1.581 mln., in 2018 €1.646 mln. en in 2019 €1.597 mln en in 2020 €1636.</t>
  </si>
  <si>
    <t>In 2021 en 2022 is het geraamd op € 1410 mln. En € 1433 mln.</t>
  </si>
  <si>
    <t xml:space="preserve">De raming van het budgettaire belang in 2017 is € 133 miljoen naar beneden bijgesteld ten opzichte van de Miljoenennota 2018. </t>
  </si>
  <si>
    <t xml:space="preserve">Dit komt door verwerking van de meest recente realisaties en een aanpassing in de ramingsmethode. </t>
  </si>
  <si>
    <t xml:space="preserve">Op basis van realisaties uit 2015 is het percentage van de innovatiebox ten opzichte van de VPB-opbrengsten naar beneden bijgesteld. </t>
  </si>
  <si>
    <t xml:space="preserve">Dit verklaart € 89 miljoen van de neerwaartse bijstelling in 2017. </t>
  </si>
  <si>
    <t xml:space="preserve">Daarnaast wordt in de raming een correctie gedaan voor uit het buitenland ontvangen royalty’s, die weliswaar in de Nederlandse innovatiebox belast worden, </t>
  </si>
  <si>
    <t xml:space="preserve">maar waarop in verband met verdragen of het besluit voorkoming dubbele belasting, buitenlandse bronbelasting in Nederland verrekend kan worden. </t>
  </si>
  <si>
    <t xml:space="preserve">Voor deze royalty-ontvangsten wordt met een lager voordeel gerekend, omdat een deel al in het buitenland is belast. </t>
  </si>
  <si>
    <t>Het gaat om ongeveer 5,5% van de grondslag van de innovatiebox. Deze correctie verklaart de overige € 44 miljoen van de neerwaartse bijstelling in 2017.</t>
  </si>
  <si>
    <t>Beleidsmatig is de tariefsverhoging van 5% naar 7% verwerkt vanaf 2018.</t>
  </si>
  <si>
    <t xml:space="preserve"> In 2019 is de tariefsverlaging in de VPB verwerkt. Hierdoor komt het innovatieboxvoordeel lager uit.</t>
  </si>
  <si>
    <t>Bron Bijlagen bij de Miljoenennota 2022</t>
  </si>
  <si>
    <t>Bron: bedrijvenbeleid in beeld</t>
  </si>
  <si>
    <t>€ Mln.</t>
  </si>
  <si>
    <t>voorlopig</t>
  </si>
  <si>
    <t>begroting</t>
  </si>
  <si>
    <r>
      <t>Ministerie van Financi</t>
    </r>
    <r>
      <rPr>
        <b/>
        <i/>
        <sz val="10"/>
        <color theme="1"/>
        <rFont val="Arial"/>
        <family val="2"/>
      </rPr>
      <t>ё</t>
    </r>
    <r>
      <rPr>
        <b/>
        <i/>
        <sz val="11"/>
        <color theme="1"/>
        <rFont val="Calibri"/>
        <family val="2"/>
        <scheme val="minor"/>
      </rPr>
      <t>n</t>
    </r>
  </si>
  <si>
    <t>Innovatiebox*</t>
  </si>
  <si>
    <t>-</t>
  </si>
  <si>
    <t xml:space="preserve">Bron: Rijksoverheid, Bijlagen bij de Miljoenennota's 2018 - 2026 en Dialogic, Evaluatiebox 2010-2012. </t>
  </si>
  <si>
    <t>12.1</t>
  </si>
  <si>
    <t>12.2</t>
  </si>
  <si>
    <t>12.4</t>
  </si>
  <si>
    <t>12.5</t>
  </si>
  <si>
    <t>12.6</t>
  </si>
  <si>
    <t>13.4</t>
  </si>
  <si>
    <t>13.6</t>
  </si>
  <si>
    <t>Overheidsuitgaven voor R&amp;D 2021-2027, op basis van begrotingscijfers 2023, per begrotingsartikel, per departement, in miljoenen euro</t>
  </si>
  <si>
    <t>Ministerie</t>
  </si>
  <si>
    <t>5 en 17</t>
  </si>
  <si>
    <t>COVID-aanvulling</t>
  </si>
  <si>
    <t>J&amp;V</t>
  </si>
  <si>
    <t>Nederlands Forensisch Instituut (opsporing en vervolging)</t>
  </si>
  <si>
    <t>H7: artikel 3.1, 4.1 en 4.2</t>
  </si>
  <si>
    <t>R/SO</t>
  </si>
  <si>
    <t>Wetenschappelijk HO - natuurwetenschappen</t>
  </si>
  <si>
    <t>Wetenschappelijk HO - technische wetenschappen</t>
  </si>
  <si>
    <t>Wetenschappelijk HO - medische wetenschappen (incl. umc)</t>
  </si>
  <si>
    <t>Wetenschappelijk HO - landbouwwetenschappen</t>
  </si>
  <si>
    <t>landbouwwetenschappen</t>
  </si>
  <si>
    <t>Wetenschappelijk HO - sociale wetenschappen</t>
  </si>
  <si>
    <t>Wetenschappelijk HO - geesteswetenschappen</t>
  </si>
  <si>
    <t>Geesteswetenschappen</t>
  </si>
  <si>
    <t>NWO: Praktijkgericht onderzoek hbo</t>
  </si>
  <si>
    <t>Niet in te delen wetenschappen</t>
  </si>
  <si>
    <t>NWO CWI</t>
  </si>
  <si>
    <t>NWO FOM-instituten</t>
  </si>
  <si>
    <t>NWO Ruimte-onderzoek (SRON)</t>
  </si>
  <si>
    <t>NWO Sterrenkundig onderzoek (ASTRON)</t>
  </si>
  <si>
    <t>NWO Zee-onderzoek (NIOZ/SOZ)</t>
  </si>
  <si>
    <t>NWO Rechtswetenschappen (NSCR)</t>
  </si>
  <si>
    <t>NWO natuurwetenschappen</t>
  </si>
  <si>
    <t>NWO technische wetenschappen</t>
  </si>
  <si>
    <t>NWO medische wetenschappen</t>
  </si>
  <si>
    <t>NWO sociale wetenschappen</t>
  </si>
  <si>
    <t>NWO geesteswetenschappen</t>
  </si>
  <si>
    <t>NWO NWA natuurwetenschappen</t>
  </si>
  <si>
    <t>NWO NWA technische wetenschappen</t>
  </si>
  <si>
    <t>NWO NWA medische wetenschappen</t>
  </si>
  <si>
    <t>NWO NWA sociale wetenschappen</t>
  </si>
  <si>
    <t>NWO NWA geesteswetenschappen</t>
  </si>
  <si>
    <t>NWO VI Exacte en Natuurwetenschappen</t>
  </si>
  <si>
    <t>NWO VI Technische wetenschappen</t>
  </si>
  <si>
    <t>NWO VI Medische wetenschappen</t>
  </si>
  <si>
    <t>NWO VI Sociale wetenschappen</t>
  </si>
  <si>
    <t>NWO VI Geesteswetenschappen</t>
  </si>
  <si>
    <t>NWO STW</t>
  </si>
  <si>
    <t>13.0</t>
  </si>
  <si>
    <t>Programmafinanciering TNO (zie verdeling onder EZK)</t>
  </si>
  <si>
    <t>Programmafinanciering NLR</t>
  </si>
  <si>
    <t>Programmafinanciering MARIN</t>
  </si>
  <si>
    <t>Technologie en kennistoepassing</t>
  </si>
  <si>
    <t>TNO/GTI/DGI</t>
  </si>
  <si>
    <t>Contractonderzoek en kennistoepassing</t>
  </si>
  <si>
    <t>IF 12.06.02</t>
  </si>
  <si>
    <t>InfraQuest</t>
  </si>
  <si>
    <t>Transport, telecommunicatie en ov. infrastructuren</t>
  </si>
  <si>
    <t>Vernieuwing bouw (exclusief bouwcampus)</t>
  </si>
  <si>
    <t>Vern.Bouw</t>
  </si>
  <si>
    <t>Centrum Ondergronds Bouwen</t>
  </si>
  <si>
    <t xml:space="preserve">NEN </t>
  </si>
  <si>
    <t>DF 65.05.01</t>
  </si>
  <si>
    <t>98.02.18</t>
  </si>
  <si>
    <t>12.23U.01</t>
  </si>
  <si>
    <t>1297U0101</t>
  </si>
  <si>
    <t>Programma Planbureau Leefomgeving (PBL)</t>
  </si>
  <si>
    <t>1297U01010005</t>
  </si>
  <si>
    <t>Onderzoek / Kennis (KIS)</t>
  </si>
  <si>
    <t>1297U01010009</t>
  </si>
  <si>
    <t>Onderzoek / Kennis (KiM)</t>
  </si>
  <si>
    <t>KiM</t>
  </si>
  <si>
    <t>Veiligheid en mobiliteit (SWOV)</t>
  </si>
  <si>
    <t>1220u01070001</t>
  </si>
  <si>
    <t>Beperken van verzuring en grootschalige luchtverontreiniging</t>
  </si>
  <si>
    <t>1297U01020003</t>
  </si>
  <si>
    <t>Subsidies ASA</t>
  </si>
  <si>
    <t>1219U02010001</t>
  </si>
  <si>
    <t>Aandeel Kennisvragen in opdracht - RIVM</t>
  </si>
  <si>
    <t>Mainports en logistiek (proj.)</t>
  </si>
  <si>
    <t>KDC</t>
  </si>
  <si>
    <t>KIRE (CPB)</t>
  </si>
  <si>
    <t>1214U02010001</t>
  </si>
  <si>
    <t>Veiligheid en mobiliteit Universiteit Utrecht Rijvaardiheid cat III medicijnen</t>
  </si>
  <si>
    <t>Doorontwikkeling kennismanagement HWN</t>
  </si>
  <si>
    <t>Traffic Quest</t>
  </si>
  <si>
    <t>1211U</t>
  </si>
  <si>
    <t>Totaal integraal waterbeleid</t>
  </si>
  <si>
    <t>Deltares/WUR/U/KNMI/IO</t>
  </si>
  <si>
    <t>1213U0401</t>
  </si>
  <si>
    <t>Ruimtegebruik bodem</t>
  </si>
  <si>
    <t>6501u0301</t>
  </si>
  <si>
    <t>Studiekosten waterveiligheid</t>
  </si>
  <si>
    <t>6502u0301</t>
  </si>
  <si>
    <t>Studiekosten zoetwatervoorziening</t>
  </si>
  <si>
    <t>DF 07</t>
  </si>
  <si>
    <t>HWS - Waterkwaliteit (studiekosten &amp; overleg aanleg projecten</t>
  </si>
  <si>
    <t>11.06</t>
  </si>
  <si>
    <t>Versterking aanpak cybersecurity</t>
  </si>
  <si>
    <t>11.08</t>
  </si>
  <si>
    <t>04 EU-cofinanciering Digital Europe</t>
  </si>
  <si>
    <t>U12,10</t>
  </si>
  <si>
    <t>Lucht- en Ruimtevaart</t>
  </si>
  <si>
    <t>IO/O</t>
  </si>
  <si>
    <t>12.01.02</t>
  </si>
  <si>
    <t>MKB-Innovatiestimulering Topsectoren (MIT)</t>
  </si>
  <si>
    <t>12.01.05</t>
  </si>
  <si>
    <t>12.01.06</t>
  </si>
  <si>
    <t>Overig: innovatieve onderzoeksprogramma's</t>
  </si>
  <si>
    <t>Overig: bijdrage aan overige instituten</t>
  </si>
  <si>
    <t>Bijdrage aan TNO NABS 1</t>
  </si>
  <si>
    <t>Bijdrage aan TNO NABS 2</t>
  </si>
  <si>
    <t>Bijdrage aan TNO NABS 3</t>
  </si>
  <si>
    <t>Bijdrage aan TNO NABS 4</t>
  </si>
  <si>
    <t>Bijdrage aan TNO NABS 5</t>
  </si>
  <si>
    <t>Bijdrage aan TNO NABS 6</t>
  </si>
  <si>
    <t>Bijdrage aan TNO NABS 7</t>
  </si>
  <si>
    <t>Bijdrage aan TNO NABS 13</t>
  </si>
  <si>
    <t>Bijdrage aan TNO NABS 14</t>
  </si>
  <si>
    <t>12.10.01</t>
  </si>
  <si>
    <t>Internationaal Innoveren</t>
  </si>
  <si>
    <t>TKI-toeslag: NABS 1</t>
  </si>
  <si>
    <t>TKI-toeslag: NABS 4</t>
  </si>
  <si>
    <t>TKI-toeslag: NABS 5</t>
  </si>
  <si>
    <t>TKI-toeslag: NABS 6</t>
  </si>
  <si>
    <t>TKI-toeslag: NABS 7</t>
  </si>
  <si>
    <t>TKI-toeslag: NABS 8</t>
  </si>
  <si>
    <t>12.10.02</t>
  </si>
  <si>
    <t>Grote Technologische Instituten (MARIN)</t>
  </si>
  <si>
    <t>Grote Technologische Instituten (Deltares)</t>
  </si>
  <si>
    <t>Grote Technologische Instituten (NLR)</t>
  </si>
  <si>
    <t>Economische ontwikkeling en technologie</t>
  </si>
  <si>
    <t>12.10.03</t>
  </si>
  <si>
    <t>Topsectoren overig bijdrage NWO-TTW</t>
  </si>
  <si>
    <t>TNO/DLO/SO/NWO</t>
  </si>
  <si>
    <t>Topsectoren overig: Wetsus</t>
  </si>
  <si>
    <t>Topsectoren overig (Holst centrum)</t>
  </si>
  <si>
    <t>Topsectoren overig (phase 2)</t>
  </si>
  <si>
    <t>U/O/TNO</t>
  </si>
  <si>
    <t>Topsectoren overig (innovatieprogramma life sciences and health)</t>
  </si>
  <si>
    <t>Topsectoren overig (BE basic)</t>
  </si>
  <si>
    <t>U/O</t>
  </si>
  <si>
    <t>Hyperloop</t>
  </si>
  <si>
    <t>12.10.05</t>
  </si>
  <si>
    <t>12.10</t>
  </si>
  <si>
    <t>Onderzoek</t>
  </si>
  <si>
    <t>Small Business Innovation Research</t>
  </si>
  <si>
    <t>U02</t>
  </si>
  <si>
    <t>Cyber KI</t>
  </si>
  <si>
    <t xml:space="preserve">U/NWO/TNO/SO/O </t>
  </si>
  <si>
    <t>18.10</t>
  </si>
  <si>
    <t>Co-financiering EFRO en Interreg</t>
  </si>
  <si>
    <t>UO2</t>
  </si>
  <si>
    <t>Verduurzaming industrie KD</t>
  </si>
  <si>
    <t xml:space="preserve">Verduurzaming industrie  </t>
  </si>
  <si>
    <t>R&amp;D mobiliteitssectoren</t>
  </si>
  <si>
    <t>O, TNO, GTI</t>
  </si>
  <si>
    <t>NGF - project AINed</t>
  </si>
  <si>
    <t>NGF-project Groenvermogen</t>
  </si>
  <si>
    <t>NGF-project Health RI</t>
  </si>
  <si>
    <t>NGF-project Regmed</t>
  </si>
  <si>
    <t>U/UMC/O</t>
  </si>
  <si>
    <t>NGF-project Quantum</t>
  </si>
  <si>
    <t>Overig: Topsector High Tech Vliegtuigindustie</t>
  </si>
  <si>
    <t>12.01.03</t>
  </si>
  <si>
    <t>12.01.04</t>
  </si>
  <si>
    <t>U/HBO/TNO/SO/O/GTI</t>
  </si>
  <si>
    <t>Oncode institute</t>
  </si>
  <si>
    <t>UMC/O</t>
  </si>
  <si>
    <t>12.01.07</t>
  </si>
  <si>
    <t>Innovatiefonds: vroege fase / informal investors: RVO</t>
  </si>
  <si>
    <t>Innovatiefonds: vroege fase / informal investors: STW</t>
  </si>
  <si>
    <t>Innovatiefonds: vroege fase / informal investors: haalbaarheidsstudies STW</t>
  </si>
  <si>
    <t>09 Dutch Future Fund</t>
  </si>
  <si>
    <t>10 Deep Tech Fund</t>
  </si>
  <si>
    <t>11 Fonds Alternatieve Financiering</t>
  </si>
  <si>
    <t>Thematische technology transfer (subsidiedeel)</t>
  </si>
  <si>
    <t>U/UMC/TNO</t>
  </si>
  <si>
    <t>14.01</t>
  </si>
  <si>
    <t>Topsectoren energie: RVO</t>
  </si>
  <si>
    <t>Energie-Akkoord SER: RVO</t>
  </si>
  <si>
    <t>Energie-innovatie (IA) - O: meerjarenafspraken energie (MJA-E)</t>
  </si>
  <si>
    <t>Energie-innovatie (IA) - O: duurzaamheid energiebesparing UKR</t>
  </si>
  <si>
    <t>Overige subsidies: transitiemanagement</t>
  </si>
  <si>
    <t>14.06</t>
  </si>
  <si>
    <t>O&amp;O bodembeheer</t>
  </si>
  <si>
    <t>14.10</t>
  </si>
  <si>
    <t>Bijdrage aan ECN, zie hierboven bij verdeling TNO</t>
  </si>
  <si>
    <t>14.08</t>
  </si>
  <si>
    <t>Bijdrage TNO bodembeheer institutionele financiering, zie hierboven bij verdeling TNO</t>
  </si>
  <si>
    <t xml:space="preserve">Bijdrage TNO bodembeheer projectfinanciering </t>
  </si>
  <si>
    <t>15.08</t>
  </si>
  <si>
    <t>SodM onderzoek TNO-AGE, zie hierboven bij verdeling TNO</t>
  </si>
  <si>
    <t>Nationale cofinanciering EU Innovation Fund</t>
  </si>
  <si>
    <t>16.06</t>
  </si>
  <si>
    <t>Plantaardige productie: FES innovatieprogramma energie</t>
  </si>
  <si>
    <t>Dierenwelzijn: dierproeven (opdrachten)</t>
  </si>
  <si>
    <t>U22</t>
  </si>
  <si>
    <t>Dierenwelzijn: project dierenwelzijn landbouwhuisd.</t>
  </si>
  <si>
    <t>Innovatieprogramma visserij</t>
  </si>
  <si>
    <t>Duurzame Visserij: Noordzeeakkoord (KD)</t>
  </si>
  <si>
    <t>Duurzame Visserij: projecten visserij</t>
  </si>
  <si>
    <t>16.02</t>
  </si>
  <si>
    <t>Europees fonds voor maritieme zaken en visserij</t>
  </si>
  <si>
    <t>16.40</t>
  </si>
  <si>
    <t>Kennisbasis: kennisbasis</t>
  </si>
  <si>
    <t>DLO</t>
  </si>
  <si>
    <t>Kennisbasis: autonome bijdragen</t>
  </si>
  <si>
    <t>Wettelijke onderzoekstaken</t>
  </si>
  <si>
    <t>landbouw</t>
  </si>
  <si>
    <t xml:space="preserve">Landbouw </t>
  </si>
  <si>
    <t>Topsectoren</t>
  </si>
  <si>
    <t>Bijdrage aan ZonMw voor dierproeven</t>
  </si>
  <si>
    <t>ZonMw</t>
  </si>
  <si>
    <t>Agrokennis: onderzoeksprojecten</t>
  </si>
  <si>
    <t>Agrokennis: Onderzoeksprojecten RVO</t>
  </si>
  <si>
    <t>Agrokennis: innovatieprojecten</t>
  </si>
  <si>
    <t>Agrokennis: basisfinanciering overige kennisinstellingen</t>
  </si>
  <si>
    <t>Agrokennis: vernieuwen onderzoeksinfrastructuur</t>
  </si>
  <si>
    <t>Agrokennis: RVO vernieuwen onderzoeksinfrastructuur</t>
  </si>
  <si>
    <t>Agrokennis: ontwikkelen kennisbeleid</t>
  </si>
  <si>
    <t>Agrokennis: innovatienetwerk kpl. 290100</t>
  </si>
  <si>
    <t>Opdrachtverlening via RIVM</t>
  </si>
  <si>
    <t>TNO/RIVM</t>
  </si>
  <si>
    <t>Netspar</t>
  </si>
  <si>
    <t>Samenleving en integratie</t>
  </si>
  <si>
    <t>BKZ</t>
  </si>
  <si>
    <t>Beschikbaarheidsbijdrage academische zorg</t>
  </si>
  <si>
    <t>1.1</t>
  </si>
  <si>
    <t>Nationaal programma preventie</t>
  </si>
  <si>
    <t>1.2</t>
  </si>
  <si>
    <t>Ziektepreventie (vaccinonderzoek RIVM en InTraVacc)</t>
  </si>
  <si>
    <t>2.1</t>
  </si>
  <si>
    <t>Kwaliteit, toegankelijkheid en betaalbaarheid van de zorg (NKI)</t>
  </si>
  <si>
    <t>4.3</t>
  </si>
  <si>
    <t>Kwaliteit en Veiligheid / Instellingssubsidie Nictiz</t>
  </si>
  <si>
    <t>Kwaliteit, transparantie en kennisontwikkeling (ZonMw: programmering)</t>
  </si>
  <si>
    <t>4.1</t>
  </si>
  <si>
    <t>Kwaliteit, transparantie en kennisontwikkeling (NIVEL)</t>
  </si>
  <si>
    <t>NIVEL</t>
  </si>
  <si>
    <t>ZonMW: (topsectoren)</t>
  </si>
  <si>
    <t>6.4</t>
  </si>
  <si>
    <t>9.3</t>
  </si>
  <si>
    <t>Strategisch onderzoek RIVM</t>
  </si>
  <si>
    <t>NGF</t>
  </si>
  <si>
    <t>Artikel 2 R&amp;D en innovatie subsidies onverdeeld</t>
  </si>
  <si>
    <t>Mogelijk alle</t>
  </si>
  <si>
    <t>Alle</t>
  </si>
  <si>
    <t xml:space="preserve">Proj. </t>
  </si>
  <si>
    <t>NGF-project AiNed voorwaardelijke toekenning</t>
  </si>
  <si>
    <t>NGF-project QuantumDeltaNL, voorwaardelijke toekenning</t>
  </si>
  <si>
    <t>NGF-project Regmed voorwaardelijke toekenning</t>
  </si>
  <si>
    <t>totaal</t>
  </si>
  <si>
    <r>
      <t xml:space="preserve">NGF: uitgevoerd door andere binnenlandse </t>
    </r>
    <r>
      <rPr>
        <b/>
        <sz val="10"/>
        <rFont val="Calibri"/>
        <family val="2"/>
        <scheme val="minor"/>
      </rPr>
      <t xml:space="preserve">private </t>
    </r>
    <r>
      <rPr>
        <sz val="10"/>
        <rFont val="Calibri"/>
        <family val="2"/>
        <scheme val="minor"/>
      </rPr>
      <t>derden</t>
    </r>
  </si>
  <si>
    <t>Row Labels</t>
  </si>
  <si>
    <t>Som van 2021</t>
  </si>
  <si>
    <t>Som van 2022</t>
  </si>
  <si>
    <t>Som van 2023</t>
  </si>
  <si>
    <t>Som van 2024</t>
  </si>
  <si>
    <t>Som van 2025</t>
  </si>
  <si>
    <t>Som van 2026</t>
  </si>
  <si>
    <t>Niet gebruiken voor Eurostat NABS 13</t>
  </si>
  <si>
    <t>Grand Total</t>
  </si>
  <si>
    <t>Rijlabels</t>
  </si>
  <si>
    <t>Som van 2020</t>
  </si>
  <si>
    <t>Hier niet mee werken</t>
  </si>
  <si>
    <t>Sum of 2024</t>
  </si>
  <si>
    <t>Column Labels</t>
  </si>
  <si>
    <t>Binnenlandse Zaken</t>
  </si>
  <si>
    <t>Buitenlandse Zaken</t>
  </si>
  <si>
    <t>ICT beleid</t>
  </si>
  <si>
    <t>Overig (subsidies)</t>
  </si>
  <si>
    <t>3, 4,6</t>
  </si>
  <si>
    <t>TO2 (excl. TNO)</t>
  </si>
  <si>
    <t>Topsectoren overig (bijdrage aan (inter-)nationale organisaties)</t>
  </si>
  <si>
    <t>EU-cofinanciering JTF</t>
  </si>
  <si>
    <t xml:space="preserve">NGF-project PhotonDelta </t>
  </si>
  <si>
    <t>NGF-project NXTGEN HIGH TECH (subsidies)</t>
  </si>
  <si>
    <t xml:space="preserve">NGF-project Oncode-PACT </t>
  </si>
  <si>
    <t xml:space="preserve">NGF-project QuantumDeltaNL </t>
  </si>
  <si>
    <t xml:space="preserve">NGF-project RegMed XB </t>
  </si>
  <si>
    <t xml:space="preserve">NGF-project Material Independence &amp; Circular Batteries </t>
  </si>
  <si>
    <t xml:space="preserve">Verduurzaming industrie </t>
  </si>
  <si>
    <t>Innovatiefonds: Risicokapitaal Seed</t>
  </si>
  <si>
    <t>Innovatiefonds: Innovatiekrediet</t>
  </si>
  <si>
    <t>Innovatiefonds: vroege fase / informal investors</t>
  </si>
  <si>
    <t>TNO Kerndepartement</t>
  </si>
  <si>
    <t>Geothermie (Klimaatfonds)</t>
  </si>
  <si>
    <t>NGF-project Leningen PhotonDelta (leningen)</t>
  </si>
  <si>
    <t>NGF-project PhotonDelta (subsidies)</t>
  </si>
  <si>
    <t>Bijlagen bij de miljoenennota 2026</t>
  </si>
  <si>
    <t xml:space="preserve"> Begroting EZK 2026 (cijfers 2024-2030) en Kamerbrief WBSO in 2025</t>
  </si>
  <si>
    <t xml:space="preserve">Vanaf 2027; stand ten tijde van miljoenennota aangeleverd door min. financiën </t>
  </si>
  <si>
    <t xml:space="preserve">XIII Economische Zaken (en indien roze aangegeven vanaf 2025 Klimaat en Groene Groei) </t>
  </si>
  <si>
    <t>XIII Economische Zaken en Klimaat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</si>
</sst>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41" formatCode="_ * #,##0_ ;_ * \-#,##0_ ;_ * &quot;-&quot;_ ;_ @_ "/>
    <numFmt numFmtId="44" formatCode="_ &quot;€&quot;\ * #,##0.00_ ;_ &quot;€&quot;\ * \-#,##0.00_ ;_ &quot;€&quot;\ * &quot;-&quot;??_ ;_ @_ "/>
    <numFmt numFmtId="43" formatCode="_ * #,##0.00_ ;_ * \-#,##0.00_ ;_ * &quot;-&quot;??_ ;_ @_ "/>
    <numFmt numFmtId="164" formatCode="_(&quot;$&quot;* #,##0_);_(&quot;$&quot;* \(#,##0\);_(&quot;$&quot;* &quot;-&quot;_);_(@_)"/>
    <numFmt numFmtId="165" formatCode="_(&quot;$&quot;* #,##0.00_);_(&quot;$&quot;* \(#,##0.00\);_(&quot;$&quot;* &quot;-&quot;??_);_(@_)"/>
    <numFmt numFmtId="166" formatCode="0.000"/>
    <numFmt numFmtId="167" formatCode="#,##0.000"/>
    <numFmt numFmtId="168" formatCode="&quot;fl&quot;\ #,##0.00_-;&quot;fl&quot;\ #,##0.00\-"/>
    <numFmt numFmtId="169" formatCode="#,##0.0"/>
    <numFmt numFmtId="170" formatCode="d\ m\a\a\nd\ \J\J\J\J"/>
    <numFmt numFmtId="171" formatCode="0.0"/>
    <numFmt numFmtId="172" formatCode="_-&quot;€&quot;\ * #,##0.00_-;_-&quot;€&quot;\ * #,##0.00\-;_-&quot;€&quot;\ * &quot;-&quot;??_-;_-@_-"/>
    <numFmt numFmtId="173" formatCode="s\t\a\nd\a\a\rd"/>
    <numFmt numFmtId="174" formatCode="mm/dd"/>
    <numFmt numFmtId="175" formatCode="mmmm\ d\,\ yyyy"/>
    <numFmt numFmtId="176" formatCode="_-* #,##0.00_-;_-* #,##0.00\-;_-* &quot;-&quot;??_-;_-@_-"/>
    <numFmt numFmtId="177" formatCode="&quot;fl&quot;\ #,##0_-;&quot;fl&quot;\ #,##0\-"/>
    <numFmt numFmtId="178" formatCode="_ * #,##0.0_ ;_ * \-#,##0.0_ ;_ * &quot;-&quot;??_ ;_ @_ "/>
    <numFmt numFmtId="179" formatCode="_ * #,##0.000_ ;_ * \-#,##0.000_ ;_ * &quot;-&quot;???_ ;_ @_ "/>
    <numFmt numFmtId="180" formatCode="_ * #,##0.000_ ;_ * \-#,##0.000_ ;_ * &quot;-&quot;??_ ;_ @_ "/>
    <numFmt numFmtId="181" formatCode="0_)"/>
    <numFmt numFmtId="182" formatCode="&quot;€&quot;\ #,##0_-;&quot;€&quot;\ #,##0\-"/>
    <numFmt numFmtId="183" formatCode="_ * #,##0.0_ ;_ * \-#,##0.0_ ;_ * &quot;-&quot;???_ ;_ @_ "/>
    <numFmt numFmtId="184" formatCode="[$-413]d/mmm/yy;@"/>
    <numFmt numFmtId="185" formatCode="0.0%"/>
    <numFmt numFmtId="186" formatCode="#,##0.000000"/>
    <numFmt numFmtId="187" formatCode="#,##0.0000"/>
  </numFmts>
  <fonts count="149">
    <font>
      <sz val="10"/>
      <color theme="1"/>
      <name val="Arial"/>
      <family val="2"/>
    </font>
    <font>
      <sz val="11"/>
      <color theme="1"/>
      <name val="Calibri"/>
      <scheme val="minor"/>
    </font>
    <font>
      <sz val="11"/>
      <color theme="1"/>
      <name val="Calibri"/>
      <family val="2"/>
      <scheme val="minor"/>
    </font>
    <font>
      <sz val="11"/>
      <color theme="1"/>
      <name val="Calibri"/>
      <family val="2"/>
      <scheme val="minor"/>
    </font>
    <font>
      <b/>
      <sz val="10"/>
      <name val="Calibri"/>
      <family val="2"/>
      <scheme val="minor"/>
    </font>
    <font>
      <sz val="11"/>
      <name val="Calibri"/>
      <family val="2"/>
      <scheme val="minor"/>
    </font>
    <font>
      <b/>
      <sz val="11"/>
      <name val="Calibri"/>
      <family val="2"/>
      <scheme val="minor"/>
    </font>
    <font>
      <sz val="10"/>
      <name val="Calibri"/>
      <family val="2"/>
      <scheme val="minor"/>
    </font>
    <font>
      <sz val="10"/>
      <color theme="1"/>
      <name val="Calibri"/>
      <family val="2"/>
      <scheme val="minor"/>
    </font>
    <font>
      <b/>
      <sz val="11"/>
      <color theme="1"/>
      <name val="Calibri"/>
      <family val="2"/>
      <scheme val="minor"/>
    </font>
    <font>
      <b/>
      <sz val="12"/>
      <name val="Calibri"/>
      <family val="2"/>
      <scheme val="minor"/>
    </font>
    <font>
      <sz val="10"/>
      <name val="MS Sans Serif"/>
      <family val="2"/>
    </font>
    <font>
      <b/>
      <sz val="14"/>
      <name val="Calibri"/>
      <family val="2"/>
      <scheme val="minor"/>
    </font>
    <font>
      <sz val="12"/>
      <name val="Arial"/>
      <family val="2"/>
    </font>
    <font>
      <sz val="10"/>
      <name val="Arial"/>
      <family val="2"/>
    </font>
    <font>
      <b/>
      <sz val="18"/>
      <name val="Arial"/>
      <family val="2"/>
    </font>
    <font>
      <b/>
      <sz val="12"/>
      <name val="Arial"/>
      <family val="2"/>
    </font>
    <font>
      <sz val="10"/>
      <name val="Arial"/>
      <family val="2"/>
    </font>
    <font>
      <sz val="11"/>
      <color theme="1"/>
      <name val="Calibri"/>
      <family val="2"/>
      <scheme val="minor"/>
    </font>
    <font>
      <i/>
      <sz val="11"/>
      <color theme="1"/>
      <name val="Calibri"/>
      <family val="2"/>
      <scheme val="minor"/>
    </font>
    <font>
      <b/>
      <sz val="12"/>
      <color theme="1"/>
      <name val="Calibri"/>
      <family val="2"/>
      <scheme val="minor"/>
    </font>
    <font>
      <sz val="10"/>
      <name val="Calibri"/>
      <family val="2"/>
    </font>
    <font>
      <b/>
      <i/>
      <sz val="11"/>
      <color theme="1"/>
      <name val="Calibri"/>
      <family val="2"/>
      <scheme val="minor"/>
    </font>
    <font>
      <b/>
      <sz val="14"/>
      <color theme="1"/>
      <name val="Calibri"/>
      <family val="2"/>
      <scheme val="minor"/>
    </font>
    <font>
      <i/>
      <sz val="10"/>
      <color theme="1"/>
      <name val="Calibri"/>
      <family val="2"/>
      <scheme val="minor"/>
    </font>
    <font>
      <b/>
      <sz val="10"/>
      <color theme="1"/>
      <name val="Calibri"/>
      <family val="2"/>
      <scheme val="minor"/>
    </font>
    <font>
      <sz val="12"/>
      <name val="Times New Roman"/>
      <family val="1"/>
    </font>
    <font>
      <sz val="10"/>
      <name val="Times New Roman"/>
      <family val="1"/>
    </font>
    <font>
      <sz val="8"/>
      <name val="Times New Roman"/>
      <family val="1"/>
    </font>
    <font>
      <sz val="6"/>
      <name val="Times New Roman"/>
      <family val="1"/>
    </font>
    <font>
      <sz val="24"/>
      <name val="Arial"/>
      <family val="2"/>
    </font>
    <font>
      <sz val="14"/>
      <name val="Arial"/>
      <family val="2"/>
    </font>
    <font>
      <u/>
      <sz val="10"/>
      <color theme="10"/>
      <name val="Arial"/>
      <family val="2"/>
    </font>
    <font>
      <sz val="11"/>
      <color rgb="FFFF0000"/>
      <name val="Calibri"/>
      <family val="2"/>
      <scheme val="minor"/>
    </font>
    <font>
      <sz val="10"/>
      <color rgb="FFFF0000"/>
      <name val="Calibri"/>
      <family val="2"/>
      <scheme val="minor"/>
    </font>
    <font>
      <sz val="9"/>
      <color indexed="81"/>
      <name val="Tahoma"/>
      <family val="2"/>
    </font>
    <font>
      <b/>
      <sz val="9"/>
      <color indexed="81"/>
      <name val="Tahoma"/>
      <family val="2"/>
    </font>
    <font>
      <sz val="10"/>
      <color rgb="FF0000FF"/>
      <name val="Calibri"/>
      <family val="2"/>
      <scheme val="minor"/>
    </font>
    <font>
      <sz val="11"/>
      <color rgb="FF9C6500"/>
      <name val="Calibri"/>
      <family val="2"/>
      <scheme val="minor"/>
    </font>
    <font>
      <sz val="10"/>
      <color theme="1"/>
      <name val="Arial"/>
      <family val="2"/>
    </font>
    <font>
      <b/>
      <i/>
      <sz val="10"/>
      <name val="Calibri"/>
      <family val="2"/>
      <scheme val="minor"/>
    </font>
    <font>
      <sz val="8"/>
      <color theme="1"/>
      <name val="Verdana"/>
      <family val="2"/>
    </font>
    <font>
      <sz val="8.5"/>
      <color theme="1"/>
      <name val="Verdana"/>
      <family val="2"/>
    </font>
    <font>
      <b/>
      <sz val="10"/>
      <name val="Arial"/>
      <family val="2"/>
    </font>
    <font>
      <sz val="8.5"/>
      <color rgb="FF006100"/>
      <name val="Verdana"/>
      <family val="2"/>
    </font>
    <font>
      <sz val="8.5"/>
      <color rgb="FF9C0006"/>
      <name val="Verdana"/>
      <family val="2"/>
    </font>
    <font>
      <sz val="8.5"/>
      <color rgb="FF9C6500"/>
      <name val="Verdana"/>
      <family val="2"/>
    </font>
    <font>
      <sz val="8.5"/>
      <color rgb="FF3F3F76"/>
      <name val="Verdana"/>
      <family val="2"/>
    </font>
    <font>
      <b/>
      <sz val="8.5"/>
      <color rgb="FF3F3F3F"/>
      <name val="Verdana"/>
      <family val="2"/>
    </font>
    <font>
      <b/>
      <sz val="8.5"/>
      <color rgb="FFFA7D00"/>
      <name val="Verdana"/>
      <family val="2"/>
    </font>
    <font>
      <sz val="8.5"/>
      <color rgb="FFFA7D00"/>
      <name val="Verdana"/>
      <family val="2"/>
    </font>
    <font>
      <b/>
      <sz val="8.5"/>
      <color theme="0"/>
      <name val="Verdana"/>
      <family val="2"/>
    </font>
    <font>
      <sz val="8.5"/>
      <color rgb="FFFF0000"/>
      <name val="Verdana"/>
      <family val="2"/>
    </font>
    <font>
      <i/>
      <sz val="8.5"/>
      <color rgb="FF7F7F7F"/>
      <name val="Verdana"/>
      <family val="2"/>
    </font>
    <font>
      <sz val="8.5"/>
      <color theme="0"/>
      <name val="Verdana"/>
      <family val="2"/>
    </font>
    <font>
      <sz val="11"/>
      <color theme="0"/>
      <name val="Calibri"/>
      <family val="2"/>
      <scheme val="minor"/>
    </font>
    <font>
      <sz val="11"/>
      <color indexed="20"/>
      <name val="Calibri"/>
      <family val="2"/>
    </font>
    <font>
      <b/>
      <sz val="11"/>
      <color rgb="FFFA7D00"/>
      <name val="Calibri"/>
      <family val="2"/>
      <scheme val="minor"/>
    </font>
    <font>
      <sz val="8"/>
      <name val="Arial"/>
      <family val="2"/>
    </font>
    <font>
      <b/>
      <sz val="8"/>
      <color indexed="8"/>
      <name val="MS Sans Serif"/>
      <family val="2"/>
    </font>
    <font>
      <sz val="11"/>
      <name val="µ¸¿ò"/>
      <charset val="129"/>
    </font>
    <font>
      <b/>
      <sz val="11"/>
      <color indexed="52"/>
      <name val="Calibri"/>
      <family val="2"/>
    </font>
    <font>
      <b/>
      <sz val="11"/>
      <color indexed="9"/>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1"/>
      <color theme="0"/>
      <name val="Calibri"/>
      <family val="2"/>
      <scheme val="minor"/>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i/>
      <sz val="11"/>
      <color indexed="23"/>
      <name val="Calibri"/>
      <family val="2"/>
    </font>
    <font>
      <sz val="8"/>
      <color indexed="8"/>
      <name val="Arial"/>
      <family val="2"/>
    </font>
    <font>
      <sz val="10"/>
      <color indexed="8"/>
      <name val="Arial"/>
      <family val="2"/>
      <charset val="238"/>
    </font>
    <font>
      <sz val="11"/>
      <color rgb="FFFA7D00"/>
      <name val="Calibri"/>
      <family val="2"/>
      <scheme val="minor"/>
    </font>
    <font>
      <sz val="11"/>
      <color rgb="FF006100"/>
      <name val="Calibri"/>
      <family val="2"/>
      <scheme val="minor"/>
    </font>
    <font>
      <sz val="11"/>
      <color indexed="17"/>
      <name val="Calibri"/>
      <family val="2"/>
    </font>
    <font>
      <b/>
      <sz val="10"/>
      <color indexed="8"/>
      <name val="MS Sans Serif"/>
      <family val="2"/>
    </font>
    <font>
      <b/>
      <sz val="8"/>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20"/>
      <name val="Arial"/>
      <family val="2"/>
    </font>
    <font>
      <sz val="11"/>
      <color indexed="62"/>
      <name val="Calibri"/>
      <family val="2"/>
    </font>
    <font>
      <sz val="11"/>
      <color rgb="FF3F3F76"/>
      <name val="Calibri"/>
      <family val="2"/>
      <scheme val="minor"/>
    </font>
    <font>
      <b/>
      <sz val="8.5"/>
      <color indexed="8"/>
      <name val="MS Sans Serif"/>
      <family val="2"/>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8"/>
      <name val="Arial"/>
      <family val="2"/>
      <charset val="238"/>
    </font>
    <font>
      <sz val="11"/>
      <color indexed="52"/>
      <name val="Calibri"/>
      <family val="2"/>
    </font>
    <font>
      <sz val="11"/>
      <color indexed="60"/>
      <name val="Calibri"/>
      <family val="2"/>
    </font>
    <font>
      <sz val="10"/>
      <color indexed="8"/>
      <name val="Arial"/>
      <family val="2"/>
    </font>
    <font>
      <sz val="11"/>
      <color rgb="FF9C0006"/>
      <name val="Calibri"/>
      <family val="2"/>
      <scheme val="minor"/>
    </font>
    <font>
      <b/>
      <sz val="11"/>
      <color indexed="63"/>
      <name val="Calibri"/>
      <family val="2"/>
    </font>
    <font>
      <sz val="9"/>
      <color theme="1"/>
      <name val="Verdana"/>
      <family val="2"/>
    </font>
    <font>
      <b/>
      <u/>
      <sz val="10"/>
      <color indexed="8"/>
      <name val="MS Sans Serif"/>
      <family val="2"/>
    </font>
    <font>
      <sz val="7.5"/>
      <color indexed="8"/>
      <name val="MS Sans Serif"/>
      <family val="2"/>
    </font>
    <font>
      <b/>
      <sz val="12"/>
      <color indexed="8"/>
      <name val="Arial"/>
      <family val="2"/>
    </font>
    <font>
      <b/>
      <sz val="10"/>
      <color indexed="8"/>
      <name val="Arial"/>
      <family val="2"/>
    </font>
    <font>
      <b/>
      <i/>
      <sz val="12"/>
      <color indexed="8"/>
      <name val="Arial"/>
      <family val="2"/>
    </font>
    <font>
      <b/>
      <sz val="10"/>
      <color indexed="39"/>
      <name val="Arial"/>
      <family val="2"/>
    </font>
    <font>
      <sz val="12"/>
      <color indexed="8"/>
      <name val="Arial"/>
      <family val="2"/>
    </font>
    <font>
      <i/>
      <sz val="12"/>
      <color indexed="8"/>
      <name val="Arial"/>
      <family val="2"/>
    </font>
    <font>
      <sz val="10"/>
      <color indexed="39"/>
      <name val="Arial"/>
      <family val="2"/>
    </font>
    <font>
      <sz val="19"/>
      <color indexed="48"/>
      <name val="Arial"/>
      <family val="2"/>
    </font>
    <font>
      <sz val="12"/>
      <color indexed="14"/>
      <name val="Arial"/>
      <family val="2"/>
    </font>
    <font>
      <sz val="10"/>
      <color indexed="10"/>
      <name val="Arial"/>
      <family val="2"/>
    </font>
    <font>
      <sz val="11"/>
      <color indexed="8"/>
      <name val="Calibri"/>
      <family val="2"/>
    </font>
    <font>
      <b/>
      <sz val="14"/>
      <name val="Helv"/>
    </font>
    <font>
      <b/>
      <sz val="12"/>
      <name val="Helv"/>
    </font>
    <font>
      <b/>
      <sz val="18"/>
      <color indexed="56"/>
      <name val="Cambria"/>
      <family val="2"/>
    </font>
    <font>
      <b/>
      <sz val="11"/>
      <color rgb="FF3F3F3F"/>
      <name val="Calibri"/>
      <family val="2"/>
      <scheme val="minor"/>
    </font>
    <font>
      <i/>
      <sz val="11"/>
      <color rgb="FF7F7F7F"/>
      <name val="Calibri"/>
      <family val="2"/>
      <scheme val="minor"/>
    </font>
    <font>
      <sz val="11"/>
      <color indexed="10"/>
      <name val="Calibri"/>
      <family val="2"/>
    </font>
    <font>
      <u/>
      <sz val="11"/>
      <color theme="1"/>
      <name val="Calibri"/>
      <family val="2"/>
      <scheme val="minor"/>
    </font>
    <font>
      <sz val="11"/>
      <color rgb="FF0000FF"/>
      <name val="Calibri"/>
      <family val="2"/>
      <scheme val="minor"/>
    </font>
    <font>
      <sz val="11"/>
      <color indexed="8"/>
      <name val="Calibri"/>
      <family val="2"/>
      <scheme val="minor"/>
    </font>
    <font>
      <sz val="6.5"/>
      <name val="Univers"/>
      <family val="2"/>
    </font>
    <font>
      <u/>
      <sz val="11"/>
      <color theme="10"/>
      <name val="Calibri"/>
      <family val="2"/>
      <scheme val="minor"/>
    </font>
    <font>
      <b/>
      <sz val="10"/>
      <color theme="1"/>
      <name val="Arial"/>
      <family val="2"/>
    </font>
    <font>
      <i/>
      <sz val="10"/>
      <name val="Calibri"/>
      <family val="2"/>
      <scheme val="minor"/>
    </font>
    <font>
      <b/>
      <i/>
      <sz val="11"/>
      <name val="Calibri"/>
      <family val="2"/>
      <scheme val="minor"/>
    </font>
    <font>
      <sz val="10"/>
      <color rgb="FF0000FF"/>
      <name val="Calibri"/>
      <family val="2"/>
    </font>
    <font>
      <b/>
      <sz val="10"/>
      <color rgb="FF3E3E3E"/>
      <name val="Verdana"/>
      <family val="2"/>
    </font>
    <font>
      <sz val="10"/>
      <color rgb="FFFF0000"/>
      <name val="Calibri"/>
      <family val="2"/>
    </font>
    <font>
      <b/>
      <i/>
      <sz val="10"/>
      <color theme="1"/>
      <name val="Arial"/>
      <family val="2"/>
    </font>
    <font>
      <i/>
      <sz val="10"/>
      <color theme="1"/>
      <name val="Arial"/>
      <family val="2"/>
    </font>
    <font>
      <i/>
      <sz val="11"/>
      <name val="Calibri"/>
      <family val="2"/>
      <scheme val="minor"/>
    </font>
    <font>
      <sz val="18"/>
      <color theme="3"/>
      <name val="Cambria"/>
      <family val="2"/>
      <scheme val="major"/>
    </font>
    <font>
      <b/>
      <sz val="18"/>
      <color theme="3"/>
      <name val="Cambria"/>
      <family val="2"/>
      <scheme val="major"/>
    </font>
    <font>
      <u/>
      <sz val="8"/>
      <color rgb="FF0000FF"/>
      <name val="Calibri"/>
      <family val="2"/>
      <scheme val="minor"/>
    </font>
    <font>
      <u/>
      <sz val="8"/>
      <color rgb="FF800080"/>
      <name val="Calibri"/>
      <family val="2"/>
      <scheme val="minor"/>
    </font>
    <font>
      <sz val="9"/>
      <color theme="1"/>
      <name val="Arial"/>
      <family val="2"/>
    </font>
    <font>
      <b/>
      <sz val="9"/>
      <color theme="1"/>
      <name val="Arial"/>
      <family val="2"/>
    </font>
    <font>
      <b/>
      <sz val="10"/>
      <color rgb="FF0000FF"/>
      <name val="Calibri"/>
      <family val="2"/>
      <scheme val="minor"/>
    </font>
    <font>
      <sz val="9"/>
      <color rgb="FFFF0000"/>
      <name val="Arial"/>
      <family val="2"/>
    </font>
    <font>
      <sz val="9"/>
      <name val="Arial"/>
      <family val="2"/>
    </font>
    <font>
      <sz val="10"/>
      <color theme="1"/>
      <name val="Calibri"/>
      <family val="2"/>
    </font>
    <font>
      <sz val="10"/>
      <name val="Arial"/>
      <family val="2"/>
    </font>
    <font>
      <sz val="10"/>
      <color rgb="FF000000"/>
      <name val="Arial"/>
      <family val="2"/>
    </font>
    <font>
      <sz val="11"/>
      <color rgb="FF000000"/>
      <name val="Calibri"/>
      <family val="2"/>
      <scheme val="minor"/>
    </font>
    <font>
      <sz val="11"/>
      <name val="Calibri"/>
      <scheme val="minor"/>
    </font>
    <font>
      <sz val="10"/>
      <name val="Calibri"/>
      <scheme val="minor"/>
    </font>
    <font>
      <b/>
      <sz val="10"/>
      <name val="Calibri"/>
      <scheme val="minor"/>
    </font>
    <font>
      <b/>
      <sz val="11"/>
      <color theme="1"/>
      <name val="Calibri"/>
      <scheme val="minor"/>
    </font>
  </fonts>
  <fills count="83">
    <fill>
      <patternFill patternType="none"/>
    </fill>
    <fill>
      <patternFill patternType="gray125"/>
    </fill>
    <fill>
      <patternFill patternType="solid">
        <fgColor theme="9" tint="0.59999389629810485"/>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solid">
        <fgColor indexed="31"/>
        <bgColor indexed="64"/>
      </patternFill>
    </fill>
    <fill>
      <patternFill patternType="solid">
        <fgColor indexed="44"/>
        <bgColor indexed="8"/>
      </patternFill>
    </fill>
    <fill>
      <patternFill patternType="solid">
        <fgColor indexed="22"/>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8"/>
      </patternFill>
    </fill>
    <fill>
      <patternFill patternType="solid">
        <fgColor indexed="9"/>
        <bgColor indexed="64"/>
      </patternFill>
    </fill>
    <fill>
      <patternFill patternType="solid">
        <fgColor indexed="42"/>
      </patternFill>
    </fill>
    <fill>
      <patternFill patternType="solid">
        <fgColor indexed="10"/>
        <bgColor indexed="64"/>
      </patternFill>
    </fill>
    <fill>
      <patternFill patternType="solid">
        <fgColor indexed="22"/>
        <bgColor indexed="8"/>
      </patternFill>
    </fill>
    <fill>
      <patternFill patternType="solid">
        <fgColor indexed="47"/>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40"/>
        <bgColor indexed="64"/>
      </patternFill>
    </fill>
    <fill>
      <patternFill patternType="solid">
        <fgColor indexed="45"/>
        <bgColor indexed="64"/>
      </patternFill>
    </fill>
    <fill>
      <patternFill patternType="solid">
        <fgColor indexed="29"/>
      </patternFill>
    </fill>
    <fill>
      <patternFill patternType="solid">
        <fgColor indexed="29"/>
        <bgColor indexed="64"/>
      </patternFill>
    </fill>
    <fill>
      <patternFill patternType="solid">
        <fgColor indexed="10"/>
      </patternFill>
    </fill>
    <fill>
      <patternFill patternType="solid">
        <fgColor indexed="42"/>
        <bgColor indexed="64"/>
      </patternFill>
    </fill>
    <fill>
      <patternFill patternType="solid">
        <fgColor indexed="51"/>
      </patternFill>
    </fill>
    <fill>
      <patternFill patternType="solid">
        <fgColor indexed="51"/>
        <bgColor indexed="64"/>
      </patternFill>
    </fill>
    <fill>
      <patternFill patternType="solid">
        <fgColor indexed="52"/>
      </patternFill>
    </fill>
    <fill>
      <patternFill patternType="solid">
        <fgColor indexed="47"/>
        <bgColor indexed="64"/>
      </patternFill>
    </fill>
    <fill>
      <patternFill patternType="solid">
        <fgColor indexed="53"/>
      </patternFill>
    </fill>
    <fill>
      <patternFill patternType="solid">
        <fgColor indexed="50"/>
        <bgColor indexed="64"/>
      </patternFill>
    </fill>
    <fill>
      <patternFill patternType="solid">
        <fgColor indexed="57"/>
      </patternFill>
    </fill>
    <fill>
      <patternFill patternType="solid">
        <fgColor indexed="57"/>
        <bgColor indexed="64"/>
      </patternFill>
    </fill>
    <fill>
      <patternFill patternType="solid">
        <fgColor indexed="50"/>
      </patternFill>
    </fill>
    <fill>
      <patternFill patternType="solid">
        <fgColor indexed="21"/>
        <bgColor indexed="64"/>
      </patternFill>
    </fill>
    <fill>
      <patternFill patternType="solid">
        <fgColor indexed="11"/>
      </patternFill>
    </fill>
    <fill>
      <patternFill patternType="lightUp">
        <fgColor indexed="48"/>
        <bgColor indexed="44"/>
      </patternFill>
    </fill>
    <fill>
      <patternFill patternType="lightUp">
        <fgColor indexed="48"/>
        <bgColor indexed="41"/>
      </patternFill>
    </fill>
    <fill>
      <patternFill patternType="solid">
        <fgColor indexed="44"/>
        <bgColor indexed="64"/>
      </patternFill>
    </fill>
    <fill>
      <patternFill patternType="solid">
        <fgColor indexed="41"/>
      </patternFill>
    </fill>
    <fill>
      <patternFill patternType="solid">
        <fgColor indexed="41"/>
        <bgColor indexed="64"/>
      </patternFill>
    </fill>
    <fill>
      <patternFill patternType="solid">
        <fgColor indexed="26"/>
        <bgColor indexed="64"/>
      </patternFill>
    </fill>
    <fill>
      <patternFill patternType="solid">
        <fgColor indexed="15"/>
        <bgColor indexed="64"/>
      </patternFill>
    </fill>
    <fill>
      <patternFill patternType="solid">
        <fgColor indexed="44"/>
        <bgColor indexed="10"/>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s>
  <borders count="38">
    <border>
      <left/>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ck">
        <color indexed="63"/>
      </top>
      <bottom/>
      <diagonal/>
    </border>
    <border>
      <left/>
      <right/>
      <top style="double">
        <color indexed="64"/>
      </top>
      <bottom/>
      <diagonal/>
    </border>
    <border>
      <left/>
      <right/>
      <top style="double">
        <color indexed="0"/>
      </top>
      <bottom/>
      <diagonal/>
    </border>
    <border>
      <left/>
      <right/>
      <top style="thin">
        <color indexed="0"/>
      </top>
      <bottom style="double">
        <color indexed="0"/>
      </bottom>
      <diagonal/>
    </border>
    <border>
      <left/>
      <right/>
      <top/>
      <bottom style="thin">
        <color theme="4" tint="0.39997558519241921"/>
      </bottom>
      <diagonal/>
    </border>
  </borders>
  <cellStyleXfs count="1326">
    <xf numFmtId="0" fontId="0" fillId="0" borderId="0"/>
    <xf numFmtId="0" fontId="11" fillId="0" borderId="0"/>
    <xf numFmtId="0" fontId="13" fillId="0" borderId="0" applyNumberFormat="0" applyFill="0" applyBorder="0" applyAlignment="0" applyProtection="0"/>
    <xf numFmtId="0" fontId="14" fillId="0" borderId="0"/>
    <xf numFmtId="2" fontId="13" fillId="0" borderId="0" applyFill="0" applyBorder="0" applyAlignment="0" applyProtection="0"/>
    <xf numFmtId="170" fontId="13" fillId="0" borderId="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168" fontId="13" fillId="0" borderId="0" applyFill="0" applyBorder="0" applyAlignment="0" applyProtection="0"/>
    <xf numFmtId="169" fontId="13" fillId="0" borderId="0" applyFill="0" applyBorder="0" applyAlignment="0" applyProtection="0"/>
    <xf numFmtId="169" fontId="13" fillId="0" borderId="0" applyFill="0" applyBorder="0" applyProtection="0">
      <alignment horizontal="right"/>
    </xf>
    <xf numFmtId="0" fontId="13" fillId="0" borderId="1" applyNumberFormat="0" applyFill="0" applyAlignment="0" applyProtection="0"/>
    <xf numFmtId="0" fontId="17" fillId="0" borderId="0"/>
    <xf numFmtId="172" fontId="14" fillId="0" borderId="0" applyFont="0" applyFill="0" applyBorder="0" applyAlignment="0" applyProtection="0"/>
    <xf numFmtId="9" fontId="14" fillId="0" borderId="0" applyFont="0" applyFill="0" applyBorder="0" applyAlignment="0" applyProtection="0"/>
    <xf numFmtId="0" fontId="14" fillId="0" borderId="0"/>
    <xf numFmtId="173" fontId="26" fillId="0" borderId="0" applyProtection="0"/>
    <xf numFmtId="173" fontId="13" fillId="0" borderId="0"/>
    <xf numFmtId="173" fontId="31" fillId="0" borderId="0" applyProtection="0"/>
    <xf numFmtId="173" fontId="29" fillId="0" borderId="0" applyProtection="0"/>
    <xf numFmtId="173" fontId="28" fillId="0" borderId="0" applyProtection="0"/>
    <xf numFmtId="173" fontId="27" fillId="0" borderId="0" applyProtection="0"/>
    <xf numFmtId="173" fontId="13" fillId="0" borderId="0" applyProtection="0"/>
    <xf numFmtId="173" fontId="30" fillId="0" borderId="0" applyProtection="0"/>
    <xf numFmtId="0" fontId="14" fillId="0" borderId="0"/>
    <xf numFmtId="0" fontId="3" fillId="0" borderId="0"/>
    <xf numFmtId="0" fontId="14" fillId="0" borderId="0"/>
    <xf numFmtId="0" fontId="32" fillId="0" borderId="0" applyNumberFormat="0" applyFill="0" applyBorder="0" applyAlignment="0" applyProtection="0"/>
    <xf numFmtId="0" fontId="3" fillId="0" borderId="0"/>
    <xf numFmtId="0" fontId="38" fillId="3" borderId="0" applyNumberFormat="0" applyBorder="0" applyAlignment="0" applyProtection="0"/>
    <xf numFmtId="9" fontId="3" fillId="0" borderId="0" applyFont="0" applyFill="0" applyBorder="0" applyAlignment="0" applyProtection="0"/>
    <xf numFmtId="43" fontId="39" fillId="0" borderId="0" applyFont="0" applyFill="0" applyBorder="0" applyAlignment="0" applyProtection="0"/>
    <xf numFmtId="43" fontId="14" fillId="0" borderId="0" applyFont="0" applyFill="0" applyBorder="0" applyAlignment="0" applyProtection="0"/>
    <xf numFmtId="0" fontId="14" fillId="0" borderId="0"/>
    <xf numFmtId="0" fontId="3" fillId="0" borderId="0"/>
    <xf numFmtId="0" fontId="14" fillId="0" borderId="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55" fillId="13" borderId="0" applyNumberFormat="0" applyBorder="0" applyAlignment="0" applyProtection="0"/>
    <xf numFmtId="0" fontId="54" fillId="13" borderId="0" applyNumberFormat="0" applyBorder="0" applyAlignment="0" applyProtection="0"/>
    <xf numFmtId="0" fontId="55" fillId="17" borderId="0" applyNumberFormat="0" applyBorder="0" applyAlignment="0" applyProtection="0"/>
    <xf numFmtId="0" fontId="54" fillId="17" borderId="0" applyNumberFormat="0" applyBorder="0" applyAlignment="0" applyProtection="0"/>
    <xf numFmtId="0" fontId="55" fillId="21" borderId="0" applyNumberFormat="0" applyBorder="0" applyAlignment="0" applyProtection="0"/>
    <xf numFmtId="0" fontId="54" fillId="21" borderId="0" applyNumberFormat="0" applyBorder="0" applyAlignment="0" applyProtection="0"/>
    <xf numFmtId="0" fontId="55" fillId="25" borderId="0" applyNumberFormat="0" applyBorder="0" applyAlignment="0" applyProtection="0"/>
    <xf numFmtId="0" fontId="54" fillId="25" borderId="0" applyNumberFormat="0" applyBorder="0" applyAlignment="0" applyProtection="0"/>
    <xf numFmtId="0" fontId="55" fillId="29" borderId="0" applyNumberFormat="0" applyBorder="0" applyAlignment="0" applyProtection="0"/>
    <xf numFmtId="0" fontId="54" fillId="29" borderId="0" applyNumberFormat="0" applyBorder="0" applyAlignment="0" applyProtection="0"/>
    <xf numFmtId="0" fontId="55" fillId="33" borderId="0" applyNumberFormat="0" applyBorder="0" applyAlignment="0" applyProtection="0"/>
    <xf numFmtId="0" fontId="54" fillId="33" borderId="0" applyNumberFormat="0" applyBorder="0" applyAlignment="0" applyProtection="0"/>
    <xf numFmtId="0" fontId="55" fillId="10" borderId="0" applyNumberFormat="0" applyBorder="0" applyAlignment="0" applyProtection="0"/>
    <xf numFmtId="0" fontId="54" fillId="10" borderId="0" applyNumberFormat="0" applyBorder="0" applyAlignment="0" applyProtection="0"/>
    <xf numFmtId="0" fontId="55" fillId="14" borderId="0" applyNumberFormat="0" applyBorder="0" applyAlignment="0" applyProtection="0"/>
    <xf numFmtId="0" fontId="54" fillId="14" borderId="0" applyNumberFormat="0" applyBorder="0" applyAlignment="0" applyProtection="0"/>
    <xf numFmtId="0" fontId="55" fillId="18" borderId="0" applyNumberFormat="0" applyBorder="0" applyAlignment="0" applyProtection="0"/>
    <xf numFmtId="0" fontId="54" fillId="18" borderId="0" applyNumberFormat="0" applyBorder="0" applyAlignment="0" applyProtection="0"/>
    <xf numFmtId="0" fontId="55" fillId="22" borderId="0" applyNumberFormat="0" applyBorder="0" applyAlignment="0" applyProtection="0"/>
    <xf numFmtId="0" fontId="54" fillId="22" borderId="0" applyNumberFormat="0" applyBorder="0" applyAlignment="0" applyProtection="0"/>
    <xf numFmtId="0" fontId="55" fillId="26" borderId="0" applyNumberFormat="0" applyBorder="0" applyAlignment="0" applyProtection="0"/>
    <xf numFmtId="0" fontId="54" fillId="26" borderId="0" applyNumberFormat="0" applyBorder="0" applyAlignment="0" applyProtection="0"/>
    <xf numFmtId="0" fontId="55" fillId="30" borderId="0" applyNumberFormat="0" applyBorder="0" applyAlignment="0" applyProtection="0"/>
    <xf numFmtId="0" fontId="54" fillId="30" borderId="0" applyNumberFormat="0" applyBorder="0" applyAlignment="0" applyProtection="0"/>
    <xf numFmtId="0" fontId="56" fillId="34" borderId="0" applyNumberFormat="0" applyBorder="0" applyAlignment="0" applyProtection="0"/>
    <xf numFmtId="2" fontId="13" fillId="0" borderId="0" applyProtection="0"/>
    <xf numFmtId="0" fontId="57" fillId="7" borderId="5" applyNumberFormat="0" applyAlignment="0" applyProtection="0"/>
    <xf numFmtId="0" fontId="49" fillId="7" borderId="5" applyNumberFormat="0" applyAlignment="0" applyProtection="0"/>
    <xf numFmtId="0" fontId="58" fillId="35" borderId="17"/>
    <xf numFmtId="0" fontId="59" fillId="36" borderId="18">
      <alignment horizontal="right" vertical="top" wrapText="1"/>
    </xf>
    <xf numFmtId="0" fontId="60" fillId="0" borderId="0"/>
    <xf numFmtId="0" fontId="61" fillId="37" borderId="19" applyNumberFormat="0" applyAlignment="0" applyProtection="0"/>
    <xf numFmtId="0" fontId="58" fillId="0" borderId="20"/>
    <xf numFmtId="0" fontId="62" fillId="38" borderId="21" applyNumberFormat="0" applyAlignment="0" applyProtection="0"/>
    <xf numFmtId="0" fontId="63" fillId="39" borderId="22">
      <alignment horizontal="left" vertical="top" wrapText="1"/>
    </xf>
    <xf numFmtId="0" fontId="64" fillId="40" borderId="0">
      <alignment horizontal="center"/>
    </xf>
    <xf numFmtId="0" fontId="65" fillId="40" borderId="0">
      <alignment horizontal="center" vertical="center"/>
    </xf>
    <xf numFmtId="0" fontId="14" fillId="41" borderId="0">
      <alignment horizontal="center" wrapText="1"/>
    </xf>
    <xf numFmtId="0" fontId="66" fillId="40" borderId="0">
      <alignment horizontal="center"/>
    </xf>
    <xf numFmtId="4" fontId="14" fillId="42" borderId="0" applyFont="0" applyFill="0" applyBorder="0" applyAlignment="0" applyProtection="0"/>
    <xf numFmtId="0" fontId="67" fillId="8" borderId="8" applyNumberFormat="0" applyAlignment="0" applyProtection="0"/>
    <xf numFmtId="0" fontId="51" fillId="8" borderId="8" applyNumberFormat="0" applyAlignment="0" applyProtection="0"/>
    <xf numFmtId="0" fontId="68" fillId="43" borderId="17" applyBorder="0">
      <protection locked="0"/>
    </xf>
    <xf numFmtId="174" fontId="14" fillId="0" borderId="0" applyFill="0" applyBorder="0" applyAlignment="0" applyProtection="0"/>
    <xf numFmtId="175" fontId="14" fillId="0" borderId="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0" fontId="69" fillId="0" borderId="0">
      <alignment horizontal="centerContinuous"/>
    </xf>
    <xf numFmtId="0" fontId="69" fillId="0" borderId="0" applyAlignment="0">
      <alignment horizontal="centerContinuous"/>
    </xf>
    <xf numFmtId="0" fontId="70" fillId="0" borderId="0" applyAlignment="0">
      <alignment horizontal="centerContinuous"/>
    </xf>
    <xf numFmtId="0" fontId="71" fillId="43" borderId="17">
      <protection locked="0"/>
    </xf>
    <xf numFmtId="0" fontId="14" fillId="43" borderId="20"/>
    <xf numFmtId="0" fontId="14" fillId="40" borderId="0"/>
    <xf numFmtId="172" fontId="14" fillId="0" borderId="0" applyFont="0" applyFill="0" applyBorder="0" applyAlignment="0" applyProtection="0"/>
    <xf numFmtId="0" fontId="72" fillId="0" borderId="0" applyNumberFormat="0" applyFill="0" applyBorder="0" applyAlignment="0" applyProtection="0"/>
    <xf numFmtId="3" fontId="31" fillId="0" borderId="0" applyFill="0" applyBorder="0" applyAlignment="0" applyProtection="0"/>
    <xf numFmtId="3" fontId="30" fillId="0" borderId="0" applyFill="0" applyBorder="0" applyAlignment="0" applyProtection="0"/>
    <xf numFmtId="3" fontId="29" fillId="0" borderId="0" applyFill="0" applyBorder="0" applyAlignment="0" applyProtection="0"/>
    <xf numFmtId="3" fontId="28" fillId="0" borderId="0" applyFill="0" applyBorder="0" applyAlignment="0" applyProtection="0"/>
    <xf numFmtId="3" fontId="27" fillId="0" borderId="0" applyFill="0" applyBorder="0" applyAlignment="0" applyProtection="0"/>
    <xf numFmtId="3" fontId="26" fillId="0" borderId="0" applyFill="0" applyBorder="0" applyAlignment="0" applyProtection="0"/>
    <xf numFmtId="3" fontId="13" fillId="0" borderId="0" applyFill="0" applyBorder="0" applyAlignment="0" applyProtection="0"/>
    <xf numFmtId="0" fontId="73" fillId="40" borderId="20">
      <alignment horizontal="left"/>
    </xf>
    <xf numFmtId="0" fontId="74" fillId="40" borderId="0">
      <alignment horizontal="left"/>
    </xf>
    <xf numFmtId="0" fontId="75" fillId="0" borderId="7" applyNumberFormat="0" applyFill="0" applyAlignment="0" applyProtection="0"/>
    <xf numFmtId="0" fontId="50" fillId="0" borderId="7" applyNumberFormat="0" applyFill="0" applyAlignment="0" applyProtection="0"/>
    <xf numFmtId="0" fontId="76" fillId="4" borderId="0" applyNumberFormat="0" applyBorder="0" applyAlignment="0" applyProtection="0"/>
    <xf numFmtId="0" fontId="44" fillId="4" borderId="0" applyNumberFormat="0" applyBorder="0" applyAlignment="0" applyProtection="0"/>
    <xf numFmtId="0" fontId="77" fillId="44" borderId="0" applyNumberFormat="0" applyBorder="0" applyAlignment="0" applyProtection="0"/>
    <xf numFmtId="0" fontId="78" fillId="45" borderId="0">
      <alignment horizontal="left" vertical="top"/>
    </xf>
    <xf numFmtId="0" fontId="59" fillId="46" borderId="0">
      <alignment horizontal="right" vertical="top" textRotation="90" wrapText="1"/>
    </xf>
    <xf numFmtId="0" fontId="79" fillId="0" borderId="0"/>
    <xf numFmtId="0" fontId="80" fillId="0" borderId="23" applyNumberFormat="0" applyFill="0" applyAlignment="0" applyProtection="0"/>
    <xf numFmtId="0" fontId="81" fillId="0" borderId="24" applyNumberFormat="0" applyFill="0" applyAlignment="0" applyProtection="0"/>
    <xf numFmtId="0" fontId="82" fillId="0" borderId="25"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47" borderId="19" applyNumberFormat="0" applyAlignment="0" applyProtection="0"/>
    <xf numFmtId="0" fontId="86" fillId="6" borderId="5" applyNumberFormat="0" applyAlignment="0" applyProtection="0"/>
    <xf numFmtId="0" fontId="47" fillId="6" borderId="5" applyNumberFormat="0" applyAlignment="0" applyProtection="0"/>
    <xf numFmtId="0" fontId="43" fillId="41" borderId="0">
      <alignment horizontal="center"/>
    </xf>
    <xf numFmtId="0" fontId="14" fillId="40" borderId="20">
      <alignment horizontal="centerContinuous" wrapText="1"/>
    </xf>
    <xf numFmtId="0" fontId="87" fillId="45" borderId="0">
      <alignment horizontal="center" wrapText="1"/>
    </xf>
    <xf numFmtId="0" fontId="14" fillId="40" borderId="20">
      <alignment horizontal="centerContinuous" wrapText="1"/>
    </xf>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14" fillId="0" borderId="0" applyFont="0" applyFill="0" applyBorder="0" applyAlignment="0" applyProtection="0"/>
    <xf numFmtId="43" fontId="42"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43" fontId="42" fillId="0" borderId="0" applyFont="0" applyFill="0" applyBorder="0" applyAlignment="0" applyProtection="0"/>
    <xf numFmtId="176" fontId="3"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3" fontId="14" fillId="0" borderId="0" applyFill="0" applyBorder="0" applyAlignment="0" applyProtection="0"/>
    <xf numFmtId="0" fontId="88" fillId="0" borderId="0"/>
    <xf numFmtId="3" fontId="14" fillId="42" borderId="0" applyFont="0" applyFill="0" applyBorder="0" applyAlignment="0" applyProtection="0"/>
    <xf numFmtId="3" fontId="14" fillId="0" borderId="0" applyFill="0" applyBorder="0" applyAlignment="0" applyProtection="0"/>
    <xf numFmtId="169" fontId="14" fillId="0" borderId="0" applyFill="0" applyBorder="0" applyAlignment="0" applyProtection="0"/>
    <xf numFmtId="0" fontId="88" fillId="0" borderId="0"/>
    <xf numFmtId="0" fontId="89" fillId="0" borderId="2" applyNumberFormat="0" applyFill="0" applyAlignment="0" applyProtection="0"/>
    <xf numFmtId="0" fontId="90" fillId="0" borderId="3" applyNumberFormat="0" applyFill="0" applyAlignment="0" applyProtection="0"/>
    <xf numFmtId="0" fontId="91" fillId="0" borderId="4" applyNumberFormat="0" applyFill="0" applyAlignment="0" applyProtection="0"/>
    <xf numFmtId="0" fontId="91" fillId="0" borderId="0" applyNumberFormat="0" applyFill="0" applyBorder="0" applyAlignment="0" applyProtection="0"/>
    <xf numFmtId="0" fontId="15" fillId="0" borderId="0" applyProtection="0"/>
    <xf numFmtId="0" fontId="16"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92" fillId="40" borderId="13">
      <alignment wrapText="1"/>
    </xf>
    <xf numFmtId="0" fontId="92" fillId="40" borderId="15"/>
    <xf numFmtId="0" fontId="92" fillId="40" borderId="11"/>
    <xf numFmtId="0" fontId="58" fillId="40" borderId="16">
      <alignment horizontal="center" wrapText="1"/>
    </xf>
    <xf numFmtId="0" fontId="63" fillId="39" borderId="26">
      <alignment horizontal="left" vertical="top" wrapText="1"/>
    </xf>
    <xf numFmtId="0" fontId="93" fillId="0" borderId="27" applyNumberFormat="0" applyFill="0" applyAlignment="0" applyProtection="0"/>
    <xf numFmtId="0" fontId="14" fillId="0" borderId="0" applyFont="0" applyFill="0" applyBorder="0" applyAlignment="0" applyProtection="0"/>
    <xf numFmtId="168" fontId="13" fillId="0" borderId="0" applyProtection="0"/>
    <xf numFmtId="0" fontId="38" fillId="3" borderId="0" applyNumberFormat="0" applyBorder="0" applyAlignment="0" applyProtection="0"/>
    <xf numFmtId="0" fontId="46" fillId="3" borderId="0" applyNumberFormat="0" applyBorder="0" applyAlignment="0" applyProtection="0"/>
    <xf numFmtId="0" fontId="94" fillId="48" borderId="0" applyNumberFormat="0" applyBorder="0" applyAlignment="0" applyProtection="0"/>
    <xf numFmtId="0" fontId="13" fillId="0" borderId="0" applyNumberFormat="0" applyFont="0" applyFill="0" applyBorder="0" applyAlignment="0" applyProtection="0"/>
    <xf numFmtId="0" fontId="14" fillId="0" borderId="0" applyNumberFormat="0" applyFill="0" applyBorder="0" applyAlignment="0" applyProtection="0"/>
    <xf numFmtId="0" fontId="14" fillId="0" borderId="0">
      <alignment vertical="top"/>
    </xf>
    <xf numFmtId="0" fontId="14" fillId="0" borderId="0"/>
    <xf numFmtId="0" fontId="95" fillId="0" borderId="0"/>
    <xf numFmtId="0" fontId="14" fillId="0" borderId="0"/>
    <xf numFmtId="0" fontId="14" fillId="49" borderId="28" applyNumberFormat="0" applyFont="0" applyAlignment="0" applyProtection="0"/>
    <xf numFmtId="0" fontId="3" fillId="9" borderId="9" applyNumberFormat="0" applyFont="0" applyAlignment="0" applyProtection="0"/>
    <xf numFmtId="0" fontId="3" fillId="9" borderId="9" applyNumberFormat="0" applyFont="0" applyAlignment="0" applyProtection="0"/>
    <xf numFmtId="0" fontId="3" fillId="9" borderId="9" applyNumberFormat="0" applyFont="0" applyAlignment="0" applyProtection="0"/>
    <xf numFmtId="0" fontId="42" fillId="9" borderId="9" applyNumberFormat="0" applyFont="0" applyAlignment="0" applyProtection="0"/>
    <xf numFmtId="0" fontId="96" fillId="5" borderId="0" applyNumberFormat="0" applyBorder="0" applyAlignment="0" applyProtection="0"/>
    <xf numFmtId="0" fontId="45" fillId="5" borderId="0" applyNumberFormat="0" applyBorder="0" applyAlignment="0" applyProtection="0"/>
    <xf numFmtId="0" fontId="97" fillId="37" borderId="29" applyNumberFormat="0" applyAlignment="0" applyProtection="0"/>
    <xf numFmtId="0" fontId="88" fillId="0" borderId="0"/>
    <xf numFmtId="9" fontId="98"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4" fontId="13" fillId="0" borderId="0" applyProtection="0"/>
    <xf numFmtId="0" fontId="58" fillId="40" borderId="20"/>
    <xf numFmtId="0" fontId="65" fillId="40" borderId="0">
      <alignment horizontal="right"/>
    </xf>
    <xf numFmtId="0" fontId="99" fillId="45" borderId="0">
      <alignment horizontal="center"/>
    </xf>
    <xf numFmtId="0" fontId="63" fillId="46" borderId="20">
      <alignment horizontal="left" vertical="top" wrapText="1"/>
    </xf>
    <xf numFmtId="0" fontId="100" fillId="46" borderId="12">
      <alignment horizontal="left" vertical="top" wrapText="1"/>
    </xf>
    <xf numFmtId="0" fontId="63" fillId="46" borderId="14">
      <alignment horizontal="left" vertical="top" wrapText="1"/>
    </xf>
    <xf numFmtId="0" fontId="63" fillId="46" borderId="12">
      <alignment horizontal="left" vertical="top"/>
    </xf>
    <xf numFmtId="4" fontId="101" fillId="50" borderId="30" applyNumberFormat="0" applyProtection="0">
      <alignment vertical="center"/>
    </xf>
    <xf numFmtId="4" fontId="102" fillId="48" borderId="30" applyNumberFormat="0" applyProtection="0">
      <alignment vertical="center"/>
    </xf>
    <xf numFmtId="4" fontId="102" fillId="48" borderId="30" applyNumberFormat="0" applyProtection="0">
      <alignment vertical="center"/>
    </xf>
    <xf numFmtId="4" fontId="101" fillId="50" borderId="30" applyNumberFormat="0" applyProtection="0">
      <alignment vertical="center"/>
    </xf>
    <xf numFmtId="4" fontId="103" fillId="50" borderId="30" applyNumberFormat="0" applyProtection="0">
      <alignment vertical="center"/>
    </xf>
    <xf numFmtId="4" fontId="103" fillId="50" borderId="30" applyNumberFormat="0" applyProtection="0">
      <alignment vertical="center"/>
    </xf>
    <xf numFmtId="4" fontId="104" fillId="50" borderId="30" applyNumberFormat="0" applyProtection="0">
      <alignment vertical="center"/>
    </xf>
    <xf numFmtId="4" fontId="103" fillId="50" borderId="30" applyNumberFormat="0" applyProtection="0">
      <alignment vertical="center"/>
    </xf>
    <xf numFmtId="4" fontId="105" fillId="50" borderId="30" applyNumberFormat="0" applyProtection="0">
      <alignment horizontal="left" vertical="center" indent="1"/>
    </xf>
    <xf numFmtId="4" fontId="105" fillId="50" borderId="30" applyNumberFormat="0" applyProtection="0">
      <alignment horizontal="left" vertical="center" indent="1"/>
    </xf>
    <xf numFmtId="4" fontId="102" fillId="50" borderId="30" applyNumberFormat="0" applyProtection="0">
      <alignment horizontal="left" vertical="center" indent="1"/>
    </xf>
    <xf numFmtId="4" fontId="105" fillId="50" borderId="30" applyNumberFormat="0" applyProtection="0">
      <alignment horizontal="left" vertical="center" indent="1"/>
    </xf>
    <xf numFmtId="0" fontId="102" fillId="50" borderId="30" applyNumberFormat="0" applyProtection="0">
      <alignment horizontal="left" vertical="top" indent="1"/>
    </xf>
    <xf numFmtId="0" fontId="14" fillId="0" borderId="0"/>
    <xf numFmtId="0" fontId="14" fillId="0" borderId="0"/>
    <xf numFmtId="4" fontId="105" fillId="51" borderId="0" applyNumberFormat="0" applyProtection="0">
      <alignment horizontal="left" vertical="center" indent="1"/>
    </xf>
    <xf numFmtId="4" fontId="105" fillId="52" borderId="0" applyNumberFormat="0" applyProtection="0">
      <alignment horizontal="left" vertical="center" indent="1"/>
    </xf>
    <xf numFmtId="4" fontId="105" fillId="51" borderId="0" applyNumberFormat="0" applyProtection="0">
      <alignment horizontal="left" vertical="center" indent="1"/>
    </xf>
    <xf numFmtId="4" fontId="105" fillId="52" borderId="0" applyNumberFormat="0" applyProtection="0">
      <alignment horizontal="left" vertical="center" indent="1"/>
    </xf>
    <xf numFmtId="4" fontId="105" fillId="51" borderId="0" applyNumberFormat="0" applyProtection="0">
      <alignment horizontal="left" vertical="center" indent="1"/>
    </xf>
    <xf numFmtId="4" fontId="105" fillId="51" borderId="0" applyNumberFormat="0" applyProtection="0">
      <alignment horizontal="left" vertical="center" indent="1"/>
    </xf>
    <xf numFmtId="4" fontId="105" fillId="52" borderId="0" applyNumberFormat="0" applyProtection="0">
      <alignment horizontal="left" vertical="center" indent="1"/>
    </xf>
    <xf numFmtId="4" fontId="105" fillId="45" borderId="30" applyNumberFormat="0" applyProtection="0">
      <alignment horizontal="right" vertical="center"/>
    </xf>
    <xf numFmtId="4" fontId="105" fillId="45" borderId="30" applyNumberFormat="0" applyProtection="0">
      <alignment horizontal="right" vertical="center"/>
    </xf>
    <xf numFmtId="4" fontId="95" fillId="34" borderId="30" applyNumberFormat="0" applyProtection="0">
      <alignment horizontal="right" vertical="center"/>
    </xf>
    <xf numFmtId="4" fontId="105" fillId="45" borderId="30" applyNumberFormat="0" applyProtection="0">
      <alignment horizontal="right" vertical="center"/>
    </xf>
    <xf numFmtId="4" fontId="105" fillId="53" borderId="30" applyNumberFormat="0" applyProtection="0">
      <alignment horizontal="right" vertical="center"/>
    </xf>
    <xf numFmtId="4" fontId="105" fillId="53" borderId="30" applyNumberFormat="0" applyProtection="0">
      <alignment horizontal="right" vertical="center"/>
    </xf>
    <xf numFmtId="4" fontId="95" fillId="54" borderId="30" applyNumberFormat="0" applyProtection="0">
      <alignment horizontal="right" vertical="center"/>
    </xf>
    <xf numFmtId="4" fontId="105" fillId="53" borderId="30" applyNumberFormat="0" applyProtection="0">
      <alignment horizontal="right" vertical="center"/>
    </xf>
    <xf numFmtId="4" fontId="105" fillId="55" borderId="30" applyNumberFormat="0" applyProtection="0">
      <alignment horizontal="right" vertical="center"/>
    </xf>
    <xf numFmtId="4" fontId="105" fillId="55" borderId="30" applyNumberFormat="0" applyProtection="0">
      <alignment horizontal="right" vertical="center"/>
    </xf>
    <xf numFmtId="4" fontId="95" fillId="56" borderId="30" applyNumberFormat="0" applyProtection="0">
      <alignment horizontal="right" vertical="center"/>
    </xf>
    <xf numFmtId="4" fontId="105" fillId="55" borderId="30" applyNumberFormat="0" applyProtection="0">
      <alignment horizontal="right" vertical="center"/>
    </xf>
    <xf numFmtId="4" fontId="105" fillId="57" borderId="30" applyNumberFormat="0" applyProtection="0">
      <alignment horizontal="right" vertical="center"/>
    </xf>
    <xf numFmtId="4" fontId="105" fillId="57" borderId="30" applyNumberFormat="0" applyProtection="0">
      <alignment horizontal="right" vertical="center"/>
    </xf>
    <xf numFmtId="4" fontId="95" fillId="58" borderId="30" applyNumberFormat="0" applyProtection="0">
      <alignment horizontal="right" vertical="center"/>
    </xf>
    <xf numFmtId="4" fontId="105" fillId="57" borderId="30" applyNumberFormat="0" applyProtection="0">
      <alignment horizontal="right" vertical="center"/>
    </xf>
    <xf numFmtId="4" fontId="105" fillId="59" borderId="30" applyNumberFormat="0" applyProtection="0">
      <alignment horizontal="right" vertical="center"/>
    </xf>
    <xf numFmtId="4" fontId="105" fillId="59" borderId="30" applyNumberFormat="0" applyProtection="0">
      <alignment horizontal="right" vertical="center"/>
    </xf>
    <xf numFmtId="4" fontId="95" fillId="60" borderId="30" applyNumberFormat="0" applyProtection="0">
      <alignment horizontal="right" vertical="center"/>
    </xf>
    <xf numFmtId="4" fontId="105" fillId="59" borderId="30" applyNumberFormat="0" applyProtection="0">
      <alignment horizontal="right" vertical="center"/>
    </xf>
    <xf numFmtId="4" fontId="105" fillId="61" borderId="30" applyNumberFormat="0" applyProtection="0">
      <alignment horizontal="right" vertical="center"/>
    </xf>
    <xf numFmtId="4" fontId="105" fillId="61" borderId="30" applyNumberFormat="0" applyProtection="0">
      <alignment horizontal="right" vertical="center"/>
    </xf>
    <xf numFmtId="4" fontId="95" fillId="62" borderId="30" applyNumberFormat="0" applyProtection="0">
      <alignment horizontal="right" vertical="center"/>
    </xf>
    <xf numFmtId="4" fontId="105" fillId="61" borderId="30" applyNumberFormat="0" applyProtection="0">
      <alignment horizontal="right" vertical="center"/>
    </xf>
    <xf numFmtId="4" fontId="105" fillId="63" borderId="30" applyNumberFormat="0" applyProtection="0">
      <alignment horizontal="right" vertical="center"/>
    </xf>
    <xf numFmtId="4" fontId="105" fillId="63" borderId="30" applyNumberFormat="0" applyProtection="0">
      <alignment horizontal="right" vertical="center"/>
    </xf>
    <xf numFmtId="4" fontId="95" fillId="64" borderId="30" applyNumberFormat="0" applyProtection="0">
      <alignment horizontal="right" vertical="center"/>
    </xf>
    <xf numFmtId="4" fontId="105" fillId="63" borderId="30" applyNumberFormat="0" applyProtection="0">
      <alignment horizontal="right" vertical="center"/>
    </xf>
    <xf numFmtId="4" fontId="105" fillId="65" borderId="30" applyNumberFormat="0" applyProtection="0">
      <alignment horizontal="right" vertical="center"/>
    </xf>
    <xf numFmtId="4" fontId="105" fillId="65" borderId="30" applyNumberFormat="0" applyProtection="0">
      <alignment horizontal="right" vertical="center"/>
    </xf>
    <xf numFmtId="4" fontId="95" fillId="66" borderId="30" applyNumberFormat="0" applyProtection="0">
      <alignment horizontal="right" vertical="center"/>
    </xf>
    <xf numFmtId="4" fontId="105" fillId="65" borderId="30" applyNumberFormat="0" applyProtection="0">
      <alignment horizontal="right" vertical="center"/>
    </xf>
    <xf numFmtId="4" fontId="105" fillId="67" borderId="30" applyNumberFormat="0" applyProtection="0">
      <alignment horizontal="right" vertical="center"/>
    </xf>
    <xf numFmtId="4" fontId="105" fillId="67" borderId="30" applyNumberFormat="0" applyProtection="0">
      <alignment horizontal="right" vertical="center"/>
    </xf>
    <xf numFmtId="4" fontId="95" fillId="68" borderId="30" applyNumberFormat="0" applyProtection="0">
      <alignment horizontal="right" vertical="center"/>
    </xf>
    <xf numFmtId="4" fontId="105" fillId="67" borderId="30" applyNumberFormat="0" applyProtection="0">
      <alignment horizontal="right" vertical="center"/>
    </xf>
    <xf numFmtId="4" fontId="101" fillId="69" borderId="31" applyNumberFormat="0" applyProtection="0">
      <alignment horizontal="left" vertical="center" indent="1"/>
    </xf>
    <xf numFmtId="4" fontId="101" fillId="70" borderId="31" applyNumberFormat="0" applyProtection="0">
      <alignment horizontal="left" vertical="center" indent="1"/>
    </xf>
    <xf numFmtId="4" fontId="101" fillId="70" borderId="31" applyNumberFormat="0" applyProtection="0">
      <alignment horizontal="left" vertical="center" indent="1"/>
    </xf>
    <xf numFmtId="4" fontId="101" fillId="69" borderId="31" applyNumberFormat="0" applyProtection="0">
      <alignment horizontal="left" vertical="center" indent="1"/>
    </xf>
    <xf numFmtId="4" fontId="101" fillId="71" borderId="0" applyNumberFormat="0" applyProtection="0">
      <alignment horizontal="left" vertical="center" indent="1"/>
    </xf>
    <xf numFmtId="4" fontId="95" fillId="72" borderId="0" applyNumberFormat="0" applyProtection="0">
      <alignment horizontal="left" vertical="center" indent="1"/>
    </xf>
    <xf numFmtId="4" fontId="95" fillId="72" borderId="0" applyNumberFormat="0" applyProtection="0">
      <alignment horizontal="left" vertical="center" indent="1"/>
    </xf>
    <xf numFmtId="4" fontId="101" fillId="71" borderId="0" applyNumberFormat="0" applyProtection="0">
      <alignment horizontal="left" vertical="center" indent="1"/>
    </xf>
    <xf numFmtId="4" fontId="101" fillId="51" borderId="0" applyNumberFormat="0" applyProtection="0">
      <alignment horizontal="left" vertical="center" indent="1"/>
    </xf>
    <xf numFmtId="4" fontId="101" fillId="51" borderId="0" applyNumberFormat="0" applyProtection="0">
      <alignment horizontal="left" vertical="center" indent="1"/>
    </xf>
    <xf numFmtId="4" fontId="101" fillId="51" borderId="0" applyNumberFormat="0" applyProtection="0">
      <alignment horizontal="left" vertical="center" indent="1"/>
    </xf>
    <xf numFmtId="4" fontId="105" fillId="71" borderId="30" applyNumberFormat="0" applyProtection="0">
      <alignment horizontal="right" vertical="center"/>
    </xf>
    <xf numFmtId="4" fontId="105" fillId="52" borderId="30" applyNumberFormat="0" applyProtection="0">
      <alignment horizontal="right" vertical="center"/>
    </xf>
    <xf numFmtId="4" fontId="105" fillId="71" borderId="30" applyNumberFormat="0" applyProtection="0">
      <alignment horizontal="right" vertical="center"/>
    </xf>
    <xf numFmtId="4" fontId="105" fillId="52" borderId="30" applyNumberFormat="0" applyProtection="0">
      <alignment horizontal="right" vertical="center"/>
    </xf>
    <xf numFmtId="4" fontId="105" fillId="71" borderId="30" applyNumberFormat="0" applyProtection="0">
      <alignment horizontal="right" vertical="center"/>
    </xf>
    <xf numFmtId="4" fontId="105" fillId="71" borderId="30" applyNumberFormat="0" applyProtection="0">
      <alignment horizontal="right" vertical="center"/>
    </xf>
    <xf numFmtId="4" fontId="105" fillId="71" borderId="30" applyNumberFormat="0" applyProtection="0">
      <alignment horizontal="right" vertical="center"/>
    </xf>
    <xf numFmtId="4" fontId="95" fillId="71" borderId="0" applyNumberFormat="0" applyProtection="0">
      <alignment horizontal="left" vertical="center" indent="1"/>
    </xf>
    <xf numFmtId="4" fontId="95" fillId="73" borderId="0" applyNumberFormat="0" applyProtection="0">
      <alignment horizontal="left" vertical="center" indent="1"/>
    </xf>
    <xf numFmtId="4" fontId="95" fillId="73" borderId="0" applyNumberFormat="0" applyProtection="0">
      <alignment horizontal="left" vertical="center" indent="1"/>
    </xf>
    <xf numFmtId="4" fontId="95" fillId="71" borderId="0" applyNumberFormat="0" applyProtection="0">
      <alignment horizontal="left" vertical="center" indent="1"/>
    </xf>
    <xf numFmtId="4" fontId="95" fillId="51" borderId="0" applyNumberFormat="0" applyProtection="0">
      <alignment horizontal="left" vertical="center" indent="1"/>
    </xf>
    <xf numFmtId="4" fontId="95" fillId="52" borderId="0" applyNumberFormat="0" applyProtection="0">
      <alignment horizontal="left" vertical="center" indent="1"/>
    </xf>
    <xf numFmtId="4" fontId="95" fillId="52" borderId="0" applyNumberFormat="0" applyProtection="0">
      <alignment horizontal="left" vertical="center" indent="1"/>
    </xf>
    <xf numFmtId="4" fontId="95" fillId="51" borderId="0" applyNumberFormat="0" applyProtection="0">
      <alignment horizontal="left" vertical="center" indent="1"/>
    </xf>
    <xf numFmtId="0" fontId="14" fillId="51" borderId="30" applyNumberFormat="0" applyProtection="0">
      <alignment horizontal="left" vertical="center" indent="1"/>
    </xf>
    <xf numFmtId="0" fontId="14" fillId="51" borderId="30" applyNumberFormat="0" applyProtection="0">
      <alignment horizontal="left" vertical="center" indent="1"/>
    </xf>
    <xf numFmtId="0" fontId="14" fillId="51" borderId="30" applyNumberFormat="0" applyProtection="0">
      <alignment horizontal="left" vertical="center" indent="1"/>
    </xf>
    <xf numFmtId="0" fontId="14" fillId="51" borderId="30" applyNumberFormat="0" applyProtection="0">
      <alignment horizontal="left" vertical="top" indent="1"/>
    </xf>
    <xf numFmtId="0" fontId="14" fillId="51" borderId="30" applyNumberFormat="0" applyProtection="0">
      <alignment horizontal="left" vertical="top" indent="1"/>
    </xf>
    <xf numFmtId="0" fontId="14" fillId="51" borderId="30" applyNumberFormat="0" applyProtection="0">
      <alignment horizontal="left" vertical="top" indent="1"/>
    </xf>
    <xf numFmtId="0" fontId="14" fillId="52" borderId="30" applyNumberFormat="0" applyProtection="0">
      <alignment horizontal="left" vertical="center" indent="1"/>
    </xf>
    <xf numFmtId="0" fontId="14" fillId="52" borderId="30" applyNumberFormat="0" applyProtection="0">
      <alignment horizontal="left" vertical="center" indent="1"/>
    </xf>
    <xf numFmtId="0" fontId="14" fillId="52" borderId="30" applyNumberFormat="0" applyProtection="0">
      <alignment horizontal="left" vertical="center" indent="1"/>
    </xf>
    <xf numFmtId="0" fontId="14" fillId="52" borderId="30" applyNumberFormat="0" applyProtection="0">
      <alignment horizontal="left" vertical="top" indent="1"/>
    </xf>
    <xf numFmtId="0" fontId="14" fillId="52" borderId="30" applyNumberFormat="0" applyProtection="0">
      <alignment horizontal="left" vertical="top" indent="1"/>
    </xf>
    <xf numFmtId="0" fontId="14" fillId="52" borderId="30" applyNumberFormat="0" applyProtection="0">
      <alignment horizontal="left" vertical="top" indent="1"/>
    </xf>
    <xf numFmtId="0" fontId="14" fillId="71" borderId="30" applyNumberFormat="0" applyProtection="0">
      <alignment horizontal="left" vertical="center" indent="1"/>
    </xf>
    <xf numFmtId="0" fontId="14" fillId="71" borderId="30" applyNumberFormat="0" applyProtection="0">
      <alignment horizontal="left" vertical="center" indent="1"/>
    </xf>
    <xf numFmtId="0" fontId="14" fillId="71" borderId="30" applyNumberFormat="0" applyProtection="0">
      <alignment horizontal="left" vertical="center" indent="1"/>
    </xf>
    <xf numFmtId="0" fontId="14" fillId="71" borderId="30" applyNumberFormat="0" applyProtection="0">
      <alignment horizontal="left" vertical="top" indent="1"/>
    </xf>
    <xf numFmtId="0" fontId="14" fillId="71" borderId="30" applyNumberFormat="0" applyProtection="0">
      <alignment horizontal="left" vertical="top" indent="1"/>
    </xf>
    <xf numFmtId="0" fontId="14" fillId="71" borderId="30" applyNumberFormat="0" applyProtection="0">
      <alignment horizontal="left" vertical="top" indent="1"/>
    </xf>
    <xf numFmtId="0" fontId="14" fillId="73" borderId="30" applyNumberFormat="0" applyProtection="0">
      <alignment horizontal="left" vertical="center" indent="1"/>
    </xf>
    <xf numFmtId="0" fontId="14" fillId="73" borderId="30" applyNumberFormat="0" applyProtection="0">
      <alignment horizontal="left" vertical="center" indent="1"/>
    </xf>
    <xf numFmtId="0" fontId="14" fillId="73" borderId="30" applyNumberFormat="0" applyProtection="0">
      <alignment horizontal="left" vertical="center" indent="1"/>
    </xf>
    <xf numFmtId="0" fontId="14" fillId="73" borderId="30" applyNumberFormat="0" applyProtection="0">
      <alignment horizontal="left" vertical="top" indent="1"/>
    </xf>
    <xf numFmtId="0" fontId="14" fillId="73" borderId="30" applyNumberFormat="0" applyProtection="0">
      <alignment horizontal="left" vertical="top" indent="1"/>
    </xf>
    <xf numFmtId="0" fontId="14" fillId="73" borderId="30" applyNumberFormat="0" applyProtection="0">
      <alignment horizontal="left" vertical="top" indent="1"/>
    </xf>
    <xf numFmtId="0" fontId="14" fillId="0" borderId="0"/>
    <xf numFmtId="0" fontId="14" fillId="0" borderId="0"/>
    <xf numFmtId="4" fontId="105" fillId="73" borderId="30" applyNumberFormat="0" applyProtection="0">
      <alignment vertical="center"/>
    </xf>
    <xf numFmtId="4" fontId="105" fillId="73" borderId="30" applyNumberFormat="0" applyProtection="0">
      <alignment vertical="center"/>
    </xf>
    <xf numFmtId="4" fontId="95" fillId="74" borderId="30" applyNumberFormat="0" applyProtection="0">
      <alignment vertical="center"/>
    </xf>
    <xf numFmtId="4" fontId="105" fillId="73" borderId="30" applyNumberFormat="0" applyProtection="0">
      <alignment vertical="center"/>
    </xf>
    <xf numFmtId="4" fontId="106" fillId="73" borderId="30" applyNumberFormat="0" applyProtection="0">
      <alignment vertical="center"/>
    </xf>
    <xf numFmtId="4" fontId="106" fillId="73" borderId="30" applyNumberFormat="0" applyProtection="0">
      <alignment vertical="center"/>
    </xf>
    <xf numFmtId="4" fontId="107" fillId="74" borderId="30" applyNumberFormat="0" applyProtection="0">
      <alignment vertical="center"/>
    </xf>
    <xf numFmtId="4" fontId="106" fillId="73" borderId="30" applyNumberFormat="0" applyProtection="0">
      <alignment vertical="center"/>
    </xf>
    <xf numFmtId="4" fontId="101" fillId="71" borderId="32" applyNumberFormat="0" applyProtection="0">
      <alignment horizontal="left" vertical="center" indent="1"/>
    </xf>
    <xf numFmtId="4" fontId="101" fillId="71" borderId="32" applyNumberFormat="0" applyProtection="0">
      <alignment horizontal="left" vertical="center" indent="1"/>
    </xf>
    <xf numFmtId="4" fontId="95" fillId="74" borderId="30" applyNumberFormat="0" applyProtection="0">
      <alignment horizontal="left" vertical="center" indent="1"/>
    </xf>
    <xf numFmtId="4" fontId="101" fillId="71" borderId="32" applyNumberFormat="0" applyProtection="0">
      <alignment horizontal="left" vertical="center" indent="1"/>
    </xf>
    <xf numFmtId="0" fontId="95" fillId="74" borderId="30" applyNumberFormat="0" applyProtection="0">
      <alignment horizontal="left" vertical="top" indent="1"/>
    </xf>
    <xf numFmtId="0" fontId="14" fillId="0" borderId="0"/>
    <xf numFmtId="0" fontId="14" fillId="0" borderId="0"/>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5" fillId="73" borderId="30" applyNumberFormat="0" applyProtection="0">
      <alignment horizontal="right" vertical="center"/>
    </xf>
    <xf numFmtId="4" fontId="106" fillId="44" borderId="30" applyNumberFormat="0" applyProtection="0">
      <alignment horizontal="right" vertical="center"/>
    </xf>
    <xf numFmtId="4" fontId="106" fillId="73" borderId="30" applyNumberFormat="0" applyProtection="0">
      <alignment horizontal="right" vertical="center"/>
    </xf>
    <xf numFmtId="4" fontId="107" fillId="72" borderId="30" applyNumberFormat="0" applyProtection="0">
      <alignment horizontal="right" vertical="center"/>
    </xf>
    <xf numFmtId="4" fontId="106" fillId="73" borderId="30" applyNumberFormat="0" applyProtection="0">
      <alignment horizontal="right" vertical="center"/>
    </xf>
    <xf numFmtId="4" fontId="101" fillId="71" borderId="30" applyNumberFormat="0" applyProtection="0">
      <alignment horizontal="left" vertical="center" indent="1"/>
    </xf>
    <xf numFmtId="4" fontId="101" fillId="71" borderId="30" applyNumberFormat="0" applyProtection="0">
      <alignment horizontal="left" vertical="center" indent="1"/>
    </xf>
    <xf numFmtId="4" fontId="101" fillId="71" borderId="30" applyNumberFormat="0" applyProtection="0">
      <alignment horizontal="left" vertical="center" indent="1"/>
    </xf>
    <xf numFmtId="4" fontId="101" fillId="71" borderId="30" applyNumberFormat="0" applyProtection="0">
      <alignment horizontal="left" vertical="center" indent="1"/>
    </xf>
    <xf numFmtId="4" fontId="101" fillId="52" borderId="30" applyNumberFormat="0" applyProtection="0">
      <alignment horizontal="left" vertical="center" indent="1"/>
    </xf>
    <xf numFmtId="4" fontId="101" fillId="52" borderId="30" applyNumberFormat="0" applyProtection="0">
      <alignment horizontal="left" vertical="center" indent="1"/>
    </xf>
    <xf numFmtId="4" fontId="101" fillId="71" borderId="30" applyNumberFormat="0" applyProtection="0">
      <alignment horizontal="left" vertical="center" indent="1"/>
    </xf>
    <xf numFmtId="0" fontId="95" fillId="52" borderId="30" applyNumberFormat="0" applyProtection="0">
      <alignment horizontal="left" vertical="top" indent="1"/>
    </xf>
    <xf numFmtId="0" fontId="95" fillId="52" borderId="30" applyNumberFormat="0" applyProtection="0">
      <alignment horizontal="left" vertical="top" indent="1"/>
    </xf>
    <xf numFmtId="0" fontId="14" fillId="0" borderId="0"/>
    <xf numFmtId="4" fontId="108" fillId="52" borderId="32" applyNumberFormat="0" applyProtection="0">
      <alignment horizontal="left" vertical="center" indent="1"/>
    </xf>
    <xf numFmtId="4" fontId="108" fillId="52" borderId="32" applyNumberFormat="0" applyProtection="0">
      <alignment horizontal="left" vertical="center" indent="1"/>
    </xf>
    <xf numFmtId="4" fontId="108" fillId="75" borderId="0" applyNumberFormat="0" applyProtection="0">
      <alignment horizontal="left" vertical="center" indent="1"/>
    </xf>
    <xf numFmtId="4" fontId="108" fillId="52" borderId="32" applyNumberFormat="0" applyProtection="0">
      <alignment horizontal="left" vertical="center" indent="1"/>
    </xf>
    <xf numFmtId="4" fontId="109" fillId="73" borderId="30" applyNumberFormat="0" applyProtection="0">
      <alignment horizontal="right" vertical="center"/>
    </xf>
    <xf numFmtId="4" fontId="109" fillId="73" borderId="30" applyNumberFormat="0" applyProtection="0">
      <alignment horizontal="right" vertical="center"/>
    </xf>
    <xf numFmtId="4" fontId="110" fillId="72" borderId="30" applyNumberFormat="0" applyProtection="0">
      <alignment horizontal="right" vertical="center"/>
    </xf>
    <xf numFmtId="4" fontId="109" fillId="73" borderId="30" applyNumberFormat="0" applyProtection="0">
      <alignment horizontal="right" vertical="center"/>
    </xf>
    <xf numFmtId="0" fontId="3" fillId="0" borderId="0"/>
    <xf numFmtId="0" fontId="111" fillId="0" borderId="0"/>
    <xf numFmtId="0" fontId="14" fillId="0" borderId="0"/>
    <xf numFmtId="0" fontId="42" fillId="0" borderId="0"/>
    <xf numFmtId="0" fontId="42" fillId="0" borderId="0"/>
    <xf numFmtId="0" fontId="42" fillId="0" borderId="0"/>
    <xf numFmtId="0" fontId="42" fillId="0" borderId="0"/>
    <xf numFmtId="0" fontId="41" fillId="0" borderId="0"/>
    <xf numFmtId="0" fontId="42" fillId="0" borderId="0"/>
    <xf numFmtId="0" fontId="42" fillId="0" borderId="0"/>
    <xf numFmtId="0" fontId="42" fillId="0" borderId="0"/>
    <xf numFmtId="0" fontId="42" fillId="0" borderId="0"/>
    <xf numFmtId="0" fontId="42" fillId="0" borderId="0"/>
    <xf numFmtId="0" fontId="3" fillId="0" borderId="0"/>
    <xf numFmtId="0" fontId="14" fillId="0" borderId="0"/>
    <xf numFmtId="0" fontId="14" fillId="0" borderId="0"/>
    <xf numFmtId="0" fontId="98" fillId="0" borderId="0"/>
    <xf numFmtId="0" fontId="42" fillId="0" borderId="0"/>
    <xf numFmtId="0" fontId="42" fillId="0" borderId="0"/>
    <xf numFmtId="0" fontId="42" fillId="0" borderId="0"/>
    <xf numFmtId="0" fontId="42" fillId="0" borderId="0"/>
    <xf numFmtId="0" fontId="14" fillId="0" borderId="0"/>
    <xf numFmtId="0" fontId="42" fillId="0" borderId="0"/>
    <xf numFmtId="0" fontId="42" fillId="0" borderId="0"/>
    <xf numFmtId="0" fontId="3" fillId="0" borderId="0"/>
    <xf numFmtId="0" fontId="14" fillId="0" borderId="0"/>
    <xf numFmtId="0" fontId="14" fillId="0" borderId="0"/>
    <xf numFmtId="0" fontId="14" fillId="0" borderId="0"/>
    <xf numFmtId="0" fontId="14" fillId="0" borderId="0"/>
    <xf numFmtId="0" fontId="14" fillId="0" borderId="0"/>
    <xf numFmtId="0" fontId="42" fillId="0" borderId="0"/>
    <xf numFmtId="0" fontId="3" fillId="0" borderId="0"/>
    <xf numFmtId="0" fontId="42" fillId="0" borderId="0"/>
    <xf numFmtId="0" fontId="3" fillId="0" borderId="0"/>
    <xf numFmtId="0" fontId="42" fillId="0" borderId="0"/>
    <xf numFmtId="0" fontId="42" fillId="0" borderId="0"/>
    <xf numFmtId="0" fontId="3" fillId="0" borderId="0"/>
    <xf numFmtId="0" fontId="3" fillId="0" borderId="0"/>
    <xf numFmtId="0" fontId="27" fillId="0" borderId="0"/>
    <xf numFmtId="0" fontId="78" fillId="76" borderId="0">
      <alignment horizontal="left"/>
    </xf>
    <xf numFmtId="0" fontId="87" fillId="76" borderId="0">
      <alignment horizontal="left" wrapText="1"/>
    </xf>
    <xf numFmtId="0" fontId="78" fillId="76" borderId="0">
      <alignment horizontal="left"/>
    </xf>
    <xf numFmtId="0" fontId="112" fillId="0" borderId="33"/>
    <xf numFmtId="0" fontId="113" fillId="0" borderId="0"/>
    <xf numFmtId="0" fontId="64" fillId="40" borderId="0">
      <alignment horizontal="center"/>
    </xf>
    <xf numFmtId="0" fontId="114" fillId="0" borderId="0" applyNumberFormat="0" applyFill="0" applyBorder="0" applyAlignment="0" applyProtection="0"/>
    <xf numFmtId="0" fontId="79" fillId="40" borderId="0"/>
    <xf numFmtId="0" fontId="78" fillId="76" borderId="0">
      <alignment horizontal="left"/>
    </xf>
    <xf numFmtId="0" fontId="14" fillId="0" borderId="1" applyNumberFormat="0" applyFill="0" applyAlignment="0" applyProtection="0"/>
    <xf numFmtId="0" fontId="9" fillId="0" borderId="10" applyNumberFormat="0" applyFill="0" applyAlignment="0" applyProtection="0"/>
    <xf numFmtId="0" fontId="14" fillId="0" borderId="34" applyNumberFormat="0" applyFill="0" applyAlignment="0" applyProtection="0"/>
    <xf numFmtId="0" fontId="14" fillId="0" borderId="1" applyNumberFormat="0" applyFill="0" applyAlignment="0" applyProtection="0"/>
    <xf numFmtId="41" fontId="27" fillId="0" borderId="0" applyFont="0" applyFill="0" applyBorder="0" applyAlignment="0" applyProtection="0"/>
    <xf numFmtId="43" fontId="27" fillId="0" borderId="0" applyFont="0" applyFill="0" applyBorder="0" applyAlignment="0" applyProtection="0"/>
    <xf numFmtId="0" fontId="115" fillId="7" borderId="6" applyNumberFormat="0" applyAlignment="0" applyProtection="0"/>
    <xf numFmtId="0" fontId="48" fillId="7" borderId="6" applyNumberFormat="0" applyAlignment="0" applyProtection="0"/>
    <xf numFmtId="164" fontId="2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177" fontId="14" fillId="0" borderId="0" applyFill="0" applyBorder="0" applyAlignment="0" applyProtection="0"/>
    <xf numFmtId="2" fontId="14" fillId="0" borderId="0" applyFill="0" applyBorder="0" applyAlignment="0" applyProtection="0"/>
    <xf numFmtId="0" fontId="116" fillId="0" borderId="0" applyNumberFormat="0" applyFill="0" applyBorder="0" applyAlignment="0" applyProtection="0"/>
    <xf numFmtId="0" fontId="53" fillId="0" borderId="0" applyNumberFormat="0" applyFill="0" applyBorder="0" applyAlignment="0" applyProtection="0"/>
    <xf numFmtId="0" fontId="33" fillId="0" borderId="0" applyNumberFormat="0" applyFill="0" applyBorder="0" applyAlignment="0" applyProtection="0"/>
    <xf numFmtId="0" fontId="52" fillId="0" borderId="0" applyNumberForma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0" fontId="117" fillId="0" borderId="0" applyNumberFormat="0" applyFill="0" applyBorder="0" applyAlignment="0" applyProtection="0"/>
    <xf numFmtId="9" fontId="39" fillId="0" borderId="0" applyFont="0" applyFill="0" applyBorder="0" applyAlignment="0" applyProtection="0"/>
    <xf numFmtId="0" fontId="2" fillId="0" borderId="0"/>
    <xf numFmtId="0" fontId="120" fillId="0" borderId="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0" fontId="13" fillId="0" borderId="0" applyProtection="0"/>
    <xf numFmtId="0" fontId="13" fillId="0" borderId="0" applyProtection="0"/>
    <xf numFmtId="14" fontId="14" fillId="0" borderId="0" applyFont="0" applyFill="0" applyBorder="0" applyAlignment="0" applyProtection="0"/>
    <xf numFmtId="2" fontId="13" fillId="0" borderId="0" applyProtection="0"/>
    <xf numFmtId="2" fontId="13" fillId="0" borderId="0" applyProtection="0"/>
    <xf numFmtId="0" fontId="15" fillId="0" borderId="0" applyProtection="0"/>
    <xf numFmtId="0" fontId="16" fillId="0" borderId="0" applyProtection="0"/>
    <xf numFmtId="3" fontId="14" fillId="0" borderId="0" applyFont="0" applyFill="0" applyBorder="0" applyAlignment="0" applyProtection="0"/>
    <xf numFmtId="0" fontId="15" fillId="0" borderId="0" applyNumberFormat="0" applyFont="0" applyFill="0" applyAlignment="0" applyProtection="0"/>
    <xf numFmtId="0" fontId="16" fillId="0" borderId="0" applyNumberFormat="0" applyFont="0" applyFill="0" applyAlignment="0" applyProtection="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120" fillId="0" borderId="0"/>
    <xf numFmtId="0" fontId="2" fillId="0" borderId="0"/>
    <xf numFmtId="0" fontId="14" fillId="0" borderId="0"/>
    <xf numFmtId="0" fontId="14" fillId="0" borderId="0"/>
    <xf numFmtId="0" fontId="2" fillId="0" borderId="0"/>
    <xf numFmtId="0" fontId="14" fillId="0" borderId="0"/>
    <xf numFmtId="0" fontId="2" fillId="0" borderId="0"/>
    <xf numFmtId="0" fontId="2" fillId="0" borderId="0"/>
    <xf numFmtId="0" fontId="14" fillId="0" borderId="0"/>
    <xf numFmtId="0" fontId="2" fillId="0" borderId="0"/>
    <xf numFmtId="0" fontId="14"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alignment vertical="top"/>
    </xf>
    <xf numFmtId="0" fontId="2" fillId="0" borderId="0"/>
    <xf numFmtId="0" fontId="14" fillId="0" borderId="0"/>
    <xf numFmtId="0" fontId="14" fillId="0" borderId="0"/>
    <xf numFmtId="0" fontId="2" fillId="0" borderId="0"/>
    <xf numFmtId="0" fontId="13" fillId="0" borderId="0">
      <alignment vertical="top"/>
    </xf>
    <xf numFmtId="0" fontId="2" fillId="0" borderId="0"/>
    <xf numFmtId="0" fontId="13" fillId="0" borderId="0">
      <alignment vertical="top"/>
    </xf>
    <xf numFmtId="0" fontId="2" fillId="0" borderId="0"/>
    <xf numFmtId="0" fontId="13"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0" fontId="2" fillId="9" borderId="9"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0" fontId="13" fillId="0" borderId="0" applyProtection="0"/>
    <xf numFmtId="10" fontId="13" fillId="0" borderId="0" applyProtection="0"/>
    <xf numFmtId="9" fontId="14" fillId="0" borderId="0" applyFont="0" applyFill="0" applyBorder="0" applyAlignment="0" applyProtection="0"/>
    <xf numFmtId="10" fontId="13" fillId="0" borderId="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81" fontId="121" fillId="0" borderId="0"/>
    <xf numFmtId="0" fontId="14" fillId="0" borderId="35" applyNumberFormat="0" applyFont="0" applyBorder="0" applyAlignment="0" applyProtection="0"/>
    <xf numFmtId="0" fontId="13" fillId="0" borderId="36" applyProtection="0"/>
    <xf numFmtId="0" fontId="13" fillId="0" borderId="36" applyProtection="0"/>
    <xf numFmtId="0" fontId="13" fillId="0" borderId="36"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82"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77"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82"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177" fontId="14" fillId="0" borderId="0" applyFont="0" applyFill="0" applyBorder="0" applyAlignment="0" applyProtection="0"/>
    <xf numFmtId="2" fontId="14" fillId="0" borderId="0" applyFont="0" applyFill="0" applyBorder="0" applyAlignment="0" applyProtection="0"/>
    <xf numFmtId="171" fontId="14" fillId="42" borderId="0"/>
    <xf numFmtId="171" fontId="14" fillId="42" borderId="0"/>
    <xf numFmtId="0" fontId="122" fillId="0" borderId="0" applyNumberFormat="0" applyFill="0" applyBorder="0" applyAlignment="0" applyProtection="0"/>
    <xf numFmtId="0" fontId="120"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3"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5" fontId="14" fillId="0" borderId="0" applyFont="0" applyFill="0" applyBorder="0" applyAlignment="0" applyProtection="0"/>
    <xf numFmtId="0" fontId="57" fillId="7" borderId="5" applyNumberFormat="0" applyAlignment="0" applyProtection="0"/>
    <xf numFmtId="0" fontId="67" fillId="8" borderId="8" applyNumberFormat="0" applyAlignment="0" applyProtection="0"/>
    <xf numFmtId="0" fontId="75" fillId="0" borderId="7" applyNumberFormat="0" applyFill="0" applyAlignment="0" applyProtection="0"/>
    <xf numFmtId="0" fontId="76" fillId="4" borderId="0" applyNumberFormat="0" applyBorder="0" applyAlignment="0" applyProtection="0"/>
    <xf numFmtId="0" fontId="86" fillId="6" borderId="5" applyNumberFormat="0" applyAlignment="0" applyProtection="0"/>
    <xf numFmtId="0" fontId="89" fillId="0" borderId="2" applyNumberFormat="0" applyFill="0" applyAlignment="0" applyProtection="0"/>
    <xf numFmtId="0" fontId="90" fillId="0" borderId="3" applyNumberFormat="0" applyFill="0" applyAlignment="0" applyProtection="0"/>
    <xf numFmtId="0" fontId="91" fillId="0" borderId="4" applyNumberFormat="0" applyFill="0" applyAlignment="0" applyProtection="0"/>
    <xf numFmtId="0" fontId="91" fillId="0" borderId="0" applyNumberFormat="0" applyFill="0" applyBorder="0" applyAlignment="0" applyProtection="0"/>
    <xf numFmtId="0" fontId="38" fillId="3" borderId="0" applyNumberFormat="0" applyBorder="0" applyAlignment="0" applyProtection="0"/>
    <xf numFmtId="0" fontId="120" fillId="0" borderId="0"/>
    <xf numFmtId="0" fontId="120" fillId="9" borderId="9" applyNumberFormat="0" applyFont="0" applyAlignment="0" applyProtection="0"/>
    <xf numFmtId="0" fontId="96" fillId="5" borderId="0" applyNumberFormat="0" applyBorder="0" applyAlignment="0" applyProtection="0"/>
    <xf numFmtId="0" fontId="132" fillId="0" borderId="0" applyNumberFormat="0" applyFill="0" applyBorder="0" applyAlignment="0" applyProtection="0"/>
    <xf numFmtId="0" fontId="9" fillId="0" borderId="10" applyNumberFormat="0" applyFill="0" applyAlignment="0" applyProtection="0"/>
    <xf numFmtId="0" fontId="115" fillId="7" borderId="6" applyNumberFormat="0" applyAlignment="0" applyProtection="0"/>
    <xf numFmtId="0" fontId="116" fillId="0" borderId="0" applyNumberFormat="0" applyFill="0" applyBorder="0" applyAlignment="0" applyProtection="0"/>
    <xf numFmtId="0" fontId="33" fillId="0" borderId="0" applyNumberFormat="0" applyFill="0" applyBorder="0" applyAlignment="0" applyProtection="0"/>
    <xf numFmtId="0" fontId="133" fillId="0" borderId="0" applyNumberFormat="0" applyFill="0" applyBorder="0" applyAlignment="0" applyProtection="0"/>
    <xf numFmtId="0" fontId="89" fillId="0" borderId="2" applyNumberFormat="0" applyFill="0" applyAlignment="0" applyProtection="0"/>
    <xf numFmtId="0" fontId="90" fillId="0" borderId="3" applyNumberFormat="0" applyFill="0" applyAlignment="0" applyProtection="0"/>
    <xf numFmtId="0" fontId="91" fillId="0" borderId="4" applyNumberFormat="0" applyFill="0" applyAlignment="0" applyProtection="0"/>
    <xf numFmtId="0" fontId="91" fillId="0" borderId="0" applyNumberFormat="0" applyFill="0" applyBorder="0" applyAlignment="0" applyProtection="0"/>
    <xf numFmtId="0" fontId="76" fillId="4" borderId="0" applyNumberFormat="0" applyBorder="0" applyAlignment="0" applyProtection="0"/>
    <xf numFmtId="0" fontId="96" fillId="5" borderId="0" applyNumberFormat="0" applyBorder="0" applyAlignment="0" applyProtection="0"/>
    <xf numFmtId="0" fontId="86" fillId="6" borderId="5" applyNumberFormat="0" applyAlignment="0" applyProtection="0"/>
    <xf numFmtId="0" fontId="115" fillId="7" borderId="6" applyNumberFormat="0" applyAlignment="0" applyProtection="0"/>
    <xf numFmtId="0" fontId="57" fillId="7" borderId="5" applyNumberFormat="0" applyAlignment="0" applyProtection="0"/>
    <xf numFmtId="0" fontId="75" fillId="0" borderId="7" applyNumberFormat="0" applyFill="0" applyAlignment="0" applyProtection="0"/>
    <xf numFmtId="0" fontId="67" fillId="8" borderId="8" applyNumberFormat="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9" fillId="0" borderId="10" applyNumberFormat="0" applyFill="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39" fillId="0" borderId="0"/>
    <xf numFmtId="0" fontId="142" fillId="0" borderId="0"/>
    <xf numFmtId="43" fontId="2" fillId="0" borderId="0" applyFont="0" applyFill="0" applyBorder="0" applyAlignment="0" applyProtection="0"/>
    <xf numFmtId="184" fontId="2" fillId="0" borderId="0"/>
    <xf numFmtId="0" fontId="143" fillId="0" borderId="0"/>
    <xf numFmtId="0" fontId="143" fillId="0" borderId="0"/>
    <xf numFmtId="43" fontId="2" fillId="0" borderId="0" applyFont="0" applyFill="0" applyBorder="0" applyAlignment="0" applyProtection="0"/>
    <xf numFmtId="184" fontId="2" fillId="0" borderId="0"/>
    <xf numFmtId="0" fontId="143" fillId="0" borderId="0"/>
    <xf numFmtId="43" fontId="2" fillId="0" borderId="0" applyFont="0" applyFill="0" applyBorder="0" applyAlignment="0" applyProtection="0"/>
    <xf numFmtId="184" fontId="2" fillId="0" borderId="0"/>
    <xf numFmtId="43" fontId="14" fillId="0" borderId="0" applyFont="0" applyFill="0" applyBorder="0" applyAlignment="0" applyProtection="0"/>
    <xf numFmtId="0" fontId="143" fillId="0" borderId="0"/>
    <xf numFmtId="0" fontId="143" fillId="0" borderId="0"/>
    <xf numFmtId="43" fontId="2" fillId="0" borderId="0" applyFont="0" applyFill="0" applyBorder="0" applyAlignment="0" applyProtection="0"/>
    <xf numFmtId="184" fontId="2" fillId="0" borderId="0"/>
    <xf numFmtId="184" fontId="2" fillId="0" borderId="0"/>
    <xf numFmtId="0" fontId="143" fillId="0" borderId="0"/>
    <xf numFmtId="184" fontId="2" fillId="0" borderId="0"/>
  </cellStyleXfs>
  <cellXfs count="374">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166" fontId="7" fillId="0" borderId="0" xfId="0" applyNumberFormat="1" applyFont="1"/>
    <xf numFmtId="166" fontId="6" fillId="0" borderId="0" xfId="0" applyNumberFormat="1" applyFont="1"/>
    <xf numFmtId="0" fontId="7" fillId="0" borderId="0" xfId="0" applyFont="1" applyAlignment="1">
      <alignment horizontal="left"/>
    </xf>
    <xf numFmtId="1" fontId="7" fillId="0" borderId="0" xfId="0" applyNumberFormat="1" applyFont="1" applyAlignment="1">
      <alignment horizontal="right"/>
    </xf>
    <xf numFmtId="167" fontId="6" fillId="0" borderId="0" xfId="0" applyNumberFormat="1" applyFont="1"/>
    <xf numFmtId="0" fontId="7" fillId="0" borderId="0" xfId="0" applyFont="1" applyAlignment="1">
      <alignment horizontal="right"/>
    </xf>
    <xf numFmtId="0" fontId="4" fillId="2" borderId="0" xfId="0" applyFont="1" applyFill="1"/>
    <xf numFmtId="0" fontId="6" fillId="2" borderId="0" xfId="0" applyFont="1" applyFill="1"/>
    <xf numFmtId="0" fontId="5" fillId="2" borderId="0" xfId="0" applyFont="1" applyFill="1"/>
    <xf numFmtId="0" fontId="7" fillId="2" borderId="0" xfId="0" applyFont="1" applyFill="1"/>
    <xf numFmtId="0" fontId="8" fillId="0" borderId="0" xfId="0" applyFont="1"/>
    <xf numFmtId="0" fontId="10" fillId="0" borderId="0" xfId="0" applyFont="1"/>
    <xf numFmtId="0" fontId="4" fillId="0" borderId="0" xfId="1" applyFont="1"/>
    <xf numFmtId="0" fontId="4" fillId="0" borderId="0" xfId="1" applyFont="1" applyAlignment="1">
      <alignment horizontal="right"/>
    </xf>
    <xf numFmtId="0" fontId="4" fillId="0" borderId="0" xfId="1" applyFont="1" applyAlignment="1">
      <alignment horizontal="left"/>
    </xf>
    <xf numFmtId="0" fontId="12" fillId="0" borderId="0" xfId="1" applyFont="1" applyAlignment="1">
      <alignment horizontal="left"/>
    </xf>
    <xf numFmtId="0" fontId="6" fillId="2" borderId="0" xfId="1" applyFont="1" applyFill="1"/>
    <xf numFmtId="166" fontId="6" fillId="2" borderId="0" xfId="1" applyNumberFormat="1" applyFont="1" applyFill="1"/>
    <xf numFmtId="0" fontId="6" fillId="2" borderId="0" xfId="1" applyFont="1" applyFill="1" applyAlignment="1">
      <alignment horizontal="right"/>
    </xf>
    <xf numFmtId="0" fontId="6" fillId="2" borderId="0" xfId="1" applyFont="1" applyFill="1" applyAlignment="1">
      <alignment horizontal="left"/>
    </xf>
    <xf numFmtId="0" fontId="5" fillId="2" borderId="0" xfId="1" applyFont="1" applyFill="1"/>
    <xf numFmtId="0" fontId="10" fillId="2" borderId="0" xfId="1" applyFont="1" applyFill="1" applyAlignment="1">
      <alignment horizontal="left"/>
    </xf>
    <xf numFmtId="0" fontId="10" fillId="2" borderId="0" xfId="1" applyFont="1" applyFill="1"/>
    <xf numFmtId="167" fontId="10" fillId="2" borderId="0" xfId="0" applyNumberFormat="1" applyFont="1" applyFill="1"/>
    <xf numFmtId="0" fontId="6" fillId="0" borderId="0" xfId="1" applyFont="1"/>
    <xf numFmtId="0" fontId="18" fillId="0" borderId="0" xfId="0" applyFont="1"/>
    <xf numFmtId="0" fontId="9" fillId="0" borderId="0" xfId="0" applyFont="1"/>
    <xf numFmtId="0" fontId="10" fillId="2" borderId="0" xfId="0" applyFont="1" applyFill="1"/>
    <xf numFmtId="166" fontId="10" fillId="2" borderId="0" xfId="0" applyNumberFormat="1" applyFont="1" applyFill="1"/>
    <xf numFmtId="169" fontId="7" fillId="0" borderId="0" xfId="0" applyNumberFormat="1" applyFont="1"/>
    <xf numFmtId="169" fontId="4" fillId="0" borderId="0" xfId="0" applyNumberFormat="1" applyFont="1"/>
    <xf numFmtId="0" fontId="18" fillId="0" borderId="0" xfId="0" applyFont="1" applyAlignment="1">
      <alignment horizontal="left"/>
    </xf>
    <xf numFmtId="0" fontId="9" fillId="0" borderId="0" xfId="0" applyFont="1" applyAlignment="1">
      <alignment horizontal="left" vertical="center" wrapText="1"/>
    </xf>
    <xf numFmtId="0" fontId="5" fillId="0" borderId="0" xfId="0" applyFont="1" applyAlignment="1">
      <alignment horizontal="left"/>
    </xf>
    <xf numFmtId="9" fontId="5" fillId="0" borderId="0" xfId="0" applyNumberFormat="1" applyFont="1"/>
    <xf numFmtId="49" fontId="5" fillId="0" borderId="0" xfId="0" applyNumberFormat="1" applyFont="1" applyAlignment="1">
      <alignment vertical="top" wrapText="1"/>
    </xf>
    <xf numFmtId="9" fontId="5" fillId="0" borderId="0" xfId="0" applyNumberFormat="1" applyFont="1" applyAlignment="1">
      <alignment vertical="top" wrapText="1"/>
    </xf>
    <xf numFmtId="0" fontId="9" fillId="0" borderId="0" xfId="0" applyFont="1" applyAlignment="1">
      <alignment vertical="center"/>
    </xf>
    <xf numFmtId="0" fontId="19" fillId="0" borderId="0" xfId="0" quotePrefix="1" applyFont="1"/>
    <xf numFmtId="0" fontId="19" fillId="0" borderId="0" xfId="0" applyFont="1"/>
    <xf numFmtId="0" fontId="20" fillId="0" borderId="0" xfId="0" applyFont="1"/>
    <xf numFmtId="167" fontId="4" fillId="0" borderId="0" xfId="0" applyNumberFormat="1" applyFont="1"/>
    <xf numFmtId="167" fontId="6" fillId="2" borderId="0" xfId="0" applyNumberFormat="1" applyFont="1" applyFill="1"/>
    <xf numFmtId="167" fontId="4" fillId="2" borderId="0" xfId="0" applyNumberFormat="1" applyFont="1" applyFill="1"/>
    <xf numFmtId="167" fontId="7" fillId="0" borderId="0" xfId="0" applyNumberFormat="1" applyFont="1"/>
    <xf numFmtId="167" fontId="6" fillId="2" borderId="0" xfId="1" applyNumberFormat="1" applyFont="1" applyFill="1"/>
    <xf numFmtId="167" fontId="5" fillId="2" borderId="0" xfId="1" applyNumberFormat="1" applyFont="1" applyFill="1"/>
    <xf numFmtId="166" fontId="4" fillId="0" borderId="0" xfId="0" applyNumberFormat="1" applyFont="1"/>
    <xf numFmtId="0" fontId="4" fillId="0" borderId="0" xfId="0" applyFont="1" applyAlignment="1">
      <alignment horizontal="right"/>
    </xf>
    <xf numFmtId="0" fontId="6" fillId="0" borderId="0" xfId="0" applyFont="1" applyAlignment="1">
      <alignment horizontal="right"/>
    </xf>
    <xf numFmtId="0" fontId="6" fillId="0" borderId="0" xfId="0" applyFont="1" applyAlignment="1">
      <alignment horizontal="left" vertical="top"/>
    </xf>
    <xf numFmtId="0" fontId="5" fillId="0" borderId="0" xfId="0" quotePrefix="1" applyFont="1"/>
    <xf numFmtId="0" fontId="6" fillId="0" borderId="0" xfId="0" applyFont="1" applyAlignment="1">
      <alignment horizontal="left"/>
    </xf>
    <xf numFmtId="0" fontId="5" fillId="0" borderId="0" xfId="0" applyFont="1" applyAlignment="1">
      <alignment vertical="top" wrapText="1"/>
    </xf>
    <xf numFmtId="0" fontId="18" fillId="0" borderId="0" xfId="0" applyFont="1" applyAlignment="1">
      <alignment wrapText="1"/>
    </xf>
    <xf numFmtId="169" fontId="9" fillId="0" borderId="0" xfId="0" applyNumberFormat="1" applyFont="1" applyAlignment="1">
      <alignment horizontal="right" vertical="center" wrapText="1"/>
    </xf>
    <xf numFmtId="0" fontId="12" fillId="0" borderId="0" xfId="0" applyFont="1"/>
    <xf numFmtId="0" fontId="23" fillId="0" borderId="0" xfId="0" applyFont="1" applyAlignment="1">
      <alignment horizontal="left"/>
    </xf>
    <xf numFmtId="0" fontId="24" fillId="0" borderId="0" xfId="0" applyFont="1"/>
    <xf numFmtId="0" fontId="23" fillId="0" borderId="0" xfId="0" applyFont="1"/>
    <xf numFmtId="0" fontId="8" fillId="0" borderId="0" xfId="0" applyFont="1" applyAlignment="1">
      <alignment horizontal="left"/>
    </xf>
    <xf numFmtId="0" fontId="12" fillId="0" borderId="0" xfId="0" applyFont="1" applyAlignment="1">
      <alignment horizontal="left"/>
    </xf>
    <xf numFmtId="0" fontId="7" fillId="2" borderId="0" xfId="0" applyFont="1" applyFill="1" applyAlignment="1">
      <alignment horizontal="left"/>
    </xf>
    <xf numFmtId="0" fontId="10" fillId="2" borderId="0" xfId="0" applyFont="1" applyFill="1" applyAlignment="1">
      <alignment horizontal="left"/>
    </xf>
    <xf numFmtId="0" fontId="4" fillId="2" borderId="0" xfId="1" applyFont="1" applyFill="1" applyAlignment="1">
      <alignment horizontal="right"/>
    </xf>
    <xf numFmtId="0" fontId="4" fillId="2" borderId="0" xfId="1" applyFont="1" applyFill="1"/>
    <xf numFmtId="0" fontId="7" fillId="2" borderId="0" xfId="1" applyFont="1" applyFill="1"/>
    <xf numFmtId="0" fontId="7" fillId="0" borderId="0" xfId="1" applyFont="1"/>
    <xf numFmtId="0" fontId="3" fillId="0" borderId="0" xfId="0" applyFont="1"/>
    <xf numFmtId="0" fontId="22" fillId="2" borderId="0" xfId="0" applyFont="1" applyFill="1" applyAlignment="1">
      <alignment horizontal="left" vertical="center" wrapText="1"/>
    </xf>
    <xf numFmtId="0" fontId="4" fillId="0" borderId="0" xfId="0" applyFont="1" applyAlignment="1">
      <alignment horizontal="left"/>
    </xf>
    <xf numFmtId="0" fontId="5" fillId="0" borderId="0" xfId="0" applyFont="1" applyAlignment="1">
      <alignment wrapText="1"/>
    </xf>
    <xf numFmtId="166" fontId="7" fillId="0" borderId="0" xfId="1" applyNumberFormat="1" applyFont="1"/>
    <xf numFmtId="171" fontId="7" fillId="0" borderId="0" xfId="1" applyNumberFormat="1" applyFont="1"/>
    <xf numFmtId="0" fontId="7" fillId="0" borderId="0" xfId="1" applyFont="1" applyAlignment="1">
      <alignment horizontal="right"/>
    </xf>
    <xf numFmtId="0" fontId="33" fillId="0" borderId="0" xfId="0" applyFont="1"/>
    <xf numFmtId="0" fontId="21" fillId="0" borderId="0" xfId="1" applyFont="1" applyAlignment="1">
      <alignment horizontal="left"/>
    </xf>
    <xf numFmtId="0" fontId="21" fillId="0" borderId="0" xfId="1" applyFont="1"/>
    <xf numFmtId="0" fontId="21" fillId="0" borderId="0" xfId="1" applyFont="1" applyAlignment="1">
      <alignment horizontal="right"/>
    </xf>
    <xf numFmtId="167" fontId="21" fillId="0" borderId="0" xfId="1" applyNumberFormat="1" applyFont="1"/>
    <xf numFmtId="0" fontId="7" fillId="0" borderId="0" xfId="1" applyFont="1" applyAlignment="1">
      <alignment horizontal="left"/>
    </xf>
    <xf numFmtId="0" fontId="37" fillId="0" borderId="0" xfId="0" applyFont="1"/>
    <xf numFmtId="0" fontId="37" fillId="0" borderId="0" xfId="0" applyFont="1" applyAlignment="1">
      <alignment horizontal="right"/>
    </xf>
    <xf numFmtId="0" fontId="7" fillId="0" borderId="0" xfId="0" applyFont="1" applyAlignment="1">
      <alignment horizontal="left" vertical="center" wrapText="1"/>
    </xf>
    <xf numFmtId="167" fontId="7" fillId="0" borderId="0" xfId="0" applyNumberFormat="1" applyFont="1" applyAlignment="1">
      <alignment horizontal="right" wrapText="1"/>
    </xf>
    <xf numFmtId="0" fontId="7" fillId="0" borderId="0" xfId="12" applyFont="1"/>
    <xf numFmtId="0" fontId="7" fillId="0" borderId="0" xfId="1" quotePrefix="1" applyFont="1" applyAlignment="1">
      <alignment horizontal="left"/>
    </xf>
    <xf numFmtId="1" fontId="7" fillId="0" borderId="0" xfId="1" applyNumberFormat="1" applyFont="1"/>
    <xf numFmtId="0" fontId="40" fillId="0" borderId="0" xfId="0" applyFont="1" applyAlignment="1">
      <alignment horizontal="left"/>
    </xf>
    <xf numFmtId="0" fontId="40" fillId="0" borderId="0" xfId="0" applyFont="1"/>
    <xf numFmtId="171" fontId="5" fillId="0" borderId="0" xfId="0" applyNumberFormat="1" applyFont="1"/>
    <xf numFmtId="0" fontId="11" fillId="0" borderId="0" xfId="1"/>
    <xf numFmtId="0" fontId="9" fillId="0" borderId="0" xfId="0" applyFont="1" applyAlignment="1">
      <alignment horizontal="left"/>
    </xf>
    <xf numFmtId="0" fontId="119" fillId="0" borderId="0" xfId="0" applyFont="1"/>
    <xf numFmtId="0" fontId="2" fillId="0" borderId="0" xfId="0" applyFont="1"/>
    <xf numFmtId="167" fontId="34" fillId="0" borderId="0" xfId="0" applyNumberFormat="1" applyFont="1"/>
    <xf numFmtId="167" fontId="0" fillId="0" borderId="0" xfId="0" applyNumberFormat="1"/>
    <xf numFmtId="0" fontId="5" fillId="0" borderId="0" xfId="0" quotePrefix="1" applyFont="1" applyAlignment="1">
      <alignment horizontal="left" vertical="center" wrapText="1"/>
    </xf>
    <xf numFmtId="166" fontId="5" fillId="0" borderId="0" xfId="0" applyNumberFormat="1" applyFont="1" applyAlignment="1">
      <alignment horizontal="right" vertical="center" wrapText="1"/>
    </xf>
    <xf numFmtId="180" fontId="9" fillId="0" borderId="0" xfId="31" applyNumberFormat="1" applyFont="1" applyFill="1" applyBorder="1" applyAlignment="1">
      <alignment horizontal="right" vertical="center" wrapText="1"/>
    </xf>
    <xf numFmtId="9" fontId="7" fillId="0" borderId="0" xfId="449" applyFont="1"/>
    <xf numFmtId="2" fontId="7" fillId="0" borderId="0" xfId="0" applyNumberFormat="1" applyFont="1"/>
    <xf numFmtId="0" fontId="2" fillId="0" borderId="0" xfId="0" applyFont="1" applyAlignment="1">
      <alignment wrapText="1"/>
    </xf>
    <xf numFmtId="9" fontId="7" fillId="0" borderId="0" xfId="0" applyNumberFormat="1" applyFont="1"/>
    <xf numFmtId="0" fontId="6" fillId="0" borderId="0" xfId="0" applyFont="1" applyAlignment="1">
      <alignment horizontal="center"/>
    </xf>
    <xf numFmtId="0" fontId="22" fillId="0" borderId="0" xfId="0" applyFont="1" applyAlignment="1">
      <alignment horizontal="left" vertical="center" wrapText="1"/>
    </xf>
    <xf numFmtId="0" fontId="22" fillId="0" borderId="0" xfId="0" applyFont="1"/>
    <xf numFmtId="0" fontId="14" fillId="0" borderId="0" xfId="0" applyFont="1"/>
    <xf numFmtId="167" fontId="126" fillId="0" borderId="0" xfId="1" applyNumberFormat="1" applyFont="1"/>
    <xf numFmtId="167" fontId="21" fillId="0" borderId="0" xfId="1" applyNumberFormat="1" applyFont="1" applyAlignment="1">
      <alignment horizontal="right"/>
    </xf>
    <xf numFmtId="0" fontId="5" fillId="0" borderId="0" xfId="0" applyFont="1" applyAlignment="1">
      <alignment horizontal="right"/>
    </xf>
    <xf numFmtId="166" fontId="7" fillId="0" borderId="0" xfId="1" applyNumberFormat="1" applyFont="1" applyAlignment="1">
      <alignment horizontal="right"/>
    </xf>
    <xf numFmtId="167" fontId="7" fillId="0" borderId="0" xfId="0" applyNumberFormat="1" applyFont="1" applyAlignment="1">
      <alignment horizontal="right"/>
    </xf>
    <xf numFmtId="0" fontId="126" fillId="0" borderId="0" xfId="1" applyFont="1" applyAlignment="1">
      <alignment horizontal="left"/>
    </xf>
    <xf numFmtId="0" fontId="126" fillId="0" borderId="0" xfId="1" applyFont="1"/>
    <xf numFmtId="0" fontId="126" fillId="0" borderId="0" xfId="1" applyFont="1" applyAlignment="1">
      <alignment horizontal="right"/>
    </xf>
    <xf numFmtId="0" fontId="37" fillId="0" borderId="0" xfId="1" applyFont="1"/>
    <xf numFmtId="0" fontId="127" fillId="0" borderId="0" xfId="0" applyFont="1"/>
    <xf numFmtId="43" fontId="8" fillId="0" borderId="0" xfId="31" applyFont="1"/>
    <xf numFmtId="0" fontId="7" fillId="0" borderId="0" xfId="1" applyFont="1" applyAlignment="1">
      <alignment wrapText="1"/>
    </xf>
    <xf numFmtId="1" fontId="7" fillId="0" borderId="0" xfId="0" applyNumberFormat="1" applyFont="1"/>
    <xf numFmtId="171" fontId="7" fillId="0" borderId="0" xfId="0" applyNumberFormat="1" applyFont="1"/>
    <xf numFmtId="167" fontId="7" fillId="0" borderId="0" xfId="12" applyNumberFormat="1" applyFont="1" applyAlignment="1">
      <alignment horizontal="right" wrapText="1"/>
    </xf>
    <xf numFmtId="166" fontId="5" fillId="0" borderId="0" xfId="0" applyNumberFormat="1" applyFont="1"/>
    <xf numFmtId="0" fontId="2" fillId="0" borderId="0" xfId="0" applyFont="1" applyAlignment="1">
      <alignment horizontal="left" vertical="center" wrapText="1"/>
    </xf>
    <xf numFmtId="180" fontId="5" fillId="0" borderId="0" xfId="31" applyNumberFormat="1" applyFont="1" applyFill="1" applyBorder="1" applyAlignment="1">
      <alignment horizontal="right" vertical="center" wrapText="1"/>
    </xf>
    <xf numFmtId="166" fontId="4" fillId="2" borderId="0" xfId="0" applyNumberFormat="1" applyFont="1" applyFill="1"/>
    <xf numFmtId="166" fontId="5" fillId="2" borderId="0" xfId="0" applyNumberFormat="1" applyFont="1" applyFill="1"/>
    <xf numFmtId="9" fontId="4" fillId="0" borderId="0" xfId="449" applyFont="1"/>
    <xf numFmtId="0" fontId="0" fillId="0" borderId="0" xfId="0" pivotButton="1"/>
    <xf numFmtId="0" fontId="0" fillId="0" borderId="0" xfId="0" applyAlignment="1">
      <alignment horizontal="left"/>
    </xf>
    <xf numFmtId="0" fontId="9" fillId="2" borderId="20" xfId="0" applyFont="1" applyFill="1" applyBorder="1" applyAlignment="1">
      <alignment vertical="center" wrapText="1"/>
    </xf>
    <xf numFmtId="0" fontId="2" fillId="0" borderId="20" xfId="0" applyFont="1" applyBorder="1" applyAlignment="1">
      <alignment horizontal="left"/>
    </xf>
    <xf numFmtId="169" fontId="2" fillId="0" borderId="20" xfId="0" applyNumberFormat="1" applyFont="1" applyBorder="1"/>
    <xf numFmtId="0" fontId="130" fillId="0" borderId="0" xfId="0" applyFont="1"/>
    <xf numFmtId="169" fontId="9" fillId="0" borderId="0" xfId="0" applyNumberFormat="1" applyFont="1"/>
    <xf numFmtId="169" fontId="2" fillId="0" borderId="0" xfId="0" applyNumberFormat="1" applyFont="1"/>
    <xf numFmtId="166" fontId="125" fillId="0" borderId="0" xfId="0" applyNumberFormat="1" applyFont="1" applyAlignment="1">
      <alignment horizontal="right" vertical="center" wrapText="1"/>
    </xf>
    <xf numFmtId="0" fontId="125" fillId="0" borderId="0" xfId="0" applyFont="1"/>
    <xf numFmtId="0" fontId="123" fillId="0" borderId="0" xfId="0" applyFont="1"/>
    <xf numFmtId="0" fontId="22" fillId="2" borderId="0" xfId="0" applyFont="1" applyFill="1" applyAlignment="1">
      <alignment horizontal="right" vertical="center" wrapText="1"/>
    </xf>
    <xf numFmtId="0" fontId="9" fillId="2" borderId="0" xfId="0" applyFont="1" applyFill="1" applyAlignment="1">
      <alignment horizontal="right" vertical="top" wrapText="1"/>
    </xf>
    <xf numFmtId="166" fontId="37" fillId="0" borderId="0" xfId="1" applyNumberFormat="1" applyFont="1"/>
    <xf numFmtId="171" fontId="37" fillId="0" borderId="0" xfId="1" applyNumberFormat="1" applyFont="1"/>
    <xf numFmtId="0" fontId="34" fillId="0" borderId="0" xfId="0" applyFont="1"/>
    <xf numFmtId="167" fontId="37" fillId="0" borderId="0" xfId="0" applyNumberFormat="1" applyFont="1"/>
    <xf numFmtId="1" fontId="126" fillId="0" borderId="0" xfId="1" applyNumberFormat="1" applyFont="1"/>
    <xf numFmtId="167" fontId="126" fillId="0" borderId="0" xfId="3" applyNumberFormat="1" applyFont="1"/>
    <xf numFmtId="0" fontId="131" fillId="0" borderId="0" xfId="0" quotePrefix="1" applyFont="1"/>
    <xf numFmtId="0" fontId="124" fillId="0" borderId="0" xfId="0" quotePrefix="1" applyFont="1"/>
    <xf numFmtId="0" fontId="2" fillId="0" borderId="0" xfId="0" applyFont="1" applyAlignment="1">
      <alignment horizontal="left"/>
    </xf>
    <xf numFmtId="0" fontId="32" fillId="0" borderId="0" xfId="27" applyFill="1" applyAlignment="1">
      <alignment horizontal="left"/>
    </xf>
    <xf numFmtId="0" fontId="32" fillId="0" borderId="0" xfId="27" applyFill="1"/>
    <xf numFmtId="167" fontId="5" fillId="0" borderId="0" xfId="0" applyNumberFormat="1" applyFont="1"/>
    <xf numFmtId="0" fontId="7" fillId="0" borderId="0" xfId="449" applyNumberFormat="1" applyFont="1" applyFill="1" applyBorder="1"/>
    <xf numFmtId="0" fontId="126" fillId="0" borderId="0" xfId="1" applyFont="1" applyAlignment="1">
      <alignment wrapText="1"/>
    </xf>
    <xf numFmtId="167" fontId="21" fillId="0" borderId="0" xfId="17" applyNumberFormat="1" applyFont="1"/>
    <xf numFmtId="167" fontId="21" fillId="0" borderId="0" xfId="3" applyNumberFormat="1" applyFont="1"/>
    <xf numFmtId="0" fontId="128" fillId="0" borderId="0" xfId="1" applyFont="1" applyAlignment="1">
      <alignment horizontal="left"/>
    </xf>
    <xf numFmtId="0" fontId="128" fillId="0" borderId="0" xfId="1" applyFont="1"/>
    <xf numFmtId="167" fontId="128" fillId="0" borderId="0" xfId="1" applyNumberFormat="1" applyFont="1"/>
    <xf numFmtId="0" fontId="34" fillId="0" borderId="0" xfId="1" applyFont="1"/>
    <xf numFmtId="167" fontId="128" fillId="0" borderId="0" xfId="3" applyNumberFormat="1" applyFont="1"/>
    <xf numFmtId="0" fontId="34" fillId="0" borderId="0" xfId="0" applyFont="1" applyAlignment="1">
      <alignment horizontal="left"/>
    </xf>
    <xf numFmtId="0" fontId="34" fillId="0" borderId="0" xfId="0" applyFont="1" applyAlignment="1">
      <alignment horizontal="left" vertical="center" wrapText="1"/>
    </xf>
    <xf numFmtId="167" fontId="34" fillId="0" borderId="0" xfId="0" applyNumberFormat="1" applyFont="1" applyAlignment="1">
      <alignment horizontal="right" wrapText="1"/>
    </xf>
    <xf numFmtId="0" fontId="34" fillId="0" borderId="0" xfId="0" applyFont="1" applyAlignment="1">
      <alignment horizontal="right"/>
    </xf>
    <xf numFmtId="0" fontId="34" fillId="0" borderId="0" xfId="1" applyFont="1" applyAlignment="1">
      <alignment horizontal="left"/>
    </xf>
    <xf numFmtId="166" fontId="34" fillId="0" borderId="0" xfId="1" applyNumberFormat="1" applyFont="1"/>
    <xf numFmtId="171" fontId="34" fillId="0" borderId="0" xfId="1" applyNumberFormat="1" applyFont="1"/>
    <xf numFmtId="166" fontId="11" fillId="0" borderId="0" xfId="1" applyNumberFormat="1"/>
    <xf numFmtId="0" fontId="37" fillId="0" borderId="0" xfId="1" applyFont="1" applyAlignment="1">
      <alignment horizontal="left"/>
    </xf>
    <xf numFmtId="0" fontId="6" fillId="0" borderId="0" xfId="1" applyFont="1" applyAlignment="1">
      <alignment wrapText="1"/>
    </xf>
    <xf numFmtId="166" fontId="8" fillId="0" borderId="0" xfId="15" applyNumberFormat="1" applyFont="1"/>
    <xf numFmtId="167" fontId="8" fillId="0" borderId="0" xfId="0" applyNumberFormat="1" applyFont="1"/>
    <xf numFmtId="0" fontId="136" fillId="0" borderId="0" xfId="0" applyFont="1" applyAlignment="1">
      <alignment vertical="center"/>
    </xf>
    <xf numFmtId="171" fontId="137" fillId="0" borderId="0" xfId="0" applyNumberFormat="1" applyFont="1" applyAlignment="1">
      <alignment horizontal="right" vertical="center"/>
    </xf>
    <xf numFmtId="178" fontId="8" fillId="0" borderId="0" xfId="31" applyNumberFormat="1" applyFont="1" applyFill="1" applyBorder="1"/>
    <xf numFmtId="171" fontId="8" fillId="0" borderId="0" xfId="0" applyNumberFormat="1" applyFont="1"/>
    <xf numFmtId="0" fontId="8" fillId="0" borderId="0" xfId="0" applyFont="1" applyAlignment="1">
      <alignment horizontal="right"/>
    </xf>
    <xf numFmtId="169" fontId="19" fillId="0" borderId="0" xfId="0" applyNumberFormat="1" applyFont="1"/>
    <xf numFmtId="169" fontId="20" fillId="0" borderId="0" xfId="0" applyNumberFormat="1" applyFont="1"/>
    <xf numFmtId="169" fontId="24" fillId="0" borderId="0" xfId="0" applyNumberFormat="1" applyFont="1"/>
    <xf numFmtId="0" fontId="34" fillId="2" borderId="0" xfId="0" applyFont="1" applyFill="1"/>
    <xf numFmtId="0" fontId="6" fillId="2" borderId="0" xfId="0" applyFont="1" applyFill="1" applyAlignment="1">
      <alignment horizontal="left"/>
    </xf>
    <xf numFmtId="0" fontId="4" fillId="2" borderId="0" xfId="1" applyFont="1" applyFill="1" applyAlignment="1">
      <alignment horizontal="left"/>
    </xf>
    <xf numFmtId="166" fontId="6" fillId="2" borderId="0" xfId="0" applyNumberFormat="1" applyFont="1" applyFill="1"/>
    <xf numFmtId="166" fontId="7" fillId="2" borderId="0" xfId="0" applyNumberFormat="1" applyFont="1" applyFill="1"/>
    <xf numFmtId="0" fontId="128" fillId="0" borderId="0" xfId="1" applyFont="1" applyAlignment="1">
      <alignment horizontal="right"/>
    </xf>
    <xf numFmtId="1" fontId="34" fillId="0" borderId="0" xfId="0" applyNumberFormat="1" applyFont="1" applyAlignment="1">
      <alignment horizontal="left"/>
    </xf>
    <xf numFmtId="0" fontId="37" fillId="0" borderId="0" xfId="1" applyFont="1" applyAlignment="1">
      <alignment horizontal="right"/>
    </xf>
    <xf numFmtId="1" fontId="37" fillId="0" borderId="0" xfId="0" applyNumberFormat="1" applyFont="1" applyAlignment="1">
      <alignment horizontal="right"/>
    </xf>
    <xf numFmtId="0" fontId="37" fillId="0" borderId="0" xfId="0" applyFont="1" applyAlignment="1">
      <alignment horizontal="left"/>
    </xf>
    <xf numFmtId="167" fontId="37" fillId="0" borderId="0" xfId="0" applyNumberFormat="1" applyFont="1" applyAlignment="1">
      <alignment horizontal="right" wrapText="1"/>
    </xf>
    <xf numFmtId="0" fontId="34" fillId="0" borderId="0" xfId="1" applyFont="1" applyAlignment="1">
      <alignment horizontal="right"/>
    </xf>
    <xf numFmtId="0" fontId="123" fillId="77" borderId="37" xfId="0" applyFont="1" applyFill="1" applyBorder="1"/>
    <xf numFmtId="0" fontId="138" fillId="0" borderId="0" xfId="0" applyFont="1"/>
    <xf numFmtId="0" fontId="123" fillId="0" borderId="0" xfId="0" applyFont="1" applyAlignment="1">
      <alignment horizontal="left"/>
    </xf>
    <xf numFmtId="11" fontId="0" fillId="0" borderId="0" xfId="0" applyNumberFormat="1"/>
    <xf numFmtId="0" fontId="137" fillId="0" borderId="0" xfId="0" applyFont="1" applyAlignment="1">
      <alignment vertical="center"/>
    </xf>
    <xf numFmtId="171" fontId="120" fillId="0" borderId="0" xfId="1270" applyNumberFormat="1"/>
    <xf numFmtId="2" fontId="5" fillId="0" borderId="0" xfId="0" applyNumberFormat="1" applyFont="1"/>
    <xf numFmtId="9" fontId="8" fillId="0" borderId="0" xfId="449" applyFont="1" applyFill="1"/>
    <xf numFmtId="169" fontId="8" fillId="0" borderId="0" xfId="0" applyNumberFormat="1" applyFont="1"/>
    <xf numFmtId="0" fontId="5" fillId="78" borderId="0" xfId="0" applyFont="1" applyFill="1"/>
    <xf numFmtId="0" fontId="7" fillId="78" borderId="0" xfId="0" applyFont="1" applyFill="1"/>
    <xf numFmtId="166" fontId="7" fillId="78" borderId="0" xfId="0" applyNumberFormat="1" applyFont="1" applyFill="1"/>
    <xf numFmtId="0" fontId="7" fillId="79" borderId="0" xfId="0" applyFont="1" applyFill="1"/>
    <xf numFmtId="183" fontId="22" fillId="0" borderId="0" xfId="0" applyNumberFormat="1" applyFont="1"/>
    <xf numFmtId="0" fontId="129" fillId="0" borderId="0" xfId="0" applyFont="1"/>
    <xf numFmtId="0" fontId="22" fillId="0" borderId="0" xfId="0" applyFont="1" applyAlignment="1">
      <alignment vertical="center" wrapText="1"/>
    </xf>
    <xf numFmtId="179" fontId="22" fillId="0" borderId="0" xfId="0" applyNumberFormat="1" applyFont="1"/>
    <xf numFmtId="0" fontId="25" fillId="0" borderId="0" xfId="0" applyFont="1"/>
    <xf numFmtId="169" fontId="25" fillId="0" borderId="0" xfId="0" applyNumberFormat="1" applyFont="1"/>
    <xf numFmtId="171" fontId="8" fillId="0" borderId="0" xfId="0" quotePrefix="1" applyNumberFormat="1" applyFont="1" applyAlignment="1">
      <alignment horizontal="right"/>
    </xf>
    <xf numFmtId="171" fontId="25" fillId="0" borderId="0" xfId="0" applyNumberFormat="1" applyFont="1"/>
    <xf numFmtId="2" fontId="9" fillId="0" borderId="0" xfId="0" applyNumberFormat="1" applyFont="1" applyAlignment="1">
      <alignment horizontal="right" vertical="center" wrapText="1"/>
    </xf>
    <xf numFmtId="2" fontId="9" fillId="0" borderId="0" xfId="0" applyNumberFormat="1" applyFont="1" applyAlignment="1">
      <alignment horizontal="right"/>
    </xf>
    <xf numFmtId="2" fontId="2" fillId="0" borderId="0" xfId="0" applyNumberFormat="1" applyFont="1" applyAlignment="1">
      <alignment horizontal="right"/>
    </xf>
    <xf numFmtId="10" fontId="22" fillId="0" borderId="0" xfId="0" applyNumberFormat="1" applyFont="1"/>
    <xf numFmtId="166" fontId="7" fillId="79" borderId="0" xfId="0" applyNumberFormat="1" applyFont="1" applyFill="1"/>
    <xf numFmtId="0" fontId="131" fillId="0" borderId="0" xfId="0" applyFont="1"/>
    <xf numFmtId="166" fontId="131" fillId="0" borderId="0" xfId="0" applyNumberFormat="1" applyFont="1"/>
    <xf numFmtId="166" fontId="7" fillId="0" borderId="0" xfId="0" applyNumberFormat="1" applyFont="1" applyAlignment="1">
      <alignment horizontal="right"/>
    </xf>
    <xf numFmtId="0" fontId="7" fillId="0" borderId="0" xfId="12" applyFont="1" applyAlignment="1">
      <alignment horizontal="left"/>
    </xf>
    <xf numFmtId="0" fontId="5" fillId="0" borderId="0" xfId="1" applyFont="1"/>
    <xf numFmtId="0" fontId="141" fillId="0" borderId="0" xfId="1" applyFont="1"/>
    <xf numFmtId="0" fontId="141" fillId="0" borderId="0" xfId="1" applyFont="1" applyAlignment="1">
      <alignment horizontal="right"/>
    </xf>
    <xf numFmtId="180" fontId="7" fillId="0" borderId="0" xfId="31" applyNumberFormat="1" applyFont="1"/>
    <xf numFmtId="180" fontId="5" fillId="0" borderId="0" xfId="31" applyNumberFormat="1" applyFont="1" applyFill="1" applyAlignment="1">
      <alignment horizontal="left"/>
    </xf>
    <xf numFmtId="1" fontId="6" fillId="0" borderId="0" xfId="0" applyNumberFormat="1" applyFont="1"/>
    <xf numFmtId="1" fontId="7" fillId="2" borderId="0" xfId="0" applyNumberFormat="1" applyFont="1" applyFill="1"/>
    <xf numFmtId="179" fontId="5" fillId="2" borderId="0" xfId="0" applyNumberFormat="1" applyFont="1" applyFill="1"/>
    <xf numFmtId="4" fontId="8" fillId="0" borderId="0" xfId="0" applyNumberFormat="1" applyFont="1"/>
    <xf numFmtId="0" fontId="2" fillId="0" borderId="0" xfId="0" quotePrefix="1" applyFont="1" applyAlignment="1">
      <alignment wrapText="1"/>
    </xf>
    <xf numFmtId="0" fontId="58" fillId="0" borderId="0" xfId="0" applyFont="1"/>
    <xf numFmtId="0" fontId="58" fillId="0" borderId="0" xfId="0" quotePrefix="1" applyFont="1"/>
    <xf numFmtId="9" fontId="7" fillId="0" borderId="0" xfId="449" applyFont="1" applyFill="1"/>
    <xf numFmtId="185" fontId="7" fillId="0" borderId="0" xfId="449" applyNumberFormat="1" applyFont="1" applyFill="1"/>
    <xf numFmtId="185" fontId="7" fillId="0" borderId="0" xfId="0" applyNumberFormat="1" applyFont="1"/>
    <xf numFmtId="4" fontId="7" fillId="0" borderId="0" xfId="0" applyNumberFormat="1" applyFont="1"/>
    <xf numFmtId="0" fontId="4" fillId="2" borderId="0" xfId="0" applyFont="1" applyFill="1" applyAlignment="1">
      <alignment horizontal="left"/>
    </xf>
    <xf numFmtId="49" fontId="7" fillId="0" borderId="0" xfId="0" applyNumberFormat="1" applyFont="1"/>
    <xf numFmtId="9" fontId="7" fillId="0" borderId="0" xfId="1" applyNumberFormat="1" applyFont="1"/>
    <xf numFmtId="0" fontId="140" fillId="0" borderId="0" xfId="0" applyFont="1" applyProtection="1">
      <protection locked="0"/>
    </xf>
    <xf numFmtId="0" fontId="7" fillId="80" borderId="0" xfId="12" applyFont="1" applyFill="1"/>
    <xf numFmtId="0" fontId="7" fillId="80" borderId="0" xfId="0" applyFont="1" applyFill="1"/>
    <xf numFmtId="166" fontId="7" fillId="80" borderId="0" xfId="0" applyNumberFormat="1" applyFont="1" applyFill="1"/>
    <xf numFmtId="167" fontId="8" fillId="80" borderId="0" xfId="0" applyNumberFormat="1" applyFont="1" applyFill="1"/>
    <xf numFmtId="0" fontId="7" fillId="80" borderId="0" xfId="0" applyFont="1" applyFill="1" applyAlignment="1">
      <alignment horizontal="left" vertical="center" wrapText="1"/>
    </xf>
    <xf numFmtId="167" fontId="7" fillId="80" borderId="0" xfId="0" applyNumberFormat="1" applyFont="1" applyFill="1" applyAlignment="1">
      <alignment horizontal="right" wrapText="1"/>
    </xf>
    <xf numFmtId="167" fontId="7" fillId="80" borderId="0" xfId="0" applyNumberFormat="1" applyFont="1" applyFill="1"/>
    <xf numFmtId="1" fontId="7" fillId="0" borderId="0" xfId="0" applyNumberFormat="1" applyFont="1" applyAlignment="1">
      <alignment horizontal="left"/>
    </xf>
    <xf numFmtId="0" fontId="2" fillId="81" borderId="0" xfId="0" applyFont="1" applyFill="1" applyAlignment="1">
      <alignment horizontal="left" vertical="center" wrapText="1"/>
    </xf>
    <xf numFmtId="0" fontId="5" fillId="81" borderId="0" xfId="0" applyFont="1" applyFill="1"/>
    <xf numFmtId="2" fontId="4" fillId="0" borderId="0" xfId="0" applyNumberFormat="1" applyFont="1"/>
    <xf numFmtId="2" fontId="6" fillId="0" borderId="0" xfId="0" applyNumberFormat="1" applyFont="1"/>
    <xf numFmtId="166" fontId="124" fillId="0" borderId="0" xfId="0" applyNumberFormat="1" applyFont="1"/>
    <xf numFmtId="10" fontId="7" fillId="0" borderId="0" xfId="0" applyNumberFormat="1" applyFont="1"/>
    <xf numFmtId="169" fontId="136" fillId="0" borderId="0" xfId="0" applyNumberFormat="1" applyFont="1" applyAlignment="1">
      <alignment horizontal="center" vertical="center"/>
    </xf>
    <xf numFmtId="0" fontId="2" fillId="0" borderId="0" xfId="0" applyFont="1" applyAlignment="1">
      <alignment horizontal="left" vertical="center"/>
    </xf>
    <xf numFmtId="3" fontId="2" fillId="0" borderId="0" xfId="0" applyNumberFormat="1" applyFont="1"/>
    <xf numFmtId="0" fontId="2" fillId="0" borderId="0" xfId="449" applyNumberFormat="1" applyFont="1" applyFill="1" applyBorder="1"/>
    <xf numFmtId="1" fontId="2" fillId="0" borderId="0" xfId="0" applyNumberFormat="1" applyFont="1"/>
    <xf numFmtId="185" fontId="2" fillId="0" borderId="0" xfId="0" applyNumberFormat="1" applyFont="1"/>
    <xf numFmtId="167" fontId="2" fillId="0" borderId="0" xfId="0" applyNumberFormat="1" applyFont="1"/>
    <xf numFmtId="179" fontId="2" fillId="0" borderId="0" xfId="0" applyNumberFormat="1" applyFont="1"/>
    <xf numFmtId="43" fontId="2" fillId="0" borderId="0" xfId="31" applyFont="1" applyFill="1"/>
    <xf numFmtId="43" fontId="2" fillId="0" borderId="0" xfId="31" applyFont="1"/>
    <xf numFmtId="0" fontId="7" fillId="0" borderId="0" xfId="449" applyNumberFormat="1" applyFont="1" applyFill="1" applyAlignment="1">
      <alignment horizontal="right"/>
    </xf>
    <xf numFmtId="166" fontId="7" fillId="0" borderId="0" xfId="12" applyNumberFormat="1" applyFont="1"/>
    <xf numFmtId="17" fontId="7" fillId="80" borderId="0" xfId="0" quotePrefix="1" applyNumberFormat="1" applyFont="1" applyFill="1"/>
    <xf numFmtId="0" fontId="7" fillId="80" borderId="0" xfId="0" quotePrefix="1" applyFont="1" applyFill="1" applyAlignment="1">
      <alignment horizontal="left"/>
    </xf>
    <xf numFmtId="0" fontId="7" fillId="80" borderId="0" xfId="0" quotePrefix="1" applyFont="1" applyFill="1"/>
    <xf numFmtId="166" fontId="140" fillId="0" borderId="0" xfId="0" applyNumberFormat="1" applyFont="1"/>
    <xf numFmtId="166" fontId="140" fillId="0" borderId="0" xfId="0" applyNumberFormat="1" applyFont="1" applyAlignment="1">
      <alignment horizontal="right"/>
    </xf>
    <xf numFmtId="16" fontId="7" fillId="0" borderId="0" xfId="12" applyNumberFormat="1" applyFont="1"/>
    <xf numFmtId="171" fontId="7" fillId="0" borderId="0" xfId="0" applyNumberFormat="1" applyFont="1" applyAlignment="1">
      <alignment horizontal="right"/>
    </xf>
    <xf numFmtId="186" fontId="21" fillId="0" borderId="0" xfId="1" applyNumberFormat="1" applyFont="1"/>
    <xf numFmtId="186" fontId="7" fillId="0" borderId="0" xfId="0" applyNumberFormat="1" applyFont="1"/>
    <xf numFmtId="167" fontId="6" fillId="0" borderId="0" xfId="31" applyNumberFormat="1" applyFont="1" applyFill="1"/>
    <xf numFmtId="186" fontId="10" fillId="2" borderId="0" xfId="0" applyNumberFormat="1" applyFont="1" applyFill="1"/>
    <xf numFmtId="171" fontId="144" fillId="0" borderId="0" xfId="0" applyNumberFormat="1" applyFont="1"/>
    <xf numFmtId="171" fontId="6" fillId="0" borderId="0" xfId="0" quotePrefix="1" applyNumberFormat="1" applyFont="1"/>
    <xf numFmtId="180" fontId="145" fillId="0" borderId="0" xfId="31" applyNumberFormat="1" applyFont="1" applyAlignment="1">
      <alignment horizontal="right" vertical="center" wrapText="1"/>
    </xf>
    <xf numFmtId="180" fontId="145" fillId="82" borderId="0" xfId="31" applyNumberFormat="1" applyFont="1" applyFill="1" applyAlignment="1">
      <alignment horizontal="right" vertical="center" wrapText="1"/>
    </xf>
    <xf numFmtId="185" fontId="146" fillId="0" borderId="0" xfId="449" applyNumberFormat="1" applyFont="1"/>
    <xf numFmtId="0" fontId="147" fillId="0" borderId="0" xfId="0" applyFont="1" applyAlignment="1">
      <alignment horizontal="right" wrapText="1"/>
    </xf>
    <xf numFmtId="171" fontId="146" fillId="0" borderId="0" xfId="0" applyNumberFormat="1" applyFont="1"/>
    <xf numFmtId="2" fontId="139" fillId="0" borderId="0" xfId="449" applyNumberFormat="1" applyFont="1" applyAlignment="1">
      <alignment vertical="center"/>
    </xf>
    <xf numFmtId="0" fontId="148" fillId="0" borderId="0" xfId="0" applyFont="1"/>
    <xf numFmtId="180" fontId="7" fillId="0" borderId="0" xfId="449" applyNumberFormat="1" applyFont="1"/>
    <xf numFmtId="179" fontId="9" fillId="0" borderId="0" xfId="0" applyNumberFormat="1" applyFont="1"/>
    <xf numFmtId="185" fontId="7" fillId="0" borderId="0" xfId="449" applyNumberFormat="1" applyFont="1"/>
    <xf numFmtId="0" fontId="148" fillId="2" borderId="20" xfId="0" applyFont="1" applyFill="1" applyBorder="1" applyAlignment="1">
      <alignment vertical="center" wrapText="1"/>
    </xf>
    <xf numFmtId="166" fontId="139" fillId="0" borderId="0" xfId="449" applyNumberFormat="1" applyFont="1" applyAlignment="1">
      <alignment vertical="center"/>
    </xf>
    <xf numFmtId="1" fontId="1" fillId="0" borderId="0" xfId="0" applyNumberFormat="1" applyFont="1"/>
    <xf numFmtId="169" fontId="1" fillId="0" borderId="20" xfId="0" applyNumberFormat="1" applyFont="1" applyBorder="1"/>
    <xf numFmtId="187" fontId="7" fillId="0" borderId="0" xfId="0" applyNumberFormat="1" applyFont="1"/>
    <xf numFmtId="169" fontId="2" fillId="0" borderId="0" xfId="0" applyNumberFormat="1" applyFont="1" applyFill="1"/>
    <xf numFmtId="171" fontId="33" fillId="0" borderId="0" xfId="583" applyNumberFormat="1" applyFont="1" applyFill="1"/>
    <xf numFmtId="0" fontId="130" fillId="0" borderId="0" xfId="0" applyFont="1" applyFill="1"/>
    <xf numFmtId="171" fontId="130" fillId="0" borderId="0" xfId="0" applyNumberFormat="1" applyFont="1" applyFill="1"/>
    <xf numFmtId="0" fontId="7" fillId="0" borderId="0" xfId="12" applyFont="1" applyFill="1" applyAlignment="1">
      <alignment horizontal="left"/>
    </xf>
    <xf numFmtId="1" fontId="21" fillId="0" borderId="0" xfId="1" applyNumberFormat="1" applyFont="1" applyFill="1"/>
    <xf numFmtId="0" fontId="21" fillId="0" borderId="0" xfId="1" applyFont="1" applyFill="1" applyAlignment="1">
      <alignment horizontal="right"/>
    </xf>
    <xf numFmtId="0" fontId="21" fillId="0" borderId="0" xfId="1" applyFont="1" applyFill="1"/>
    <xf numFmtId="166" fontId="7" fillId="0" borderId="0" xfId="0" applyNumberFormat="1" applyFont="1" applyFill="1"/>
    <xf numFmtId="0" fontId="7" fillId="0" borderId="0" xfId="0" applyFont="1" applyFill="1" applyAlignment="1">
      <alignment horizontal="right"/>
    </xf>
    <xf numFmtId="0" fontId="7" fillId="0" borderId="0" xfId="12" applyFont="1" applyFill="1"/>
    <xf numFmtId="167" fontId="7" fillId="0" borderId="0" xfId="12" applyNumberFormat="1" applyFont="1" applyFill="1" applyAlignment="1">
      <alignment horizontal="right" wrapText="1"/>
    </xf>
    <xf numFmtId="166" fontId="7" fillId="0" borderId="0" xfId="12" applyNumberFormat="1" applyFont="1" applyFill="1"/>
    <xf numFmtId="0" fontId="7" fillId="0" borderId="0" xfId="1" applyFont="1" applyFill="1"/>
    <xf numFmtId="2" fontId="7" fillId="0" borderId="0" xfId="0" applyNumberFormat="1" applyFont="1" applyFill="1" applyAlignment="1">
      <alignment horizontal="right"/>
    </xf>
    <xf numFmtId="0" fontId="4" fillId="0" borderId="0" xfId="0" applyFont="1" applyFill="1" applyAlignment="1">
      <alignment horizontal="right"/>
    </xf>
    <xf numFmtId="0" fontId="14" fillId="0" borderId="0" xfId="0" applyFont="1" applyFill="1"/>
    <xf numFmtId="0" fontId="7" fillId="0" borderId="0" xfId="0" applyFont="1" applyFill="1"/>
    <xf numFmtId="0" fontId="7" fillId="0" borderId="0" xfId="12" quotePrefix="1" applyFont="1" applyFill="1" applyAlignment="1">
      <alignment horizontal="left"/>
    </xf>
    <xf numFmtId="0" fontId="21" fillId="0" borderId="0" xfId="1" applyFont="1" applyFill="1" applyAlignment="1">
      <alignment wrapText="1"/>
    </xf>
    <xf numFmtId="0" fontId="21" fillId="0" borderId="0" xfId="1" applyFont="1" applyFill="1" applyAlignment="1">
      <alignment horizontal="left"/>
    </xf>
    <xf numFmtId="167" fontId="21" fillId="0" borderId="0" xfId="1" applyNumberFormat="1" applyFont="1" applyFill="1"/>
    <xf numFmtId="0" fontId="4" fillId="0" borderId="0" xfId="0" applyFont="1" applyFill="1"/>
    <xf numFmtId="166" fontId="7" fillId="0" borderId="0" xfId="12" applyNumberFormat="1" applyFont="1" applyFill="1" applyAlignment="1">
      <alignment horizontal="right"/>
    </xf>
    <xf numFmtId="166" fontId="7" fillId="0" borderId="0" xfId="12" applyNumberFormat="1" applyFont="1" applyFill="1" applyAlignment="1">
      <alignment horizontal="right" wrapText="1"/>
    </xf>
    <xf numFmtId="0" fontId="6" fillId="0" borderId="0" xfId="0" applyFont="1" applyFill="1"/>
    <xf numFmtId="167" fontId="6" fillId="0" borderId="0" xfId="0" applyNumberFormat="1" applyFont="1" applyFill="1"/>
    <xf numFmtId="0" fontId="6" fillId="0" borderId="0" xfId="0" applyFont="1" applyFill="1" applyAlignment="1">
      <alignment horizontal="right"/>
    </xf>
    <xf numFmtId="166" fontId="6" fillId="0" borderId="0" xfId="0" applyNumberFormat="1" applyFont="1" applyFill="1"/>
    <xf numFmtId="166" fontId="7" fillId="0" borderId="0" xfId="1" applyNumberFormat="1" applyFont="1" applyFill="1"/>
    <xf numFmtId="171" fontId="7" fillId="0" borderId="0" xfId="1" applyNumberFormat="1" applyFont="1" applyFill="1"/>
    <xf numFmtId="0" fontId="5" fillId="0" borderId="0" xfId="0" applyFont="1" applyFill="1" applyAlignment="1">
      <alignment horizontal="right"/>
    </xf>
    <xf numFmtId="166" fontId="7" fillId="0" borderId="0" xfId="1" applyNumberFormat="1" applyFont="1" applyFill="1" applyAlignment="1">
      <alignment horizontal="right"/>
    </xf>
    <xf numFmtId="0" fontId="5" fillId="0" borderId="0" xfId="0" applyFont="1" applyFill="1"/>
    <xf numFmtId="0" fontId="7" fillId="0" borderId="0" xfId="1" quotePrefix="1" applyFont="1" applyFill="1" applyAlignment="1">
      <alignment horizontal="left"/>
    </xf>
    <xf numFmtId="171" fontId="5" fillId="0" borderId="0" xfId="0" applyNumberFormat="1" applyFont="1" applyFill="1" applyAlignment="1">
      <alignment horizontal="right"/>
    </xf>
    <xf numFmtId="0" fontId="7" fillId="0" borderId="0" xfId="0" applyFont="1" applyFill="1" applyAlignment="1">
      <alignment horizontal="left"/>
    </xf>
    <xf numFmtId="0" fontId="6" fillId="0" borderId="0" xfId="0" applyFont="1" applyFill="1" applyAlignment="1">
      <alignment horizontal="left" vertical="center" wrapText="1"/>
    </xf>
    <xf numFmtId="167" fontId="7" fillId="0" borderId="0" xfId="0" applyNumberFormat="1" applyFont="1" applyFill="1"/>
    <xf numFmtId="167" fontId="7" fillId="0" borderId="0" xfId="0" applyNumberFormat="1" applyFont="1" applyFill="1" applyAlignment="1">
      <alignment horizontal="right" wrapText="1"/>
    </xf>
    <xf numFmtId="1" fontId="7" fillId="0" borderId="0" xfId="0" applyNumberFormat="1" applyFont="1" applyFill="1" applyAlignment="1">
      <alignment horizontal="right"/>
    </xf>
    <xf numFmtId="0" fontId="5" fillId="0" borderId="0" xfId="0" applyFont="1" applyFill="1" applyAlignment="1">
      <alignment horizontal="left"/>
    </xf>
    <xf numFmtId="166" fontId="5" fillId="0" borderId="0" xfId="0" applyNumberFormat="1" applyFont="1" applyFill="1"/>
    <xf numFmtId="167" fontId="7" fillId="0" borderId="0" xfId="0" applyNumberFormat="1" applyFont="1" applyFill="1" applyAlignment="1">
      <alignment horizontal="right"/>
    </xf>
    <xf numFmtId="0" fontId="11" fillId="0" borderId="0" xfId="1" applyFont="1"/>
    <xf numFmtId="167" fontId="11" fillId="0" borderId="0" xfId="1" applyNumberFormat="1" applyFont="1"/>
    <xf numFmtId="0" fontId="140" fillId="0" borderId="0" xfId="0" applyFont="1"/>
    <xf numFmtId="3" fontId="58" fillId="0" borderId="0" xfId="0" applyNumberFormat="1" applyFont="1" applyFill="1" applyAlignment="1">
      <alignment vertical="center"/>
    </xf>
    <xf numFmtId="0" fontId="7" fillId="80" borderId="0" xfId="0" applyFont="1" applyFill="1" applyAlignment="1">
      <alignment horizontal="left"/>
    </xf>
    <xf numFmtId="179" fontId="6" fillId="2" borderId="0" xfId="0" applyNumberFormat="1" applyFont="1" applyFill="1"/>
    <xf numFmtId="186" fontId="11" fillId="0" borderId="0" xfId="1" applyNumberFormat="1" applyFont="1"/>
    <xf numFmtId="9" fontId="5" fillId="0" borderId="0" xfId="449" applyFont="1"/>
    <xf numFmtId="0" fontId="5" fillId="0" borderId="0" xfId="0" applyFont="1" applyAlignment="1">
      <alignment vertical="center"/>
    </xf>
    <xf numFmtId="169" fontId="5" fillId="0" borderId="0" xfId="0" applyNumberFormat="1" applyFont="1"/>
    <xf numFmtId="0" fontId="25" fillId="0" borderId="0" xfId="0" applyFont="1" applyFill="1"/>
    <xf numFmtId="0" fontId="8" fillId="0" borderId="0" xfId="0" applyFont="1" applyFill="1"/>
    <xf numFmtId="0" fontId="6" fillId="0" borderId="0" xfId="0" applyFont="1" applyFill="1" applyAlignment="1">
      <alignment horizontal="left"/>
    </xf>
    <xf numFmtId="171" fontId="7" fillId="0" borderId="0" xfId="0" applyNumberFormat="1" applyFont="1" applyFill="1"/>
    <xf numFmtId="17" fontId="7" fillId="80" borderId="0" xfId="0" quotePrefix="1" applyNumberFormat="1" applyFont="1" applyFill="1" applyAlignment="1">
      <alignment horizontal="right"/>
    </xf>
    <xf numFmtId="0" fontId="7" fillId="80" borderId="0" xfId="0" quotePrefix="1" applyFont="1" applyFill="1" applyAlignment="1">
      <alignment horizontal="right"/>
    </xf>
    <xf numFmtId="169" fontId="9" fillId="0" borderId="0" xfId="0" applyNumberFormat="1" applyFont="1" applyFill="1" applyAlignment="1">
      <alignment horizontal="right" vertical="center" wrapText="1"/>
    </xf>
    <xf numFmtId="169" fontId="2" fillId="0" borderId="0" xfId="0" applyNumberFormat="1" applyFont="1" applyFill="1" applyAlignment="1">
      <alignment horizontal="right" vertical="center"/>
    </xf>
    <xf numFmtId="0" fontId="2" fillId="0" borderId="0" xfId="0" applyFont="1" applyFill="1"/>
    <xf numFmtId="0" fontId="2" fillId="0" borderId="0" xfId="0" quotePrefix="1" applyFont="1" applyAlignment="1">
      <alignment horizontal="left" vertical="center" wrapText="1"/>
    </xf>
    <xf numFmtId="0" fontId="5" fillId="0" borderId="0" xfId="0" applyFont="1" applyAlignment="1">
      <alignment wrapText="1"/>
    </xf>
    <xf numFmtId="0" fontId="2" fillId="0" borderId="0" xfId="0" quotePrefix="1" applyFont="1" applyAlignment="1">
      <alignment vertical="center" wrapText="1"/>
    </xf>
    <xf numFmtId="0" fontId="5" fillId="0" borderId="0" xfId="0" applyFont="1" applyAlignment="1"/>
    <xf numFmtId="0" fontId="2" fillId="0" borderId="0" xfId="0" quotePrefix="1" applyFont="1" applyAlignment="1">
      <alignment wrapText="1"/>
    </xf>
    <xf numFmtId="0" fontId="137" fillId="0" borderId="0" xfId="0" applyFont="1" applyAlignment="1">
      <alignment horizontal="center" vertical="center"/>
    </xf>
    <xf numFmtId="10" fontId="123" fillId="0" borderId="0" xfId="0" applyNumberFormat="1" applyFont="1" applyAlignment="1">
      <alignment horizontal="center" wrapText="1"/>
    </xf>
  </cellXfs>
  <cellStyles count="1326">
    <cellStyle name="******************************************" xfId="35" xr:uid="{00000000-0005-0000-0000-000000000000}"/>
    <cellStyle name="20% - Accent1 2" xfId="36" xr:uid="{00000000-0005-0000-0000-000001000000}"/>
    <cellStyle name="20% - Accent1 3" xfId="37" xr:uid="{00000000-0005-0000-0000-000002000000}"/>
    <cellStyle name="20% - Accent1 4" xfId="1293" xr:uid="{00000000-0005-0000-0000-000003000000}"/>
    <cellStyle name="20% - Accent2 2" xfId="38" xr:uid="{00000000-0005-0000-0000-000004000000}"/>
    <cellStyle name="20% - Accent2 3" xfId="39" xr:uid="{00000000-0005-0000-0000-000005000000}"/>
    <cellStyle name="20% - Accent2 4" xfId="1295" xr:uid="{00000000-0005-0000-0000-000006000000}"/>
    <cellStyle name="20% - Accent3 2" xfId="40" xr:uid="{00000000-0005-0000-0000-000007000000}"/>
    <cellStyle name="20% - Accent3 3" xfId="41" xr:uid="{00000000-0005-0000-0000-000008000000}"/>
    <cellStyle name="20% - Accent3 4" xfId="1297" xr:uid="{00000000-0005-0000-0000-000009000000}"/>
    <cellStyle name="20% - Accent4 2" xfId="42" xr:uid="{00000000-0005-0000-0000-00000A000000}"/>
    <cellStyle name="20% - Accent4 3" xfId="43" xr:uid="{00000000-0005-0000-0000-00000B000000}"/>
    <cellStyle name="20% - Accent4 4" xfId="1299" xr:uid="{00000000-0005-0000-0000-00000C000000}"/>
    <cellStyle name="20% - Accent5 2" xfId="44" xr:uid="{00000000-0005-0000-0000-00000D000000}"/>
    <cellStyle name="20% - Accent5 3" xfId="45" xr:uid="{00000000-0005-0000-0000-00000E000000}"/>
    <cellStyle name="20% - Accent5 4" xfId="1301" xr:uid="{00000000-0005-0000-0000-00000F000000}"/>
    <cellStyle name="20% - Accent6 2" xfId="46" xr:uid="{00000000-0005-0000-0000-000010000000}"/>
    <cellStyle name="20% - Accent6 3" xfId="47" xr:uid="{00000000-0005-0000-0000-000011000000}"/>
    <cellStyle name="20% - Accent6 4" xfId="1303" xr:uid="{00000000-0005-0000-0000-000012000000}"/>
    <cellStyle name="40% - Accent1 2" xfId="48" xr:uid="{00000000-0005-0000-0000-000013000000}"/>
    <cellStyle name="40% - Accent1 3" xfId="49" xr:uid="{00000000-0005-0000-0000-000014000000}"/>
    <cellStyle name="40% - Accent1 4" xfId="1294" xr:uid="{00000000-0005-0000-0000-000015000000}"/>
    <cellStyle name="40% - Accent2 2" xfId="50" xr:uid="{00000000-0005-0000-0000-000016000000}"/>
    <cellStyle name="40% - Accent2 3" xfId="51" xr:uid="{00000000-0005-0000-0000-000017000000}"/>
    <cellStyle name="40% - Accent2 4" xfId="1296" xr:uid="{00000000-0005-0000-0000-000018000000}"/>
    <cellStyle name="40% - Accent3 2" xfId="52" xr:uid="{00000000-0005-0000-0000-000019000000}"/>
    <cellStyle name="40% - Accent3 3" xfId="53" xr:uid="{00000000-0005-0000-0000-00001A000000}"/>
    <cellStyle name="40% - Accent3 4" xfId="1298" xr:uid="{00000000-0005-0000-0000-00001B000000}"/>
    <cellStyle name="40% - Accent4 2" xfId="54" xr:uid="{00000000-0005-0000-0000-00001C000000}"/>
    <cellStyle name="40% - Accent4 3" xfId="55" xr:uid="{00000000-0005-0000-0000-00001D000000}"/>
    <cellStyle name="40% - Accent4 4" xfId="1300" xr:uid="{00000000-0005-0000-0000-00001E000000}"/>
    <cellStyle name="40% - Accent5 2" xfId="56" xr:uid="{00000000-0005-0000-0000-00001F000000}"/>
    <cellStyle name="40% - Accent5 3" xfId="57" xr:uid="{00000000-0005-0000-0000-000020000000}"/>
    <cellStyle name="40% - Accent5 4" xfId="1302" xr:uid="{00000000-0005-0000-0000-000021000000}"/>
    <cellStyle name="40% - Accent6 2" xfId="58" xr:uid="{00000000-0005-0000-0000-000022000000}"/>
    <cellStyle name="40% - Accent6 3" xfId="59" xr:uid="{00000000-0005-0000-0000-000023000000}"/>
    <cellStyle name="40% - Accent6 4" xfId="1304" xr:uid="{00000000-0005-0000-0000-000024000000}"/>
    <cellStyle name="60% - Accent1 2" xfId="60" xr:uid="{00000000-0005-0000-0000-000025000000}"/>
    <cellStyle name="60% - Accent1 3" xfId="61" xr:uid="{00000000-0005-0000-0000-000026000000}"/>
    <cellStyle name="60% - Accent2 2" xfId="62" xr:uid="{00000000-0005-0000-0000-000027000000}"/>
    <cellStyle name="60% - Accent2 3" xfId="63" xr:uid="{00000000-0005-0000-0000-000028000000}"/>
    <cellStyle name="60% - Accent3 2" xfId="64" xr:uid="{00000000-0005-0000-0000-000029000000}"/>
    <cellStyle name="60% - Accent3 3" xfId="65" xr:uid="{00000000-0005-0000-0000-00002A000000}"/>
    <cellStyle name="60% - Accent4 2" xfId="66" xr:uid="{00000000-0005-0000-0000-00002B000000}"/>
    <cellStyle name="60% - Accent4 3" xfId="67" xr:uid="{00000000-0005-0000-0000-00002C000000}"/>
    <cellStyle name="60% - Accent5 2" xfId="68" xr:uid="{00000000-0005-0000-0000-00002D000000}"/>
    <cellStyle name="60% - Accent5 3" xfId="69" xr:uid="{00000000-0005-0000-0000-00002E000000}"/>
    <cellStyle name="60% - Accent6 2" xfId="70" xr:uid="{00000000-0005-0000-0000-00002F000000}"/>
    <cellStyle name="60% - Accent6 3" xfId="71" xr:uid="{00000000-0005-0000-0000-000030000000}"/>
    <cellStyle name="Accent1 2" xfId="72" xr:uid="{00000000-0005-0000-0000-000031000000}"/>
    <cellStyle name="Accent1 3" xfId="73" xr:uid="{00000000-0005-0000-0000-000032000000}"/>
    <cellStyle name="Accent2 2" xfId="74" xr:uid="{00000000-0005-0000-0000-000033000000}"/>
    <cellStyle name="Accent2 3" xfId="75" xr:uid="{00000000-0005-0000-0000-000034000000}"/>
    <cellStyle name="Accent3 2" xfId="76" xr:uid="{00000000-0005-0000-0000-000035000000}"/>
    <cellStyle name="Accent3 3" xfId="77" xr:uid="{00000000-0005-0000-0000-000036000000}"/>
    <cellStyle name="Accent4 2" xfId="78" xr:uid="{00000000-0005-0000-0000-000037000000}"/>
    <cellStyle name="Accent4 3" xfId="79" xr:uid="{00000000-0005-0000-0000-000038000000}"/>
    <cellStyle name="Accent5 2" xfId="80" xr:uid="{00000000-0005-0000-0000-000039000000}"/>
    <cellStyle name="Accent5 3" xfId="81" xr:uid="{00000000-0005-0000-0000-00003A000000}"/>
    <cellStyle name="Accent6 2" xfId="82" xr:uid="{00000000-0005-0000-0000-00003B000000}"/>
    <cellStyle name="Accent6 3" xfId="83" xr:uid="{00000000-0005-0000-0000-00003C000000}"/>
    <cellStyle name="Bad 2" xfId="84" xr:uid="{00000000-0005-0000-0000-00003D000000}"/>
    <cellStyle name="Bad 3" xfId="1284" xr:uid="{00000000-0005-0000-0000-00003E000000}"/>
    <cellStyle name="BEPAALD" xfId="4" xr:uid="{00000000-0005-0000-0000-00003F000000}"/>
    <cellStyle name="BEPAALD 2" xfId="85" xr:uid="{00000000-0005-0000-0000-000040000000}"/>
    <cellStyle name="Berekening" xfId="1260" xr:uid="{00000000-0005-0000-0000-000041000000}"/>
    <cellStyle name="Berekening 2" xfId="86" xr:uid="{00000000-0005-0000-0000-000042000000}"/>
    <cellStyle name="Berekening 3" xfId="87" xr:uid="{00000000-0005-0000-0000-000043000000}"/>
    <cellStyle name="bin" xfId="88" xr:uid="{00000000-0005-0000-0000-000044000000}"/>
    <cellStyle name="blue" xfId="89" xr:uid="{00000000-0005-0000-0000-000045000000}"/>
    <cellStyle name="Ç¥ÁØ_ENRL2" xfId="90" xr:uid="{00000000-0005-0000-0000-000046000000}"/>
    <cellStyle name="Calculation 2" xfId="91" xr:uid="{00000000-0005-0000-0000-000047000000}"/>
    <cellStyle name="Calculation 3" xfId="1287" xr:uid="{00000000-0005-0000-0000-000048000000}"/>
    <cellStyle name="cell" xfId="92" xr:uid="{00000000-0005-0000-0000-000049000000}"/>
    <cellStyle name="Check Cell 2" xfId="93" xr:uid="{00000000-0005-0000-0000-00004A000000}"/>
    <cellStyle name="Check Cell 3" xfId="1289" xr:uid="{00000000-0005-0000-0000-00004B000000}"/>
    <cellStyle name="Code additions" xfId="94" xr:uid="{00000000-0005-0000-0000-00004C000000}"/>
    <cellStyle name="Col&amp;RowHeadings" xfId="95" xr:uid="{00000000-0005-0000-0000-00004D000000}"/>
    <cellStyle name="ColCodes" xfId="96" xr:uid="{00000000-0005-0000-0000-00004E000000}"/>
    <cellStyle name="ColTitles" xfId="97" xr:uid="{00000000-0005-0000-0000-00004F000000}"/>
    <cellStyle name="column" xfId="98" xr:uid="{00000000-0005-0000-0000-000050000000}"/>
    <cellStyle name="Comma" xfId="31" builtinId="3"/>
    <cellStyle name="Comma 2" xfId="99" xr:uid="{00000000-0005-0000-0000-000052000000}"/>
    <cellStyle name="Comma 2 2" xfId="453" xr:uid="{00000000-0005-0000-0000-000053000000}"/>
    <cellStyle name="Comma 2 3" xfId="454" xr:uid="{00000000-0005-0000-0000-000054000000}"/>
    <cellStyle name="Comma 2 4" xfId="452" xr:uid="{00000000-0005-0000-0000-000055000000}"/>
    <cellStyle name="Comma 3" xfId="32" xr:uid="{00000000-0005-0000-0000-000056000000}"/>
    <cellStyle name="Comma 3 2" xfId="455" xr:uid="{00000000-0005-0000-0000-000057000000}"/>
    <cellStyle name="Comma 4" xfId="456" xr:uid="{00000000-0005-0000-0000-000058000000}"/>
    <cellStyle name="Comma 4 2" xfId="457" xr:uid="{00000000-0005-0000-0000-000059000000}"/>
    <cellStyle name="Comma 4 2 2" xfId="458" xr:uid="{00000000-0005-0000-0000-00005A000000}"/>
    <cellStyle name="Comma 4 2 2 2" xfId="459" xr:uid="{00000000-0005-0000-0000-00005B000000}"/>
    <cellStyle name="Comma 4 2 2 3" xfId="1228" xr:uid="{00000000-0005-0000-0000-00005C000000}"/>
    <cellStyle name="Comma 4 2 3" xfId="1227" xr:uid="{00000000-0005-0000-0000-00005D000000}"/>
    <cellStyle name="Comma 4 3" xfId="1226" xr:uid="{00000000-0005-0000-0000-00005E000000}"/>
    <cellStyle name="Comma 5" xfId="460" xr:uid="{00000000-0005-0000-0000-00005F000000}"/>
    <cellStyle name="Comma 5 2" xfId="461" xr:uid="{00000000-0005-0000-0000-000060000000}"/>
    <cellStyle name="Comma 5 2 2" xfId="1230" xr:uid="{00000000-0005-0000-0000-000061000000}"/>
    <cellStyle name="Comma 5 3" xfId="1229" xr:uid="{00000000-0005-0000-0000-000062000000}"/>
    <cellStyle name="Comma 6" xfId="462" xr:uid="{00000000-0005-0000-0000-000063000000}"/>
    <cellStyle name="Comma 6 2" xfId="463" xr:uid="{00000000-0005-0000-0000-000064000000}"/>
    <cellStyle name="Comma 6 2 2" xfId="1232" xr:uid="{00000000-0005-0000-0000-000065000000}"/>
    <cellStyle name="Comma 6 3" xfId="1231" xr:uid="{00000000-0005-0000-0000-000066000000}"/>
    <cellStyle name="Comma 7" xfId="464" xr:uid="{00000000-0005-0000-0000-000067000000}"/>
    <cellStyle name="Comma 7 2" xfId="1233" xr:uid="{00000000-0005-0000-0000-000068000000}"/>
    <cellStyle name="Comma 8" xfId="465" xr:uid="{00000000-0005-0000-0000-000069000000}"/>
    <cellStyle name="Comma 8 2" xfId="1234" xr:uid="{00000000-0005-0000-0000-00006A000000}"/>
    <cellStyle name="Controlecel" xfId="1261" xr:uid="{00000000-0005-0000-0000-00006B000000}"/>
    <cellStyle name="Controlecel 2" xfId="100" xr:uid="{00000000-0005-0000-0000-00006C000000}"/>
    <cellStyle name="Controlecel 3" xfId="101" xr:uid="{00000000-0005-0000-0000-00006D000000}"/>
    <cellStyle name="DataEntryCells" xfId="102" xr:uid="{00000000-0005-0000-0000-00006E000000}"/>
    <cellStyle name="DATE" xfId="466" xr:uid="{00000000-0005-0000-0000-00006F000000}"/>
    <cellStyle name="DATE 2" xfId="467" xr:uid="{00000000-0005-0000-0000-000070000000}"/>
    <cellStyle name="DATUM" xfId="5" xr:uid="{00000000-0005-0000-0000-000071000000}"/>
    <cellStyle name="Datum 2" xfId="104" xr:uid="{00000000-0005-0000-0000-000072000000}"/>
    <cellStyle name="Datum 3" xfId="103" xr:uid="{00000000-0005-0000-0000-000073000000}"/>
    <cellStyle name="Datum 4" xfId="468" xr:uid="{00000000-0005-0000-0000-000074000000}"/>
    <cellStyle name="Dezimal [0]_DIAGRAM" xfId="105" xr:uid="{00000000-0005-0000-0000-000075000000}"/>
    <cellStyle name="Dezimal_DIAGRAM" xfId="106" xr:uid="{00000000-0005-0000-0000-000076000000}"/>
    <cellStyle name="Didier" xfId="107" xr:uid="{00000000-0005-0000-0000-000077000000}"/>
    <cellStyle name="Didier - Title" xfId="108" xr:uid="{00000000-0005-0000-0000-000078000000}"/>
    <cellStyle name="Didier subtitles" xfId="109" xr:uid="{00000000-0005-0000-0000-000079000000}"/>
    <cellStyle name="ErrRpt_DataEntryCells" xfId="110" xr:uid="{00000000-0005-0000-0000-00007A000000}"/>
    <cellStyle name="ErrRpt-DataEntryCells" xfId="111" xr:uid="{00000000-0005-0000-0000-00007B000000}"/>
    <cellStyle name="ErrRpt-GreyBackground" xfId="112" xr:uid="{00000000-0005-0000-0000-00007C000000}"/>
    <cellStyle name="Euro" xfId="13" xr:uid="{00000000-0005-0000-0000-00007D000000}"/>
    <cellStyle name="Euro 2" xfId="113" xr:uid="{00000000-0005-0000-0000-00007E000000}"/>
    <cellStyle name="Explanatory Text 2" xfId="114" xr:uid="{00000000-0005-0000-0000-00007F000000}"/>
    <cellStyle name="Explanatory Text 3" xfId="1291" xr:uid="{00000000-0005-0000-0000-000080000000}"/>
    <cellStyle name="F2" xfId="18" xr:uid="{00000000-0005-0000-0000-000081000000}"/>
    <cellStyle name="F2 2" xfId="115" xr:uid="{00000000-0005-0000-0000-000082000000}"/>
    <cellStyle name="F3" xfId="23" xr:uid="{00000000-0005-0000-0000-000083000000}"/>
    <cellStyle name="F3 2" xfId="116" xr:uid="{00000000-0005-0000-0000-000084000000}"/>
    <cellStyle name="F4" xfId="19" xr:uid="{00000000-0005-0000-0000-000085000000}"/>
    <cellStyle name="F4 2" xfId="117" xr:uid="{00000000-0005-0000-0000-000086000000}"/>
    <cellStyle name="F5" xfId="20" xr:uid="{00000000-0005-0000-0000-000087000000}"/>
    <cellStyle name="F5 2" xfId="118" xr:uid="{00000000-0005-0000-0000-000088000000}"/>
    <cellStyle name="F6" xfId="21" xr:uid="{00000000-0005-0000-0000-000089000000}"/>
    <cellStyle name="F6 2" xfId="119" xr:uid="{00000000-0005-0000-0000-00008A000000}"/>
    <cellStyle name="F7" xfId="16" xr:uid="{00000000-0005-0000-0000-00008B000000}"/>
    <cellStyle name="F7 2" xfId="120" xr:uid="{00000000-0005-0000-0000-00008C000000}"/>
    <cellStyle name="F8" xfId="22" xr:uid="{00000000-0005-0000-0000-00008D000000}"/>
    <cellStyle name="F8 2" xfId="121" xr:uid="{00000000-0005-0000-0000-00008E000000}"/>
    <cellStyle name="FIXED" xfId="469" xr:uid="{00000000-0005-0000-0000-00008F000000}"/>
    <cellStyle name="FIXED 2" xfId="470" xr:uid="{00000000-0005-0000-0000-000090000000}"/>
    <cellStyle name="Followed Hyperlink 2" xfId="1306" xr:uid="{00000000-0005-0000-0000-000091000000}"/>
    <cellStyle name="formula" xfId="122" xr:uid="{00000000-0005-0000-0000-000092000000}"/>
    <cellStyle name="gap" xfId="123" xr:uid="{00000000-0005-0000-0000-000093000000}"/>
    <cellStyle name="Gekoppelde cel" xfId="1262" xr:uid="{00000000-0005-0000-0000-000094000000}"/>
    <cellStyle name="Gekoppelde cel 2" xfId="124" xr:uid="{00000000-0005-0000-0000-000095000000}"/>
    <cellStyle name="Gekoppelde cel 3" xfId="125" xr:uid="{00000000-0005-0000-0000-000096000000}"/>
    <cellStyle name="Goed" xfId="1263" xr:uid="{00000000-0005-0000-0000-000097000000}"/>
    <cellStyle name="Goed 2" xfId="126" xr:uid="{00000000-0005-0000-0000-000098000000}"/>
    <cellStyle name="Goed 3" xfId="127" xr:uid="{00000000-0005-0000-0000-000099000000}"/>
    <cellStyle name="Good 2" xfId="128" xr:uid="{00000000-0005-0000-0000-00009A000000}"/>
    <cellStyle name="Good 3" xfId="1283" xr:uid="{00000000-0005-0000-0000-00009B000000}"/>
    <cellStyle name="Grey_background" xfId="129" xr:uid="{00000000-0005-0000-0000-00009C000000}"/>
    <cellStyle name="GreyBackground" xfId="130" xr:uid="{00000000-0005-0000-0000-00009D000000}"/>
    <cellStyle name="Header" xfId="131" xr:uid="{00000000-0005-0000-0000-00009E000000}"/>
    <cellStyle name="Heading 1 2" xfId="132" xr:uid="{00000000-0005-0000-0000-00009F000000}"/>
    <cellStyle name="Heading 1 3" xfId="1279" xr:uid="{00000000-0005-0000-0000-0000A0000000}"/>
    <cellStyle name="Heading 2 2" xfId="133" xr:uid="{00000000-0005-0000-0000-0000A1000000}"/>
    <cellStyle name="Heading 2 3" xfId="1280" xr:uid="{00000000-0005-0000-0000-0000A2000000}"/>
    <cellStyle name="Heading 3 2" xfId="134" xr:uid="{00000000-0005-0000-0000-0000A3000000}"/>
    <cellStyle name="Heading 3 3" xfId="1281" xr:uid="{00000000-0005-0000-0000-0000A4000000}"/>
    <cellStyle name="Heading 4 2" xfId="135" xr:uid="{00000000-0005-0000-0000-0000A5000000}"/>
    <cellStyle name="Heading 4 3" xfId="1282" xr:uid="{00000000-0005-0000-0000-0000A6000000}"/>
    <cellStyle name="HEADING1" xfId="471" xr:uid="{00000000-0005-0000-0000-0000A7000000}"/>
    <cellStyle name="HEADING2" xfId="472" xr:uid="{00000000-0005-0000-0000-0000A8000000}"/>
    <cellStyle name="Hipervínculo" xfId="136" xr:uid="{00000000-0005-0000-0000-0000A9000000}"/>
    <cellStyle name="Hipervínculo visitado" xfId="137" xr:uid="{00000000-0005-0000-0000-0000AA000000}"/>
    <cellStyle name="Hyperlink" xfId="27" builtinId="8"/>
    <cellStyle name="Hyperlink 2" xfId="1224" xr:uid="{00000000-0005-0000-0000-0000AC000000}"/>
    <cellStyle name="Hyperlink 3" xfId="1305" xr:uid="{00000000-0005-0000-0000-0000AD000000}"/>
    <cellStyle name="Input 2" xfId="138" xr:uid="{00000000-0005-0000-0000-0000AE000000}"/>
    <cellStyle name="Input 3" xfId="1285" xr:uid="{00000000-0005-0000-0000-0000AF000000}"/>
    <cellStyle name="Invoer" xfId="1264" xr:uid="{00000000-0005-0000-0000-0000B0000000}"/>
    <cellStyle name="Invoer 2" xfId="139" xr:uid="{00000000-0005-0000-0000-0000B1000000}"/>
    <cellStyle name="Invoer 3" xfId="140" xr:uid="{00000000-0005-0000-0000-0000B2000000}"/>
    <cellStyle name="ISC" xfId="141" xr:uid="{00000000-0005-0000-0000-0000B3000000}"/>
    <cellStyle name="isced" xfId="142" xr:uid="{00000000-0005-0000-0000-0000B4000000}"/>
    <cellStyle name="ISCED Titles" xfId="143" xr:uid="{00000000-0005-0000-0000-0000B5000000}"/>
    <cellStyle name="isced_8gradk" xfId="144" xr:uid="{00000000-0005-0000-0000-0000B6000000}"/>
    <cellStyle name="Komma 10" xfId="145" xr:uid="{00000000-0005-0000-0000-0000B7000000}"/>
    <cellStyle name="Komma 11" xfId="146" xr:uid="{00000000-0005-0000-0000-0000B8000000}"/>
    <cellStyle name="Komma 12" xfId="147" xr:uid="{00000000-0005-0000-0000-0000B9000000}"/>
    <cellStyle name="Komma 13" xfId="148" xr:uid="{00000000-0005-0000-0000-0000BA000000}"/>
    <cellStyle name="Komma 14" xfId="149" xr:uid="{00000000-0005-0000-0000-0000BB000000}"/>
    <cellStyle name="Komma 15" xfId="150" xr:uid="{00000000-0005-0000-0000-0000BC000000}"/>
    <cellStyle name="Komma 2" xfId="151" xr:uid="{00000000-0005-0000-0000-0000BD000000}"/>
    <cellStyle name="Komma 2 2" xfId="152" xr:uid="{00000000-0005-0000-0000-0000BE000000}"/>
    <cellStyle name="Komma 2 2 2" xfId="153" xr:uid="{00000000-0005-0000-0000-0000BF000000}"/>
    <cellStyle name="Komma 2 2 2 2" xfId="1321" xr:uid="{00000000-0005-0000-0000-0000C0000000}"/>
    <cellStyle name="Komma 2 2 3" xfId="1313" xr:uid="{00000000-0005-0000-0000-0000C1000000}"/>
    <cellStyle name="Komma 2 3" xfId="154" xr:uid="{00000000-0005-0000-0000-0000C2000000}"/>
    <cellStyle name="Komma 2 3 2" xfId="1316" xr:uid="{00000000-0005-0000-0000-0000C3000000}"/>
    <cellStyle name="Komma 2 4" xfId="1309" xr:uid="{00000000-0005-0000-0000-0000C4000000}"/>
    <cellStyle name="Komma 3" xfId="155" xr:uid="{00000000-0005-0000-0000-0000C5000000}"/>
    <cellStyle name="Komma 3 2" xfId="156" xr:uid="{00000000-0005-0000-0000-0000C6000000}"/>
    <cellStyle name="Komma 3 3" xfId="1318" xr:uid="{00000000-0005-0000-0000-0000C7000000}"/>
    <cellStyle name="Komma 4" xfId="157" xr:uid="{00000000-0005-0000-0000-0000C8000000}"/>
    <cellStyle name="Komma 5" xfId="158" xr:uid="{00000000-0005-0000-0000-0000C9000000}"/>
    <cellStyle name="Komma 5 2" xfId="159" xr:uid="{00000000-0005-0000-0000-0000CA000000}"/>
    <cellStyle name="Komma 5 3" xfId="160" xr:uid="{00000000-0005-0000-0000-0000CB000000}"/>
    <cellStyle name="Komma 5 4" xfId="161" xr:uid="{00000000-0005-0000-0000-0000CC000000}"/>
    <cellStyle name="Komma 6" xfId="162" xr:uid="{00000000-0005-0000-0000-0000CD000000}"/>
    <cellStyle name="Komma 7" xfId="163" xr:uid="{00000000-0005-0000-0000-0000CE000000}"/>
    <cellStyle name="Komma 7 2" xfId="164" xr:uid="{00000000-0005-0000-0000-0000CF000000}"/>
    <cellStyle name="Komma 8" xfId="165" xr:uid="{00000000-0005-0000-0000-0000D0000000}"/>
    <cellStyle name="Komma 9" xfId="166" xr:uid="{00000000-0005-0000-0000-0000D1000000}"/>
    <cellStyle name="Komma0" xfId="167" xr:uid="{00000000-0005-0000-0000-0000D2000000}"/>
    <cellStyle name="Komma0 - Opmaakprofiel3" xfId="168" xr:uid="{00000000-0005-0000-0000-0000D3000000}"/>
    <cellStyle name="Komma0 2" xfId="169" xr:uid="{00000000-0005-0000-0000-0000D4000000}"/>
    <cellStyle name="Komma0 3" xfId="473" xr:uid="{00000000-0005-0000-0000-0000D5000000}"/>
    <cellStyle name="Komma0 4" xfId="1235" xr:uid="{00000000-0005-0000-0000-0000D6000000}"/>
    <cellStyle name="Komma0_20110503 opzet output" xfId="170" xr:uid="{00000000-0005-0000-0000-0000D7000000}"/>
    <cellStyle name="Komma1" xfId="171" xr:uid="{00000000-0005-0000-0000-0000D8000000}"/>
    <cellStyle name="Komma1 - Opmaakprofiel1" xfId="172" xr:uid="{00000000-0005-0000-0000-0000D9000000}"/>
    <cellStyle name="Kop 1" xfId="1265" xr:uid="{00000000-0005-0000-0000-0000DA000000}"/>
    <cellStyle name="Kop 1 2" xfId="173" xr:uid="{00000000-0005-0000-0000-0000DB000000}"/>
    <cellStyle name="Kop 2" xfId="1266" xr:uid="{00000000-0005-0000-0000-0000DC000000}"/>
    <cellStyle name="Kop 2 2" xfId="174" xr:uid="{00000000-0005-0000-0000-0000DD000000}"/>
    <cellStyle name="Kop 3" xfId="1267" xr:uid="{00000000-0005-0000-0000-0000DE000000}"/>
    <cellStyle name="Kop 3 2" xfId="175" xr:uid="{00000000-0005-0000-0000-0000DF000000}"/>
    <cellStyle name="Kop 4" xfId="1268" xr:uid="{00000000-0005-0000-0000-0000E0000000}"/>
    <cellStyle name="Kop 4 2" xfId="176" xr:uid="{00000000-0005-0000-0000-0000E1000000}"/>
    <cellStyle name="KOP1" xfId="6" xr:uid="{00000000-0005-0000-0000-0000E2000000}"/>
    <cellStyle name="KOP1 2" xfId="177" xr:uid="{00000000-0005-0000-0000-0000E3000000}"/>
    <cellStyle name="KOP2" xfId="7" xr:uid="{00000000-0005-0000-0000-0000E4000000}"/>
    <cellStyle name="KOP2 2" xfId="178" xr:uid="{00000000-0005-0000-0000-0000E5000000}"/>
    <cellStyle name="Koptekst 1" xfId="179" xr:uid="{00000000-0005-0000-0000-0000E6000000}"/>
    <cellStyle name="Koptekst 1 2" xfId="474" xr:uid="{00000000-0005-0000-0000-0000E7000000}"/>
    <cellStyle name="Koptekst 2" xfId="180" xr:uid="{00000000-0005-0000-0000-0000E8000000}"/>
    <cellStyle name="Koptekst 2 2" xfId="475" xr:uid="{00000000-0005-0000-0000-0000E9000000}"/>
    <cellStyle name="level1a" xfId="181" xr:uid="{00000000-0005-0000-0000-0000EA000000}"/>
    <cellStyle name="level2" xfId="182" xr:uid="{00000000-0005-0000-0000-0000EB000000}"/>
    <cellStyle name="level2a" xfId="183" xr:uid="{00000000-0005-0000-0000-0000EC000000}"/>
    <cellStyle name="level3" xfId="184" xr:uid="{00000000-0005-0000-0000-0000ED000000}"/>
    <cellStyle name="Line titles-Rows" xfId="185" xr:uid="{00000000-0005-0000-0000-0000EE000000}"/>
    <cellStyle name="Linked Cell 2" xfId="186" xr:uid="{00000000-0005-0000-0000-0000EF000000}"/>
    <cellStyle name="Linked Cell 3" xfId="1288" xr:uid="{00000000-0005-0000-0000-0000F0000000}"/>
    <cellStyle name="Migliaia (0)_conti99" xfId="187" xr:uid="{00000000-0005-0000-0000-0000F1000000}"/>
    <cellStyle name="MUNT" xfId="8" xr:uid="{00000000-0005-0000-0000-0000F2000000}"/>
    <cellStyle name="MUNT 2" xfId="188" xr:uid="{00000000-0005-0000-0000-0000F3000000}"/>
    <cellStyle name="Neutraal" xfId="1269" xr:uid="{00000000-0005-0000-0000-0000F4000000}"/>
    <cellStyle name="Neutraal 2" xfId="189" xr:uid="{00000000-0005-0000-0000-0000F5000000}"/>
    <cellStyle name="Neutraal 3" xfId="190" xr:uid="{00000000-0005-0000-0000-0000F6000000}"/>
    <cellStyle name="Neutral 2" xfId="29" xr:uid="{00000000-0005-0000-0000-0000F7000000}"/>
    <cellStyle name="Neutral 3" xfId="191" xr:uid="{00000000-0005-0000-0000-0000F8000000}"/>
    <cellStyle name="Normaa" xfId="192" xr:uid="{00000000-0005-0000-0000-0000F9000000}"/>
    <cellStyle name="Normaal" xfId="2" xr:uid="{00000000-0005-0000-0000-0000FA000000}"/>
    <cellStyle name="Normaal 2" xfId="193" xr:uid="{00000000-0005-0000-0000-0000FB000000}"/>
    <cellStyle name="Normal" xfId="0" builtinId="0"/>
    <cellStyle name="Normal 10" xfId="476" xr:uid="{00000000-0005-0000-0000-0000FD000000}"/>
    <cellStyle name="Normal 10 2" xfId="477" xr:uid="{00000000-0005-0000-0000-0000FE000000}"/>
    <cellStyle name="Normal 10 2 2" xfId="478" xr:uid="{00000000-0005-0000-0000-0000FF000000}"/>
    <cellStyle name="Normal 10 2 2 2" xfId="479" xr:uid="{00000000-0005-0000-0000-000000010000}"/>
    <cellStyle name="Normal 10 2 2 3" xfId="480" xr:uid="{00000000-0005-0000-0000-000001010000}"/>
    <cellStyle name="Normal 10 3" xfId="481" xr:uid="{00000000-0005-0000-0000-000002010000}"/>
    <cellStyle name="Normal 10 3 2" xfId="482" xr:uid="{00000000-0005-0000-0000-000003010000}"/>
    <cellStyle name="Normal 10 3 2 2" xfId="483" xr:uid="{00000000-0005-0000-0000-000004010000}"/>
    <cellStyle name="Normal 10 3 2 2 2" xfId="484" xr:uid="{00000000-0005-0000-0000-000005010000}"/>
    <cellStyle name="Normal 10 3 2 2 2 2" xfId="485" xr:uid="{00000000-0005-0000-0000-000006010000}"/>
    <cellStyle name="Normal 10 3 2 2 2 2 10" xfId="486" xr:uid="{00000000-0005-0000-0000-000007010000}"/>
    <cellStyle name="Normal 10 3 2 2 2 2 11" xfId="487" xr:uid="{00000000-0005-0000-0000-000008010000}"/>
    <cellStyle name="Normal 10 3 2 2 2 2 12" xfId="488" xr:uid="{00000000-0005-0000-0000-000009010000}"/>
    <cellStyle name="Normal 10 3 2 2 2 2 13" xfId="489" xr:uid="{00000000-0005-0000-0000-00000A010000}"/>
    <cellStyle name="Normal 10 3 2 2 2 2 14" xfId="490" xr:uid="{00000000-0005-0000-0000-00000B010000}"/>
    <cellStyle name="Normal 10 3 2 2 2 2 15" xfId="491" xr:uid="{00000000-0005-0000-0000-00000C010000}"/>
    <cellStyle name="Normal 10 3 2 2 2 2 16" xfId="492" xr:uid="{00000000-0005-0000-0000-00000D010000}"/>
    <cellStyle name="Normal 10 3 2 2 2 2 17" xfId="493" xr:uid="{00000000-0005-0000-0000-00000E010000}"/>
    <cellStyle name="Normal 10 3 2 2 2 2 18" xfId="494" xr:uid="{00000000-0005-0000-0000-00000F010000}"/>
    <cellStyle name="Normal 10 3 2 2 2 2 19" xfId="495" xr:uid="{00000000-0005-0000-0000-000010010000}"/>
    <cellStyle name="Normal 10 3 2 2 2 2 2" xfId="496" xr:uid="{00000000-0005-0000-0000-000011010000}"/>
    <cellStyle name="Normal 10 3 2 2 2 2 2 2" xfId="497" xr:uid="{00000000-0005-0000-0000-000012010000}"/>
    <cellStyle name="Normal 10 3 2 2 2 2 20" xfId="498" xr:uid="{00000000-0005-0000-0000-000013010000}"/>
    <cellStyle name="Normal 10 3 2 2 2 2 21" xfId="499" xr:uid="{00000000-0005-0000-0000-000014010000}"/>
    <cellStyle name="Normal 10 3 2 2 2 2 22" xfId="500" xr:uid="{00000000-0005-0000-0000-000015010000}"/>
    <cellStyle name="Normal 10 3 2 2 2 2 23" xfId="501" xr:uid="{00000000-0005-0000-0000-000016010000}"/>
    <cellStyle name="Normal 10 3 2 2 2 2 24" xfId="502" xr:uid="{00000000-0005-0000-0000-000017010000}"/>
    <cellStyle name="Normal 10 3 2 2 2 2 25" xfId="503" xr:uid="{00000000-0005-0000-0000-000018010000}"/>
    <cellStyle name="Normal 10 3 2 2 2 2 26" xfId="504" xr:uid="{00000000-0005-0000-0000-000019010000}"/>
    <cellStyle name="Normal 10 3 2 2 2 2 27" xfId="505" xr:uid="{00000000-0005-0000-0000-00001A010000}"/>
    <cellStyle name="Normal 10 3 2 2 2 2 28" xfId="506" xr:uid="{00000000-0005-0000-0000-00001B010000}"/>
    <cellStyle name="Normal 10 3 2 2 2 2 29" xfId="507" xr:uid="{00000000-0005-0000-0000-00001C010000}"/>
    <cellStyle name="Normal 10 3 2 2 2 2 3" xfId="508" xr:uid="{00000000-0005-0000-0000-00001D010000}"/>
    <cellStyle name="Normal 10 3 2 2 2 2 30" xfId="509" xr:uid="{00000000-0005-0000-0000-00001E010000}"/>
    <cellStyle name="Normal 10 3 2 2 2 2 31" xfId="510" xr:uid="{00000000-0005-0000-0000-00001F010000}"/>
    <cellStyle name="Normal 10 3 2 2 2 2 32" xfId="511" xr:uid="{00000000-0005-0000-0000-000020010000}"/>
    <cellStyle name="Normal 10 3 2 2 2 2 33" xfId="512" xr:uid="{00000000-0005-0000-0000-000021010000}"/>
    <cellStyle name="Normal 10 3 2 2 2 2 34" xfId="513" xr:uid="{00000000-0005-0000-0000-000022010000}"/>
    <cellStyle name="Normal 10 3 2 2 2 2 35" xfId="514" xr:uid="{00000000-0005-0000-0000-000023010000}"/>
    <cellStyle name="Normal 10 3 2 2 2 2 36" xfId="515" xr:uid="{00000000-0005-0000-0000-000024010000}"/>
    <cellStyle name="Normal 10 3 2 2 2 2 37" xfId="516" xr:uid="{00000000-0005-0000-0000-000025010000}"/>
    <cellStyle name="Normal 10 3 2 2 2 2 38" xfId="517" xr:uid="{00000000-0005-0000-0000-000026010000}"/>
    <cellStyle name="Normal 10 3 2 2 2 2 39" xfId="518" xr:uid="{00000000-0005-0000-0000-000027010000}"/>
    <cellStyle name="Normal 10 3 2 2 2 2 4" xfId="519" xr:uid="{00000000-0005-0000-0000-000028010000}"/>
    <cellStyle name="Normal 10 3 2 2 2 2 40" xfId="520" xr:uid="{00000000-0005-0000-0000-000029010000}"/>
    <cellStyle name="Normal 10 3 2 2 2 2 41" xfId="521" xr:uid="{00000000-0005-0000-0000-00002A010000}"/>
    <cellStyle name="Normal 10 3 2 2 2 2 42" xfId="522" xr:uid="{00000000-0005-0000-0000-00002B010000}"/>
    <cellStyle name="Normal 10 3 2 2 2 2 43" xfId="523" xr:uid="{00000000-0005-0000-0000-00002C010000}"/>
    <cellStyle name="Normal 10 3 2 2 2 2 43 2" xfId="524" xr:uid="{00000000-0005-0000-0000-00002D010000}"/>
    <cellStyle name="Normal 10 3 2 2 2 2 44" xfId="525" xr:uid="{00000000-0005-0000-0000-00002E010000}"/>
    <cellStyle name="Normal 10 3 2 2 2 2 45" xfId="526" xr:uid="{00000000-0005-0000-0000-00002F010000}"/>
    <cellStyle name="Normal 10 3 2 2 2 2 46" xfId="527" xr:uid="{00000000-0005-0000-0000-000030010000}"/>
    <cellStyle name="Normal 10 3 2 2 2 2 47" xfId="528" xr:uid="{00000000-0005-0000-0000-000031010000}"/>
    <cellStyle name="Normal 10 3 2 2 2 2 48" xfId="529" xr:uid="{00000000-0005-0000-0000-000032010000}"/>
    <cellStyle name="Normal 10 3 2 2 2 2 49" xfId="530" xr:uid="{00000000-0005-0000-0000-000033010000}"/>
    <cellStyle name="Normal 10 3 2 2 2 2 5" xfId="531" xr:uid="{00000000-0005-0000-0000-000034010000}"/>
    <cellStyle name="Normal 10 3 2 2 2 2 50" xfId="532" xr:uid="{00000000-0005-0000-0000-000035010000}"/>
    <cellStyle name="Normal 10 3 2 2 2 2 50 2" xfId="533" xr:uid="{00000000-0005-0000-0000-000036010000}"/>
    <cellStyle name="Normal 10 3 2 2 2 2 51" xfId="534" xr:uid="{00000000-0005-0000-0000-000037010000}"/>
    <cellStyle name="Normal 10 3 2 2 2 2 52" xfId="535" xr:uid="{00000000-0005-0000-0000-000038010000}"/>
    <cellStyle name="Normal 10 3 2 2 2 2 53" xfId="536" xr:uid="{00000000-0005-0000-0000-000039010000}"/>
    <cellStyle name="Normal 10 3 2 2 2 2 54" xfId="537" xr:uid="{00000000-0005-0000-0000-00003A010000}"/>
    <cellStyle name="Normal 10 3 2 2 2 2 55" xfId="538" xr:uid="{00000000-0005-0000-0000-00003B010000}"/>
    <cellStyle name="Normal 10 3 2 2 2 2 56" xfId="539" xr:uid="{00000000-0005-0000-0000-00003C010000}"/>
    <cellStyle name="Normal 10 3 2 2 2 2 57" xfId="540" xr:uid="{00000000-0005-0000-0000-00003D010000}"/>
    <cellStyle name="Normal 10 3 2 2 2 2 58" xfId="541" xr:uid="{00000000-0005-0000-0000-00003E010000}"/>
    <cellStyle name="Normal 10 3 2 2 2 2 59" xfId="542" xr:uid="{00000000-0005-0000-0000-00003F010000}"/>
    <cellStyle name="Normal 10 3 2 2 2 2 6" xfId="543" xr:uid="{00000000-0005-0000-0000-000040010000}"/>
    <cellStyle name="Normal 10 3 2 2 2 2 60" xfId="544" xr:uid="{00000000-0005-0000-0000-000041010000}"/>
    <cellStyle name="Normal 10 3 2 2 2 2 61" xfId="545" xr:uid="{00000000-0005-0000-0000-000042010000}"/>
    <cellStyle name="Normal 10 3 2 2 2 2 62" xfId="546" xr:uid="{00000000-0005-0000-0000-000043010000}"/>
    <cellStyle name="Normal 10 3 2 2 2 2 63" xfId="547" xr:uid="{00000000-0005-0000-0000-000044010000}"/>
    <cellStyle name="Normal 10 3 2 2 2 2 64" xfId="548" xr:uid="{00000000-0005-0000-0000-000045010000}"/>
    <cellStyle name="Normal 10 3 2 2 2 2 65" xfId="549" xr:uid="{00000000-0005-0000-0000-000046010000}"/>
    <cellStyle name="Normal 10 3 2 2 2 2 66" xfId="550" xr:uid="{00000000-0005-0000-0000-000047010000}"/>
    <cellStyle name="Normal 10 3 2 2 2 2 67" xfId="551" xr:uid="{00000000-0005-0000-0000-000048010000}"/>
    <cellStyle name="Normal 10 3 2 2 2 2 68" xfId="552" xr:uid="{00000000-0005-0000-0000-000049010000}"/>
    <cellStyle name="Normal 10 3 2 2 2 2 69" xfId="553" xr:uid="{00000000-0005-0000-0000-00004A010000}"/>
    <cellStyle name="Normal 10 3 2 2 2 2 7" xfId="554" xr:uid="{00000000-0005-0000-0000-00004B010000}"/>
    <cellStyle name="Normal 10 3 2 2 2 2 70" xfId="555" xr:uid="{00000000-0005-0000-0000-00004C010000}"/>
    <cellStyle name="Normal 10 3 2 2 2 2 71" xfId="556" xr:uid="{00000000-0005-0000-0000-00004D010000}"/>
    <cellStyle name="Normal 10 3 2 2 2 2 72" xfId="557" xr:uid="{00000000-0005-0000-0000-00004E010000}"/>
    <cellStyle name="Normal 10 3 2 2 2 2 73" xfId="558" xr:uid="{00000000-0005-0000-0000-00004F010000}"/>
    <cellStyle name="Normal 10 3 2 2 2 2 74" xfId="559" xr:uid="{00000000-0005-0000-0000-000050010000}"/>
    <cellStyle name="Normal 10 3 2 2 2 2 75" xfId="560" xr:uid="{00000000-0005-0000-0000-000051010000}"/>
    <cellStyle name="Normal 10 3 2 2 2 2 76" xfId="561" xr:uid="{00000000-0005-0000-0000-000052010000}"/>
    <cellStyle name="Normal 10 3 2 2 2 2 77" xfId="562" xr:uid="{00000000-0005-0000-0000-000053010000}"/>
    <cellStyle name="Normal 10 3 2 2 2 2 78" xfId="563" xr:uid="{00000000-0005-0000-0000-000054010000}"/>
    <cellStyle name="Normal 10 3 2 2 2 2 8" xfId="564" xr:uid="{00000000-0005-0000-0000-000055010000}"/>
    <cellStyle name="Normal 10 3 2 2 2 2 9" xfId="565" xr:uid="{00000000-0005-0000-0000-000056010000}"/>
    <cellStyle name="Normal 10 3 2 2 2 3" xfId="566" xr:uid="{00000000-0005-0000-0000-000057010000}"/>
    <cellStyle name="Normal 10 3 2 2 3" xfId="567" xr:uid="{00000000-0005-0000-0000-000058010000}"/>
    <cellStyle name="Normal 10 3 2 3" xfId="568" xr:uid="{00000000-0005-0000-0000-000059010000}"/>
    <cellStyle name="Normal 10 3 3" xfId="569" xr:uid="{00000000-0005-0000-0000-00005A010000}"/>
    <cellStyle name="Normal 10 4" xfId="570" xr:uid="{00000000-0005-0000-0000-00005B010000}"/>
    <cellStyle name="Normal 10 4 2" xfId="571" xr:uid="{00000000-0005-0000-0000-00005C010000}"/>
    <cellStyle name="Normal 10 5" xfId="572" xr:uid="{00000000-0005-0000-0000-00005D010000}"/>
    <cellStyle name="Normal 10 5 2" xfId="573" xr:uid="{00000000-0005-0000-0000-00005E010000}"/>
    <cellStyle name="Normal 10 6" xfId="574" xr:uid="{00000000-0005-0000-0000-00005F010000}"/>
    <cellStyle name="Normal 10 6 2" xfId="575" xr:uid="{00000000-0005-0000-0000-000060010000}"/>
    <cellStyle name="Normal 10 7" xfId="576" xr:uid="{00000000-0005-0000-0000-000061010000}"/>
    <cellStyle name="Normal 10 7 2" xfId="577" xr:uid="{00000000-0005-0000-0000-000062010000}"/>
    <cellStyle name="Normal 10 8" xfId="578" xr:uid="{00000000-0005-0000-0000-000063010000}"/>
    <cellStyle name="Normal 10 8 2" xfId="579" xr:uid="{00000000-0005-0000-0000-000064010000}"/>
    <cellStyle name="Normal 10 9" xfId="580" xr:uid="{00000000-0005-0000-0000-000065010000}"/>
    <cellStyle name="Normal 11" xfId="581" xr:uid="{00000000-0005-0000-0000-000066010000}"/>
    <cellStyle name="Normal 11 2" xfId="582" xr:uid="{00000000-0005-0000-0000-000067010000}"/>
    <cellStyle name="Normal 11 9" xfId="583" xr:uid="{00000000-0005-0000-0000-000068010000}"/>
    <cellStyle name="Normal 12" xfId="584" xr:uid="{00000000-0005-0000-0000-000069010000}"/>
    <cellStyle name="Normal 12 2" xfId="585" xr:uid="{00000000-0005-0000-0000-00006A010000}"/>
    <cellStyle name="Normal 13" xfId="586" xr:uid="{00000000-0005-0000-0000-00006B010000}"/>
    <cellStyle name="Normal 13 2" xfId="587" xr:uid="{00000000-0005-0000-0000-00006C010000}"/>
    <cellStyle name="Normal 13 3" xfId="588" xr:uid="{00000000-0005-0000-0000-00006D010000}"/>
    <cellStyle name="Normal 13 4" xfId="589" xr:uid="{00000000-0005-0000-0000-00006E010000}"/>
    <cellStyle name="Normal 14" xfId="590" xr:uid="{00000000-0005-0000-0000-00006F010000}"/>
    <cellStyle name="Normal 14 2" xfId="591" xr:uid="{00000000-0005-0000-0000-000070010000}"/>
    <cellStyle name="Normal 15" xfId="592" xr:uid="{00000000-0005-0000-0000-000071010000}"/>
    <cellStyle name="Normal 15 2" xfId="593" xr:uid="{00000000-0005-0000-0000-000072010000}"/>
    <cellStyle name="Normal 16" xfId="594" xr:uid="{00000000-0005-0000-0000-000073010000}"/>
    <cellStyle name="Normal 16 2" xfId="595" xr:uid="{00000000-0005-0000-0000-000074010000}"/>
    <cellStyle name="Normal 17" xfId="596" xr:uid="{00000000-0005-0000-0000-000075010000}"/>
    <cellStyle name="Normal 17 2" xfId="597" xr:uid="{00000000-0005-0000-0000-000076010000}"/>
    <cellStyle name="Normal 18" xfId="598" xr:uid="{00000000-0005-0000-0000-000077010000}"/>
    <cellStyle name="Normal 19" xfId="599" xr:uid="{00000000-0005-0000-0000-000078010000}"/>
    <cellStyle name="Normal 2" xfId="1" xr:uid="{00000000-0005-0000-0000-000079010000}"/>
    <cellStyle name="Normal 2 10" xfId="600" xr:uid="{00000000-0005-0000-0000-00007A010000}"/>
    <cellStyle name="Normal 2 11" xfId="601" xr:uid="{00000000-0005-0000-0000-00007B010000}"/>
    <cellStyle name="Normal 2 12" xfId="602" xr:uid="{00000000-0005-0000-0000-00007C010000}"/>
    <cellStyle name="Normal 2 13" xfId="603" xr:uid="{00000000-0005-0000-0000-00007D010000}"/>
    <cellStyle name="Normal 2 14" xfId="604" xr:uid="{00000000-0005-0000-0000-00007E010000}"/>
    <cellStyle name="NORMAL 2 15" xfId="605" xr:uid="{00000000-0005-0000-0000-00007F010000}"/>
    <cellStyle name="NORMAL 2 16" xfId="606" xr:uid="{00000000-0005-0000-0000-000080010000}"/>
    <cellStyle name="NORMAL 2 17" xfId="607" xr:uid="{00000000-0005-0000-0000-000081010000}"/>
    <cellStyle name="NORMAL 2 18" xfId="608" xr:uid="{00000000-0005-0000-0000-000082010000}"/>
    <cellStyle name="Normal 2 19" xfId="451" xr:uid="{00000000-0005-0000-0000-000083010000}"/>
    <cellStyle name="Normal 2 2" xfId="3" xr:uid="{00000000-0005-0000-0000-000084010000}"/>
    <cellStyle name="Normal 2 2 2" xfId="609" xr:uid="{00000000-0005-0000-0000-000085010000}"/>
    <cellStyle name="Normal 2 2 2 2" xfId="610" xr:uid="{00000000-0005-0000-0000-000086010000}"/>
    <cellStyle name="Normal 2 2 2 2 2" xfId="611" xr:uid="{00000000-0005-0000-0000-000087010000}"/>
    <cellStyle name="Normal 2 2 2 3" xfId="612" xr:uid="{00000000-0005-0000-0000-000088010000}"/>
    <cellStyle name="Normal 2 2 2 4" xfId="613" xr:uid="{00000000-0005-0000-0000-000089010000}"/>
    <cellStyle name="Normal 2 2 2 5" xfId="614" xr:uid="{00000000-0005-0000-0000-00008A010000}"/>
    <cellStyle name="Normal 2 2 2 6" xfId="615" xr:uid="{00000000-0005-0000-0000-00008B010000}"/>
    <cellStyle name="Normal 2 2 2 7" xfId="616" xr:uid="{00000000-0005-0000-0000-00008C010000}"/>
    <cellStyle name="Normal 2 2 2 8" xfId="617" xr:uid="{00000000-0005-0000-0000-00008D010000}"/>
    <cellStyle name="Normal 2 2 3" xfId="618" xr:uid="{00000000-0005-0000-0000-00008E010000}"/>
    <cellStyle name="Normal 2 2 4" xfId="619" xr:uid="{00000000-0005-0000-0000-00008F010000}"/>
    <cellStyle name="Normal 2 2 5" xfId="620" xr:uid="{00000000-0005-0000-0000-000090010000}"/>
    <cellStyle name="Normal 2 2 6" xfId="621" xr:uid="{00000000-0005-0000-0000-000091010000}"/>
    <cellStyle name="Normal 2 2 7" xfId="622" xr:uid="{00000000-0005-0000-0000-000092010000}"/>
    <cellStyle name="Normal 2 2 8" xfId="623" xr:uid="{00000000-0005-0000-0000-000093010000}"/>
    <cellStyle name="Normal 2 2 9" xfId="624" xr:uid="{00000000-0005-0000-0000-000094010000}"/>
    <cellStyle name="Normal 2 20" xfId="1225" xr:uid="{00000000-0005-0000-0000-000095010000}"/>
    <cellStyle name="Normal 2 3" xfId="625" xr:uid="{00000000-0005-0000-0000-000096010000}"/>
    <cellStyle name="Normal 2 3 2" xfId="626" xr:uid="{00000000-0005-0000-0000-000097010000}"/>
    <cellStyle name="Normal 2 3 2 2" xfId="627" xr:uid="{00000000-0005-0000-0000-000098010000}"/>
    <cellStyle name="Normal 2 3 2 3" xfId="628" xr:uid="{00000000-0005-0000-0000-000099010000}"/>
    <cellStyle name="Normal 2 3 2 4" xfId="629" xr:uid="{00000000-0005-0000-0000-00009A010000}"/>
    <cellStyle name="Normal 2 3 2 5" xfId="630" xr:uid="{00000000-0005-0000-0000-00009B010000}"/>
    <cellStyle name="Normal 2 3 2 6" xfId="631" xr:uid="{00000000-0005-0000-0000-00009C010000}"/>
    <cellStyle name="Normal 2 3 2 7" xfId="632" xr:uid="{00000000-0005-0000-0000-00009D010000}"/>
    <cellStyle name="Normal 2 3 2 8" xfId="633" xr:uid="{00000000-0005-0000-0000-00009E010000}"/>
    <cellStyle name="Normal 2 3 3" xfId="634" xr:uid="{00000000-0005-0000-0000-00009F010000}"/>
    <cellStyle name="Normal 2 3 3 2" xfId="635" xr:uid="{00000000-0005-0000-0000-0000A0010000}"/>
    <cellStyle name="Normal 2 3 3 3" xfId="636" xr:uid="{00000000-0005-0000-0000-0000A1010000}"/>
    <cellStyle name="Normal 2 3 3 4" xfId="637" xr:uid="{00000000-0005-0000-0000-0000A2010000}"/>
    <cellStyle name="Normal 2 3 3 5" xfId="638" xr:uid="{00000000-0005-0000-0000-0000A3010000}"/>
    <cellStyle name="Normal 2 3 3 6" xfId="639" xr:uid="{00000000-0005-0000-0000-0000A4010000}"/>
    <cellStyle name="Normal 2 3 3 7" xfId="640" xr:uid="{00000000-0005-0000-0000-0000A5010000}"/>
    <cellStyle name="Normal 2 3 4" xfId="641" xr:uid="{00000000-0005-0000-0000-0000A6010000}"/>
    <cellStyle name="Normal 2 3 5" xfId="642" xr:uid="{00000000-0005-0000-0000-0000A7010000}"/>
    <cellStyle name="Normal 2 3 6" xfId="643" xr:uid="{00000000-0005-0000-0000-0000A8010000}"/>
    <cellStyle name="Normal 2 3 7" xfId="644" xr:uid="{00000000-0005-0000-0000-0000A9010000}"/>
    <cellStyle name="Normal 2 3 7 2" xfId="645" xr:uid="{00000000-0005-0000-0000-0000AA010000}"/>
    <cellStyle name="Normal 2 3 7 3" xfId="646" xr:uid="{00000000-0005-0000-0000-0000AB010000}"/>
    <cellStyle name="Normal 2 3 7 4" xfId="647" xr:uid="{00000000-0005-0000-0000-0000AC010000}"/>
    <cellStyle name="Normal 2 3 7 5" xfId="648" xr:uid="{00000000-0005-0000-0000-0000AD010000}"/>
    <cellStyle name="Normal 2 3 7 6" xfId="649" xr:uid="{00000000-0005-0000-0000-0000AE010000}"/>
    <cellStyle name="Normal 2 3 7 7" xfId="650" xr:uid="{00000000-0005-0000-0000-0000AF010000}"/>
    <cellStyle name="Normal 2 4" xfId="651" xr:uid="{00000000-0005-0000-0000-0000B0010000}"/>
    <cellStyle name="Normal 2 5" xfId="652" xr:uid="{00000000-0005-0000-0000-0000B1010000}"/>
    <cellStyle name="Normal 2 6" xfId="653" xr:uid="{00000000-0005-0000-0000-0000B2010000}"/>
    <cellStyle name="Normal 2 7" xfId="654" xr:uid="{00000000-0005-0000-0000-0000B3010000}"/>
    <cellStyle name="Normal 2 8" xfId="655" xr:uid="{00000000-0005-0000-0000-0000B4010000}"/>
    <cellStyle name="Normal 2 9" xfId="656" xr:uid="{00000000-0005-0000-0000-0000B5010000}"/>
    <cellStyle name="NORMAL 2 9 2" xfId="657" xr:uid="{00000000-0005-0000-0000-0000B6010000}"/>
    <cellStyle name="Normal 20" xfId="658" xr:uid="{00000000-0005-0000-0000-0000B7010000}"/>
    <cellStyle name="Normal 20 2" xfId="659" xr:uid="{00000000-0005-0000-0000-0000B8010000}"/>
    <cellStyle name="Normal 20 3" xfId="660" xr:uid="{00000000-0005-0000-0000-0000B9010000}"/>
    <cellStyle name="Normal 20 7 3 6 2" xfId="661" xr:uid="{00000000-0005-0000-0000-0000BA010000}"/>
    <cellStyle name="Normal 21" xfId="662" xr:uid="{00000000-0005-0000-0000-0000BB010000}"/>
    <cellStyle name="Normal 21 2" xfId="663" xr:uid="{00000000-0005-0000-0000-0000BC010000}"/>
    <cellStyle name="Normal 22" xfId="664" xr:uid="{00000000-0005-0000-0000-0000BD010000}"/>
    <cellStyle name="Normal 22 2" xfId="665" xr:uid="{00000000-0005-0000-0000-0000BE010000}"/>
    <cellStyle name="Normal 23" xfId="666" xr:uid="{00000000-0005-0000-0000-0000BF010000}"/>
    <cellStyle name="Normal 23 2" xfId="667" xr:uid="{00000000-0005-0000-0000-0000C0010000}"/>
    <cellStyle name="Normal 24" xfId="668" xr:uid="{00000000-0005-0000-0000-0000C1010000}"/>
    <cellStyle name="Normal 25" xfId="669" xr:uid="{00000000-0005-0000-0000-0000C2010000}"/>
    <cellStyle name="Normal 26" xfId="670" xr:uid="{00000000-0005-0000-0000-0000C3010000}"/>
    <cellStyle name="Normal 27" xfId="671" xr:uid="{00000000-0005-0000-0000-0000C4010000}"/>
    <cellStyle name="Normal 28" xfId="672" xr:uid="{00000000-0005-0000-0000-0000C5010000}"/>
    <cellStyle name="Normal 29" xfId="673" xr:uid="{00000000-0005-0000-0000-0000C6010000}"/>
    <cellStyle name="Normal 3" xfId="12" xr:uid="{00000000-0005-0000-0000-0000C7010000}"/>
    <cellStyle name="Normal 3 10" xfId="675" xr:uid="{00000000-0005-0000-0000-0000C8010000}"/>
    <cellStyle name="Normal 3 10 2" xfId="676" xr:uid="{00000000-0005-0000-0000-0000C9010000}"/>
    <cellStyle name="Normal 3 10 2 2" xfId="677" xr:uid="{00000000-0005-0000-0000-0000CA010000}"/>
    <cellStyle name="Normal 3 10 2 3" xfId="678" xr:uid="{00000000-0005-0000-0000-0000CB010000}"/>
    <cellStyle name="Normal 3 10 3" xfId="679" xr:uid="{00000000-0005-0000-0000-0000CC010000}"/>
    <cellStyle name="Normal 3 10 3 2" xfId="680" xr:uid="{00000000-0005-0000-0000-0000CD010000}"/>
    <cellStyle name="Normal 3 10 3 3" xfId="681" xr:uid="{00000000-0005-0000-0000-0000CE010000}"/>
    <cellStyle name="Normal 3 10 4" xfId="682" xr:uid="{00000000-0005-0000-0000-0000CF010000}"/>
    <cellStyle name="Normal 3 10 4 2" xfId="683" xr:uid="{00000000-0005-0000-0000-0000D0010000}"/>
    <cellStyle name="Normal 3 10 4 3" xfId="684" xr:uid="{00000000-0005-0000-0000-0000D1010000}"/>
    <cellStyle name="Normal 3 10 5" xfId="685" xr:uid="{00000000-0005-0000-0000-0000D2010000}"/>
    <cellStyle name="Normal 3 10 6" xfId="686" xr:uid="{00000000-0005-0000-0000-0000D3010000}"/>
    <cellStyle name="Normal 3 11" xfId="687" xr:uid="{00000000-0005-0000-0000-0000D4010000}"/>
    <cellStyle name="Normal 3 11 2" xfId="688" xr:uid="{00000000-0005-0000-0000-0000D5010000}"/>
    <cellStyle name="Normal 3 11 2 2" xfId="689" xr:uid="{00000000-0005-0000-0000-0000D6010000}"/>
    <cellStyle name="Normal 3 11 2 3" xfId="690" xr:uid="{00000000-0005-0000-0000-0000D7010000}"/>
    <cellStyle name="Normal 3 11 3" xfId="691" xr:uid="{00000000-0005-0000-0000-0000D8010000}"/>
    <cellStyle name="Normal 3 11 3 2" xfId="692" xr:uid="{00000000-0005-0000-0000-0000D9010000}"/>
    <cellStyle name="Normal 3 11 3 3" xfId="693" xr:uid="{00000000-0005-0000-0000-0000DA010000}"/>
    <cellStyle name="Normal 3 11 4" xfId="694" xr:uid="{00000000-0005-0000-0000-0000DB010000}"/>
    <cellStyle name="Normal 3 11 4 2" xfId="695" xr:uid="{00000000-0005-0000-0000-0000DC010000}"/>
    <cellStyle name="Normal 3 11 4 3" xfId="696" xr:uid="{00000000-0005-0000-0000-0000DD010000}"/>
    <cellStyle name="Normal 3 11 5" xfId="697" xr:uid="{00000000-0005-0000-0000-0000DE010000}"/>
    <cellStyle name="Normal 3 11 6" xfId="698" xr:uid="{00000000-0005-0000-0000-0000DF010000}"/>
    <cellStyle name="Normal 3 12" xfId="699" xr:uid="{00000000-0005-0000-0000-0000E0010000}"/>
    <cellStyle name="Normal 3 12 2" xfId="700" xr:uid="{00000000-0005-0000-0000-0000E1010000}"/>
    <cellStyle name="Normal 3 12 2 2" xfId="701" xr:uid="{00000000-0005-0000-0000-0000E2010000}"/>
    <cellStyle name="Normal 3 12 2 3" xfId="702" xr:uid="{00000000-0005-0000-0000-0000E3010000}"/>
    <cellStyle name="Normal 3 12 3" xfId="703" xr:uid="{00000000-0005-0000-0000-0000E4010000}"/>
    <cellStyle name="Normal 3 12 3 2" xfId="704" xr:uid="{00000000-0005-0000-0000-0000E5010000}"/>
    <cellStyle name="Normal 3 12 3 3" xfId="705" xr:uid="{00000000-0005-0000-0000-0000E6010000}"/>
    <cellStyle name="Normal 3 12 4" xfId="706" xr:uid="{00000000-0005-0000-0000-0000E7010000}"/>
    <cellStyle name="Normal 3 12 4 2" xfId="707" xr:uid="{00000000-0005-0000-0000-0000E8010000}"/>
    <cellStyle name="Normal 3 12 4 3" xfId="708" xr:uid="{00000000-0005-0000-0000-0000E9010000}"/>
    <cellStyle name="Normal 3 12 5" xfId="709" xr:uid="{00000000-0005-0000-0000-0000EA010000}"/>
    <cellStyle name="Normal 3 12 6" xfId="710" xr:uid="{00000000-0005-0000-0000-0000EB010000}"/>
    <cellStyle name="Normal 3 13" xfId="711" xr:uid="{00000000-0005-0000-0000-0000EC010000}"/>
    <cellStyle name="Normal 3 13 2" xfId="712" xr:uid="{00000000-0005-0000-0000-0000ED010000}"/>
    <cellStyle name="Normal 3 13 2 2" xfId="713" xr:uid="{00000000-0005-0000-0000-0000EE010000}"/>
    <cellStyle name="Normal 3 13 2 3" xfId="714" xr:uid="{00000000-0005-0000-0000-0000EF010000}"/>
    <cellStyle name="Normal 3 13 3" xfId="715" xr:uid="{00000000-0005-0000-0000-0000F0010000}"/>
    <cellStyle name="Normal 3 13 3 2" xfId="716" xr:uid="{00000000-0005-0000-0000-0000F1010000}"/>
    <cellStyle name="Normal 3 13 3 3" xfId="717" xr:uid="{00000000-0005-0000-0000-0000F2010000}"/>
    <cellStyle name="Normal 3 13 4" xfId="718" xr:uid="{00000000-0005-0000-0000-0000F3010000}"/>
    <cellStyle name="Normal 3 13 4 2" xfId="719" xr:uid="{00000000-0005-0000-0000-0000F4010000}"/>
    <cellStyle name="Normal 3 13 4 3" xfId="720" xr:uid="{00000000-0005-0000-0000-0000F5010000}"/>
    <cellStyle name="Normal 3 13 5" xfId="721" xr:uid="{00000000-0005-0000-0000-0000F6010000}"/>
    <cellStyle name="Normal 3 13 6" xfId="722" xr:uid="{00000000-0005-0000-0000-0000F7010000}"/>
    <cellStyle name="Normal 3 14" xfId="723" xr:uid="{00000000-0005-0000-0000-0000F8010000}"/>
    <cellStyle name="Normal 3 14 2" xfId="724" xr:uid="{00000000-0005-0000-0000-0000F9010000}"/>
    <cellStyle name="Normal 3 14 2 2" xfId="725" xr:uid="{00000000-0005-0000-0000-0000FA010000}"/>
    <cellStyle name="Normal 3 14 2 3" xfId="726" xr:uid="{00000000-0005-0000-0000-0000FB010000}"/>
    <cellStyle name="Normal 3 14 3" xfId="727" xr:uid="{00000000-0005-0000-0000-0000FC010000}"/>
    <cellStyle name="Normal 3 14 3 2" xfId="728" xr:uid="{00000000-0005-0000-0000-0000FD010000}"/>
    <cellStyle name="Normal 3 14 3 3" xfId="729" xr:uid="{00000000-0005-0000-0000-0000FE010000}"/>
    <cellStyle name="Normal 3 14 4" xfId="730" xr:uid="{00000000-0005-0000-0000-0000FF010000}"/>
    <cellStyle name="Normal 3 14 4 2" xfId="731" xr:uid="{00000000-0005-0000-0000-000000020000}"/>
    <cellStyle name="Normal 3 14 4 3" xfId="732" xr:uid="{00000000-0005-0000-0000-000001020000}"/>
    <cellStyle name="Normal 3 14 5" xfId="733" xr:uid="{00000000-0005-0000-0000-000002020000}"/>
    <cellStyle name="Normal 3 14 6" xfId="734" xr:uid="{00000000-0005-0000-0000-000003020000}"/>
    <cellStyle name="Normal 3 15" xfId="735" xr:uid="{00000000-0005-0000-0000-000004020000}"/>
    <cellStyle name="Normal 3 15 2" xfId="736" xr:uid="{00000000-0005-0000-0000-000005020000}"/>
    <cellStyle name="Normal 3 15 3" xfId="737" xr:uid="{00000000-0005-0000-0000-000006020000}"/>
    <cellStyle name="Normal 3 16" xfId="738" xr:uid="{00000000-0005-0000-0000-000007020000}"/>
    <cellStyle name="Normal 3 16 2" xfId="739" xr:uid="{00000000-0005-0000-0000-000008020000}"/>
    <cellStyle name="Normal 3 16 3" xfId="740" xr:uid="{00000000-0005-0000-0000-000009020000}"/>
    <cellStyle name="Normal 3 17" xfId="741" xr:uid="{00000000-0005-0000-0000-00000A020000}"/>
    <cellStyle name="Normal 3 17 2" xfId="742" xr:uid="{00000000-0005-0000-0000-00000B020000}"/>
    <cellStyle name="Normal 3 17 3" xfId="743" xr:uid="{00000000-0005-0000-0000-00000C020000}"/>
    <cellStyle name="Normal 3 18" xfId="744" xr:uid="{00000000-0005-0000-0000-00000D020000}"/>
    <cellStyle name="Normal 3 18 2" xfId="745" xr:uid="{00000000-0005-0000-0000-00000E020000}"/>
    <cellStyle name="Normal 3 18 3" xfId="746" xr:uid="{00000000-0005-0000-0000-00000F020000}"/>
    <cellStyle name="Normal 3 19" xfId="747" xr:uid="{00000000-0005-0000-0000-000010020000}"/>
    <cellStyle name="Normal 3 2" xfId="17" xr:uid="{00000000-0005-0000-0000-000011020000}"/>
    <cellStyle name="Normal 3 2 2" xfId="195" xr:uid="{00000000-0005-0000-0000-000012020000}"/>
    <cellStyle name="Normal 3 2 2 2" xfId="750" xr:uid="{00000000-0005-0000-0000-000013020000}"/>
    <cellStyle name="Normal 3 2 2 3" xfId="751" xr:uid="{00000000-0005-0000-0000-000014020000}"/>
    <cellStyle name="Normal 3 2 2 4" xfId="749" xr:uid="{00000000-0005-0000-0000-000015020000}"/>
    <cellStyle name="Normal 3 2 3" xfId="752" xr:uid="{00000000-0005-0000-0000-000016020000}"/>
    <cellStyle name="Normal 3 2 3 2" xfId="753" xr:uid="{00000000-0005-0000-0000-000017020000}"/>
    <cellStyle name="Normal 3 2 3 3" xfId="754" xr:uid="{00000000-0005-0000-0000-000018020000}"/>
    <cellStyle name="Normal 3 2 4" xfId="755" xr:uid="{00000000-0005-0000-0000-000019020000}"/>
    <cellStyle name="Normal 3 2 4 2" xfId="756" xr:uid="{00000000-0005-0000-0000-00001A020000}"/>
    <cellStyle name="Normal 3 2 4 3" xfId="757" xr:uid="{00000000-0005-0000-0000-00001B020000}"/>
    <cellStyle name="Normal 3 2 5" xfId="758" xr:uid="{00000000-0005-0000-0000-00001C020000}"/>
    <cellStyle name="Normal 3 2 6" xfId="759" xr:uid="{00000000-0005-0000-0000-00001D020000}"/>
    <cellStyle name="Normal 3 2 7" xfId="748" xr:uid="{00000000-0005-0000-0000-00001E020000}"/>
    <cellStyle name="Normal 3 20" xfId="760" xr:uid="{00000000-0005-0000-0000-00001F020000}"/>
    <cellStyle name="Normal 3 21" xfId="761" xr:uid="{00000000-0005-0000-0000-000020020000}"/>
    <cellStyle name="Normal 3 22" xfId="762" xr:uid="{00000000-0005-0000-0000-000021020000}"/>
    <cellStyle name="Normal 3 23" xfId="674" xr:uid="{00000000-0005-0000-0000-000022020000}"/>
    <cellStyle name="Normal 3 3" xfId="26" xr:uid="{00000000-0005-0000-0000-000023020000}"/>
    <cellStyle name="Normal 3 3 2" xfId="764" xr:uid="{00000000-0005-0000-0000-000024020000}"/>
    <cellStyle name="Normal 3 3 2 2" xfId="765" xr:uid="{00000000-0005-0000-0000-000025020000}"/>
    <cellStyle name="Normal 3 3 2 3" xfId="766" xr:uid="{00000000-0005-0000-0000-000026020000}"/>
    <cellStyle name="Normal 3 3 3" xfId="767" xr:uid="{00000000-0005-0000-0000-000027020000}"/>
    <cellStyle name="Normal 3 3 3 2" xfId="768" xr:uid="{00000000-0005-0000-0000-000028020000}"/>
    <cellStyle name="Normal 3 3 3 3" xfId="769" xr:uid="{00000000-0005-0000-0000-000029020000}"/>
    <cellStyle name="Normal 3 3 4" xfId="770" xr:uid="{00000000-0005-0000-0000-00002A020000}"/>
    <cellStyle name="Normal 3 3 4 2" xfId="771" xr:uid="{00000000-0005-0000-0000-00002B020000}"/>
    <cellStyle name="Normal 3 3 4 3" xfId="772" xr:uid="{00000000-0005-0000-0000-00002C020000}"/>
    <cellStyle name="Normal 3 3 5" xfId="773" xr:uid="{00000000-0005-0000-0000-00002D020000}"/>
    <cellStyle name="Normal 3 3 6" xfId="774" xr:uid="{00000000-0005-0000-0000-00002E020000}"/>
    <cellStyle name="Normal 3 3 7" xfId="763" xr:uid="{00000000-0005-0000-0000-00002F020000}"/>
    <cellStyle name="Normal 3 4" xfId="24" xr:uid="{00000000-0005-0000-0000-000030020000}"/>
    <cellStyle name="Normal 3 4 2" xfId="776" xr:uid="{00000000-0005-0000-0000-000031020000}"/>
    <cellStyle name="Normal 3 4 2 2" xfId="777" xr:uid="{00000000-0005-0000-0000-000032020000}"/>
    <cellStyle name="Normal 3 4 2 3" xfId="778" xr:uid="{00000000-0005-0000-0000-000033020000}"/>
    <cellStyle name="Normal 3 4 3" xfId="779" xr:uid="{00000000-0005-0000-0000-000034020000}"/>
    <cellStyle name="Normal 3 4 3 2" xfId="780" xr:uid="{00000000-0005-0000-0000-000035020000}"/>
    <cellStyle name="Normal 3 4 3 3" xfId="781" xr:uid="{00000000-0005-0000-0000-000036020000}"/>
    <cellStyle name="Normal 3 4 4" xfId="782" xr:uid="{00000000-0005-0000-0000-000037020000}"/>
    <cellStyle name="Normal 3 4 4 2" xfId="783" xr:uid="{00000000-0005-0000-0000-000038020000}"/>
    <cellStyle name="Normal 3 4 4 3" xfId="784" xr:uid="{00000000-0005-0000-0000-000039020000}"/>
    <cellStyle name="Normal 3 4 5" xfId="785" xr:uid="{00000000-0005-0000-0000-00003A020000}"/>
    <cellStyle name="Normal 3 4 6" xfId="786" xr:uid="{00000000-0005-0000-0000-00003B020000}"/>
    <cellStyle name="Normal 3 4 7" xfId="775" xr:uid="{00000000-0005-0000-0000-00003C020000}"/>
    <cellStyle name="Normal 3 5" xfId="194" xr:uid="{00000000-0005-0000-0000-00003D020000}"/>
    <cellStyle name="Normal 3 5 2" xfId="788" xr:uid="{00000000-0005-0000-0000-00003E020000}"/>
    <cellStyle name="Normal 3 5 2 2" xfId="789" xr:uid="{00000000-0005-0000-0000-00003F020000}"/>
    <cellStyle name="Normal 3 5 2 3" xfId="790" xr:uid="{00000000-0005-0000-0000-000040020000}"/>
    <cellStyle name="Normal 3 5 3" xfId="791" xr:uid="{00000000-0005-0000-0000-000041020000}"/>
    <cellStyle name="Normal 3 5 3 2" xfId="792" xr:uid="{00000000-0005-0000-0000-000042020000}"/>
    <cellStyle name="Normal 3 5 3 3" xfId="793" xr:uid="{00000000-0005-0000-0000-000043020000}"/>
    <cellStyle name="Normal 3 5 4" xfId="794" xr:uid="{00000000-0005-0000-0000-000044020000}"/>
    <cellStyle name="Normal 3 5 4 2" xfId="795" xr:uid="{00000000-0005-0000-0000-000045020000}"/>
    <cellStyle name="Normal 3 5 4 3" xfId="796" xr:uid="{00000000-0005-0000-0000-000046020000}"/>
    <cellStyle name="Normal 3 5 5" xfId="797" xr:uid="{00000000-0005-0000-0000-000047020000}"/>
    <cellStyle name="Normal 3 5 6" xfId="798" xr:uid="{00000000-0005-0000-0000-000048020000}"/>
    <cellStyle name="Normal 3 5 7" xfId="787" xr:uid="{00000000-0005-0000-0000-000049020000}"/>
    <cellStyle name="Normal 3 6" xfId="799" xr:uid="{00000000-0005-0000-0000-00004A020000}"/>
    <cellStyle name="Normal 3 6 2" xfId="800" xr:uid="{00000000-0005-0000-0000-00004B020000}"/>
    <cellStyle name="Normal 3 6 2 2" xfId="801" xr:uid="{00000000-0005-0000-0000-00004C020000}"/>
    <cellStyle name="Normal 3 6 2 3" xfId="802" xr:uid="{00000000-0005-0000-0000-00004D020000}"/>
    <cellStyle name="Normal 3 6 3" xfId="803" xr:uid="{00000000-0005-0000-0000-00004E020000}"/>
    <cellStyle name="Normal 3 6 3 2" xfId="804" xr:uid="{00000000-0005-0000-0000-00004F020000}"/>
    <cellStyle name="Normal 3 6 3 3" xfId="805" xr:uid="{00000000-0005-0000-0000-000050020000}"/>
    <cellStyle name="Normal 3 6 4" xfId="806" xr:uid="{00000000-0005-0000-0000-000051020000}"/>
    <cellStyle name="Normal 3 6 4 2" xfId="807" xr:uid="{00000000-0005-0000-0000-000052020000}"/>
    <cellStyle name="Normal 3 6 4 3" xfId="808" xr:uid="{00000000-0005-0000-0000-000053020000}"/>
    <cellStyle name="Normal 3 6 5" xfId="809" xr:uid="{00000000-0005-0000-0000-000054020000}"/>
    <cellStyle name="Normal 3 6 6" xfId="810" xr:uid="{00000000-0005-0000-0000-000055020000}"/>
    <cellStyle name="Normal 3 7" xfId="811" xr:uid="{00000000-0005-0000-0000-000056020000}"/>
    <cellStyle name="Normal 3 7 2" xfId="812" xr:uid="{00000000-0005-0000-0000-000057020000}"/>
    <cellStyle name="Normal 3 7 2 2" xfId="813" xr:uid="{00000000-0005-0000-0000-000058020000}"/>
    <cellStyle name="Normal 3 7 2 3" xfId="814" xr:uid="{00000000-0005-0000-0000-000059020000}"/>
    <cellStyle name="Normal 3 7 3" xfId="815" xr:uid="{00000000-0005-0000-0000-00005A020000}"/>
    <cellStyle name="Normal 3 7 3 2" xfId="816" xr:uid="{00000000-0005-0000-0000-00005B020000}"/>
    <cellStyle name="Normal 3 7 3 3" xfId="817" xr:uid="{00000000-0005-0000-0000-00005C020000}"/>
    <cellStyle name="Normal 3 7 4" xfId="818" xr:uid="{00000000-0005-0000-0000-00005D020000}"/>
    <cellStyle name="Normal 3 7 4 2" xfId="819" xr:uid="{00000000-0005-0000-0000-00005E020000}"/>
    <cellStyle name="Normal 3 7 4 3" xfId="820" xr:uid="{00000000-0005-0000-0000-00005F020000}"/>
    <cellStyle name="Normal 3 7 5" xfId="821" xr:uid="{00000000-0005-0000-0000-000060020000}"/>
    <cellStyle name="Normal 3 7 6" xfId="822" xr:uid="{00000000-0005-0000-0000-000061020000}"/>
    <cellStyle name="Normal 3 8" xfId="823" xr:uid="{00000000-0005-0000-0000-000062020000}"/>
    <cellStyle name="Normal 3 8 2" xfId="824" xr:uid="{00000000-0005-0000-0000-000063020000}"/>
    <cellStyle name="Normal 3 8 2 2" xfId="825" xr:uid="{00000000-0005-0000-0000-000064020000}"/>
    <cellStyle name="Normal 3 8 2 3" xfId="826" xr:uid="{00000000-0005-0000-0000-000065020000}"/>
    <cellStyle name="Normal 3 8 3" xfId="827" xr:uid="{00000000-0005-0000-0000-000066020000}"/>
    <cellStyle name="Normal 3 8 3 2" xfId="828" xr:uid="{00000000-0005-0000-0000-000067020000}"/>
    <cellStyle name="Normal 3 8 3 3" xfId="829" xr:uid="{00000000-0005-0000-0000-000068020000}"/>
    <cellStyle name="Normal 3 8 4" xfId="830" xr:uid="{00000000-0005-0000-0000-000069020000}"/>
    <cellStyle name="Normal 3 8 4 2" xfId="831" xr:uid="{00000000-0005-0000-0000-00006A020000}"/>
    <cellStyle name="Normal 3 8 4 3" xfId="832" xr:uid="{00000000-0005-0000-0000-00006B020000}"/>
    <cellStyle name="Normal 3 8 5" xfId="833" xr:uid="{00000000-0005-0000-0000-00006C020000}"/>
    <cellStyle name="Normal 3 8 6" xfId="834" xr:uid="{00000000-0005-0000-0000-00006D020000}"/>
    <cellStyle name="Normal 3 9" xfId="835" xr:uid="{00000000-0005-0000-0000-00006E020000}"/>
    <cellStyle name="Normal 3 9 2" xfId="836" xr:uid="{00000000-0005-0000-0000-00006F020000}"/>
    <cellStyle name="Normal 3 9 2 2" xfId="837" xr:uid="{00000000-0005-0000-0000-000070020000}"/>
    <cellStyle name="Normal 3 9 2 3" xfId="838" xr:uid="{00000000-0005-0000-0000-000071020000}"/>
    <cellStyle name="Normal 3 9 3" xfId="839" xr:uid="{00000000-0005-0000-0000-000072020000}"/>
    <cellStyle name="Normal 3 9 3 2" xfId="840" xr:uid="{00000000-0005-0000-0000-000073020000}"/>
    <cellStyle name="Normal 3 9 3 3" xfId="841" xr:uid="{00000000-0005-0000-0000-000074020000}"/>
    <cellStyle name="Normal 3 9 4" xfId="842" xr:uid="{00000000-0005-0000-0000-000075020000}"/>
    <cellStyle name="Normal 3 9 4 2" xfId="843" xr:uid="{00000000-0005-0000-0000-000076020000}"/>
    <cellStyle name="Normal 3 9 4 3" xfId="844" xr:uid="{00000000-0005-0000-0000-000077020000}"/>
    <cellStyle name="Normal 3 9 5" xfId="845" xr:uid="{00000000-0005-0000-0000-000078020000}"/>
    <cellStyle name="Normal 3 9 6" xfId="846" xr:uid="{00000000-0005-0000-0000-000079020000}"/>
    <cellStyle name="Normal 30" xfId="450" xr:uid="{00000000-0005-0000-0000-00007A020000}"/>
    <cellStyle name="Normal 31" xfId="1308" xr:uid="{00000000-0005-0000-0000-00007B020000}"/>
    <cellStyle name="Normal 4" xfId="28" xr:uid="{00000000-0005-0000-0000-00007C020000}"/>
    <cellStyle name="Normal 4 2" xfId="196" xr:uid="{00000000-0005-0000-0000-00007D020000}"/>
    <cellStyle name="Normal 4 2 2" xfId="849" xr:uid="{00000000-0005-0000-0000-00007E020000}"/>
    <cellStyle name="Normal 4 2 3" xfId="848" xr:uid="{00000000-0005-0000-0000-00007F020000}"/>
    <cellStyle name="Normal 4 3" xfId="850" xr:uid="{00000000-0005-0000-0000-000080020000}"/>
    <cellStyle name="Normal 4 3 2" xfId="851" xr:uid="{00000000-0005-0000-0000-000081020000}"/>
    <cellStyle name="Normal 4 4" xfId="852" xr:uid="{00000000-0005-0000-0000-000082020000}"/>
    <cellStyle name="Normal 4 4 2" xfId="853" xr:uid="{00000000-0005-0000-0000-000083020000}"/>
    <cellStyle name="Normal 4 4 2 2" xfId="854" xr:uid="{00000000-0005-0000-0000-000084020000}"/>
    <cellStyle name="Normal 4 4 2 2 2" xfId="855" xr:uid="{00000000-0005-0000-0000-000085020000}"/>
    <cellStyle name="Normal 4 4 2 2 2 2" xfId="856" xr:uid="{00000000-0005-0000-0000-000086020000}"/>
    <cellStyle name="Normal 4 4 2 2 3" xfId="857" xr:uid="{00000000-0005-0000-0000-000087020000}"/>
    <cellStyle name="Normal 4 4 2 3" xfId="858" xr:uid="{00000000-0005-0000-0000-000088020000}"/>
    <cellStyle name="Normal 4 4 2 3 2" xfId="859" xr:uid="{00000000-0005-0000-0000-000089020000}"/>
    <cellStyle name="Normal 4 4 2 3 2 2" xfId="860" xr:uid="{00000000-0005-0000-0000-00008A020000}"/>
    <cellStyle name="Normal 4 4 2 3 2 2 2" xfId="861" xr:uid="{00000000-0005-0000-0000-00008B020000}"/>
    <cellStyle name="Normal 4 4 2 3 2 3" xfId="862" xr:uid="{00000000-0005-0000-0000-00008C020000}"/>
    <cellStyle name="Normal 4 4 2 3 2 3 2" xfId="863" xr:uid="{00000000-0005-0000-0000-00008D020000}"/>
    <cellStyle name="Normal 4 4 2 3 2 4" xfId="864" xr:uid="{00000000-0005-0000-0000-00008E020000}"/>
    <cellStyle name="Normal 4 4 2 3 2 4 2" xfId="865" xr:uid="{00000000-0005-0000-0000-00008F020000}"/>
    <cellStyle name="Normal 4 4 2 3 2 4 2 2" xfId="866" xr:uid="{00000000-0005-0000-0000-000090020000}"/>
    <cellStyle name="Normal 4 4 2 3 2 4 2 2 2" xfId="867" xr:uid="{00000000-0005-0000-0000-000091020000}"/>
    <cellStyle name="Normal 4 4 2 3 2 4 2 3" xfId="868" xr:uid="{00000000-0005-0000-0000-000092020000}"/>
    <cellStyle name="Normal 4 4 2 3 2 4 2 3 2" xfId="869" xr:uid="{00000000-0005-0000-0000-000093020000}"/>
    <cellStyle name="Normal 4 4 2 3 2 4 2 4" xfId="870" xr:uid="{00000000-0005-0000-0000-000094020000}"/>
    <cellStyle name="Normal 4 4 2 3 2 4 2 4 2" xfId="871" xr:uid="{00000000-0005-0000-0000-000095020000}"/>
    <cellStyle name="Normal 4 4 2 3 2 4 2 4 2 2" xfId="872" xr:uid="{00000000-0005-0000-0000-000096020000}"/>
    <cellStyle name="Normal 4 4 2 3 2 4 2 4 2 2 2" xfId="873" xr:uid="{00000000-0005-0000-0000-000097020000}"/>
    <cellStyle name="Normal 4 4 2 3 2 4 2 4 2 2 2 2" xfId="874" xr:uid="{00000000-0005-0000-0000-000098020000}"/>
    <cellStyle name="Normal 4 4 2 3 2 4 2 4 2 2 3" xfId="875" xr:uid="{00000000-0005-0000-0000-000099020000}"/>
    <cellStyle name="Normal 4 4 2 3 2 4 2 4 2 2 3 2" xfId="876" xr:uid="{00000000-0005-0000-0000-00009A020000}"/>
    <cellStyle name="Normal 4 4 2 3 2 4 2 4 2 2 3 2 10" xfId="877" xr:uid="{00000000-0005-0000-0000-00009B020000}"/>
    <cellStyle name="Normal 4 4 2 3 2 4 2 4 2 2 3 2 10 2" xfId="878" xr:uid="{00000000-0005-0000-0000-00009C020000}"/>
    <cellStyle name="Normal 4 4 2 3 2 4 2 4 2 2 3 2 11" xfId="879" xr:uid="{00000000-0005-0000-0000-00009D020000}"/>
    <cellStyle name="Normal 4 4 2 3 2 4 2 4 2 2 3 2 11 2" xfId="880" xr:uid="{00000000-0005-0000-0000-00009E020000}"/>
    <cellStyle name="Normal 4 4 2 3 2 4 2 4 2 2 3 2 12" xfId="881" xr:uid="{00000000-0005-0000-0000-00009F020000}"/>
    <cellStyle name="Normal 4 4 2 3 2 4 2 4 2 2 3 2 12 2" xfId="882" xr:uid="{00000000-0005-0000-0000-0000A0020000}"/>
    <cellStyle name="Normal 4 4 2 3 2 4 2 4 2 2 3 2 13" xfId="883" xr:uid="{00000000-0005-0000-0000-0000A1020000}"/>
    <cellStyle name="Normal 4 4 2 3 2 4 2 4 2 2 3 2 13 2" xfId="884" xr:uid="{00000000-0005-0000-0000-0000A2020000}"/>
    <cellStyle name="Normal 4 4 2 3 2 4 2 4 2 2 3 2 14" xfId="885" xr:uid="{00000000-0005-0000-0000-0000A3020000}"/>
    <cellStyle name="Normal 4 4 2 3 2 4 2 4 2 2 3 2 14 2" xfId="886" xr:uid="{00000000-0005-0000-0000-0000A4020000}"/>
    <cellStyle name="Normal 4 4 2 3 2 4 2 4 2 2 3 2 15" xfId="887" xr:uid="{00000000-0005-0000-0000-0000A5020000}"/>
    <cellStyle name="Normal 4 4 2 3 2 4 2 4 2 2 3 2 15 2" xfId="888" xr:uid="{00000000-0005-0000-0000-0000A6020000}"/>
    <cellStyle name="Normal 4 4 2 3 2 4 2 4 2 2 3 2 16" xfId="889" xr:uid="{00000000-0005-0000-0000-0000A7020000}"/>
    <cellStyle name="Normal 4 4 2 3 2 4 2 4 2 2 3 2 16 2" xfId="890" xr:uid="{00000000-0005-0000-0000-0000A8020000}"/>
    <cellStyle name="Normal 4 4 2 3 2 4 2 4 2 2 3 2 17" xfId="891" xr:uid="{00000000-0005-0000-0000-0000A9020000}"/>
    <cellStyle name="Normal 4 4 2 3 2 4 2 4 2 2 3 2 17 2" xfId="892" xr:uid="{00000000-0005-0000-0000-0000AA020000}"/>
    <cellStyle name="Normal 4 4 2 3 2 4 2 4 2 2 3 2 18" xfId="893" xr:uid="{00000000-0005-0000-0000-0000AB020000}"/>
    <cellStyle name="Normal 4 4 2 3 2 4 2 4 2 2 3 2 18 2" xfId="894" xr:uid="{00000000-0005-0000-0000-0000AC020000}"/>
    <cellStyle name="Normal 4 4 2 3 2 4 2 4 2 2 3 2 19" xfId="895" xr:uid="{00000000-0005-0000-0000-0000AD020000}"/>
    <cellStyle name="Normal 4 4 2 3 2 4 2 4 2 2 3 2 19 2" xfId="896" xr:uid="{00000000-0005-0000-0000-0000AE020000}"/>
    <cellStyle name="Normal 4 4 2 3 2 4 2 4 2 2 3 2 2" xfId="897" xr:uid="{00000000-0005-0000-0000-0000AF020000}"/>
    <cellStyle name="Normal 4 4 2 3 2 4 2 4 2 2 3 2 2 2" xfId="898" xr:uid="{00000000-0005-0000-0000-0000B0020000}"/>
    <cellStyle name="Normal 4 4 2 3 2 4 2 4 2 2 3 2 20" xfId="899" xr:uid="{00000000-0005-0000-0000-0000B1020000}"/>
    <cellStyle name="Normal 4 4 2 3 2 4 2 4 2 2 3 2 20 2" xfId="900" xr:uid="{00000000-0005-0000-0000-0000B2020000}"/>
    <cellStyle name="Normal 4 4 2 3 2 4 2 4 2 2 3 2 21" xfId="901" xr:uid="{00000000-0005-0000-0000-0000B3020000}"/>
    <cellStyle name="Normal 4 4 2 3 2 4 2 4 2 2 3 2 21 2" xfId="902" xr:uid="{00000000-0005-0000-0000-0000B4020000}"/>
    <cellStyle name="Normal 4 4 2 3 2 4 2 4 2 2 3 2 22" xfId="903" xr:uid="{00000000-0005-0000-0000-0000B5020000}"/>
    <cellStyle name="Normal 4 4 2 3 2 4 2 4 2 2 3 2 22 2" xfId="904" xr:uid="{00000000-0005-0000-0000-0000B6020000}"/>
    <cellStyle name="Normal 4 4 2 3 2 4 2 4 2 2 3 2 23" xfId="905" xr:uid="{00000000-0005-0000-0000-0000B7020000}"/>
    <cellStyle name="Normal 4 4 2 3 2 4 2 4 2 2 3 2 23 2" xfId="906" xr:uid="{00000000-0005-0000-0000-0000B8020000}"/>
    <cellStyle name="Normal 4 4 2 3 2 4 2 4 2 2 3 2 24" xfId="907" xr:uid="{00000000-0005-0000-0000-0000B9020000}"/>
    <cellStyle name="Normal 4 4 2 3 2 4 2 4 2 2 3 2 24 2" xfId="908" xr:uid="{00000000-0005-0000-0000-0000BA020000}"/>
    <cellStyle name="Normal 4 4 2 3 2 4 2 4 2 2 3 2 25" xfId="909" xr:uid="{00000000-0005-0000-0000-0000BB020000}"/>
    <cellStyle name="Normal 4 4 2 3 2 4 2 4 2 2 3 2 25 2" xfId="910" xr:uid="{00000000-0005-0000-0000-0000BC020000}"/>
    <cellStyle name="Normal 4 4 2 3 2 4 2 4 2 2 3 2 26" xfId="911" xr:uid="{00000000-0005-0000-0000-0000BD020000}"/>
    <cellStyle name="Normal 4 4 2 3 2 4 2 4 2 2 3 2 26 2" xfId="912" xr:uid="{00000000-0005-0000-0000-0000BE020000}"/>
    <cellStyle name="Normal 4 4 2 3 2 4 2 4 2 2 3 2 27" xfId="913" xr:uid="{00000000-0005-0000-0000-0000BF020000}"/>
    <cellStyle name="Normal 4 4 2 3 2 4 2 4 2 2 3 2 27 2" xfId="914" xr:uid="{00000000-0005-0000-0000-0000C0020000}"/>
    <cellStyle name="Normal 4 4 2 3 2 4 2 4 2 2 3 2 28" xfId="915" xr:uid="{00000000-0005-0000-0000-0000C1020000}"/>
    <cellStyle name="Normal 4 4 2 3 2 4 2 4 2 2 3 2 28 2" xfId="916" xr:uid="{00000000-0005-0000-0000-0000C2020000}"/>
    <cellStyle name="Normal 4 4 2 3 2 4 2 4 2 2 3 2 29" xfId="917" xr:uid="{00000000-0005-0000-0000-0000C3020000}"/>
    <cellStyle name="Normal 4 4 2 3 2 4 2 4 2 2 3 2 29 2" xfId="918" xr:uid="{00000000-0005-0000-0000-0000C4020000}"/>
    <cellStyle name="Normal 4 4 2 3 2 4 2 4 2 2 3 2 3" xfId="919" xr:uid="{00000000-0005-0000-0000-0000C5020000}"/>
    <cellStyle name="Normal 4 4 2 3 2 4 2 4 2 2 3 2 3 2" xfId="920" xr:uid="{00000000-0005-0000-0000-0000C6020000}"/>
    <cellStyle name="Normal 4 4 2 3 2 4 2 4 2 2 3 2 30" xfId="921" xr:uid="{00000000-0005-0000-0000-0000C7020000}"/>
    <cellStyle name="Normal 4 4 2 3 2 4 2 4 2 2 3 2 30 2" xfId="922" xr:uid="{00000000-0005-0000-0000-0000C8020000}"/>
    <cellStyle name="Normal 4 4 2 3 2 4 2 4 2 2 3 2 31" xfId="923" xr:uid="{00000000-0005-0000-0000-0000C9020000}"/>
    <cellStyle name="Normal 4 4 2 3 2 4 2 4 2 2 3 2 31 2" xfId="924" xr:uid="{00000000-0005-0000-0000-0000CA020000}"/>
    <cellStyle name="Normal 4 4 2 3 2 4 2 4 2 2 3 2 32" xfId="925" xr:uid="{00000000-0005-0000-0000-0000CB020000}"/>
    <cellStyle name="Normal 4 4 2 3 2 4 2 4 2 2 3 2 32 2" xfId="926" xr:uid="{00000000-0005-0000-0000-0000CC020000}"/>
    <cellStyle name="Normal 4 4 2 3 2 4 2 4 2 2 3 2 33" xfId="927" xr:uid="{00000000-0005-0000-0000-0000CD020000}"/>
    <cellStyle name="Normal 4 4 2 3 2 4 2 4 2 2 3 2 33 2" xfId="928" xr:uid="{00000000-0005-0000-0000-0000CE020000}"/>
    <cellStyle name="Normal 4 4 2 3 2 4 2 4 2 2 3 2 34" xfId="929" xr:uid="{00000000-0005-0000-0000-0000CF020000}"/>
    <cellStyle name="Normal 4 4 2 3 2 4 2 4 2 2 3 2 34 2" xfId="930" xr:uid="{00000000-0005-0000-0000-0000D0020000}"/>
    <cellStyle name="Normal 4 4 2 3 2 4 2 4 2 2 3 2 35" xfId="931" xr:uid="{00000000-0005-0000-0000-0000D1020000}"/>
    <cellStyle name="Normal 4 4 2 3 2 4 2 4 2 2 3 2 35 2" xfId="932" xr:uid="{00000000-0005-0000-0000-0000D2020000}"/>
    <cellStyle name="Normal 4 4 2 3 2 4 2 4 2 2 3 2 36" xfId="933" xr:uid="{00000000-0005-0000-0000-0000D3020000}"/>
    <cellStyle name="Normal 4 4 2 3 2 4 2 4 2 2 3 2 36 2" xfId="934" xr:uid="{00000000-0005-0000-0000-0000D4020000}"/>
    <cellStyle name="Normal 4 4 2 3 2 4 2 4 2 2 3 2 37" xfId="935" xr:uid="{00000000-0005-0000-0000-0000D5020000}"/>
    <cellStyle name="Normal 4 4 2 3 2 4 2 4 2 2 3 2 37 2" xfId="936" xr:uid="{00000000-0005-0000-0000-0000D6020000}"/>
    <cellStyle name="Normal 4 4 2 3 2 4 2 4 2 2 3 2 38" xfId="937" xr:uid="{00000000-0005-0000-0000-0000D7020000}"/>
    <cellStyle name="Normal 4 4 2 3 2 4 2 4 2 2 3 2 38 2" xfId="938" xr:uid="{00000000-0005-0000-0000-0000D8020000}"/>
    <cellStyle name="Normal 4 4 2 3 2 4 2 4 2 2 3 2 39" xfId="939" xr:uid="{00000000-0005-0000-0000-0000D9020000}"/>
    <cellStyle name="Normal 4 4 2 3 2 4 2 4 2 2 3 2 39 2" xfId="940" xr:uid="{00000000-0005-0000-0000-0000DA020000}"/>
    <cellStyle name="Normal 4 4 2 3 2 4 2 4 2 2 3 2 4" xfId="941" xr:uid="{00000000-0005-0000-0000-0000DB020000}"/>
    <cellStyle name="Normal 4 4 2 3 2 4 2 4 2 2 3 2 4 2" xfId="942" xr:uid="{00000000-0005-0000-0000-0000DC020000}"/>
    <cellStyle name="Normal 4 4 2 3 2 4 2 4 2 2 3 2 40" xfId="943" xr:uid="{00000000-0005-0000-0000-0000DD020000}"/>
    <cellStyle name="Normal 4 4 2 3 2 4 2 4 2 2 3 2 40 2" xfId="944" xr:uid="{00000000-0005-0000-0000-0000DE020000}"/>
    <cellStyle name="Normal 4 4 2 3 2 4 2 4 2 2 3 2 41" xfId="945" xr:uid="{00000000-0005-0000-0000-0000DF020000}"/>
    <cellStyle name="Normal 4 4 2 3 2 4 2 4 2 2 3 2 41 2" xfId="946" xr:uid="{00000000-0005-0000-0000-0000E0020000}"/>
    <cellStyle name="Normal 4 4 2 3 2 4 2 4 2 2 3 2 42" xfId="947" xr:uid="{00000000-0005-0000-0000-0000E1020000}"/>
    <cellStyle name="Normal 4 4 2 3 2 4 2 4 2 2 3 2 42 2" xfId="948" xr:uid="{00000000-0005-0000-0000-0000E2020000}"/>
    <cellStyle name="Normal 4 4 2 3 2 4 2 4 2 2 3 2 42 2 2" xfId="949" xr:uid="{00000000-0005-0000-0000-0000E3020000}"/>
    <cellStyle name="Normal 4 4 2 3 2 4 2 4 2 2 3 2 42 2 2 2" xfId="950" xr:uid="{00000000-0005-0000-0000-0000E4020000}"/>
    <cellStyle name="Normal 4 4 2 3 2 4 2 4 2 2 3 2 42 2 3" xfId="951" xr:uid="{00000000-0005-0000-0000-0000E5020000}"/>
    <cellStyle name="Normal 4 4 2 3 2 4 2 4 2 2 3 2 42 2 3 2" xfId="952" xr:uid="{00000000-0005-0000-0000-0000E6020000}"/>
    <cellStyle name="Normal 4 4 2 3 2 4 2 4 2 2 3 2 42 2 3 2 2" xfId="953" xr:uid="{00000000-0005-0000-0000-0000E7020000}"/>
    <cellStyle name="Normal 4 4 2 3 2 4 2 4 2 2 3 2 42 2 3 2 2 2" xfId="954" xr:uid="{00000000-0005-0000-0000-0000E8020000}"/>
    <cellStyle name="Normal 4 4 2 3 2 4 2 4 2 2 3 2 42 2 3 2 2 2 2" xfId="955" xr:uid="{00000000-0005-0000-0000-0000E9020000}"/>
    <cellStyle name="Normal 4 4 2 3 2 4 2 4 2 2 3 2 42 2 3 2 2 2 2 2" xfId="956" xr:uid="{00000000-0005-0000-0000-0000EA020000}"/>
    <cellStyle name="Normal 4 4 2 3 2 4 2 4 2 2 3 2 42 2 3 2 2 2 2 2 2" xfId="957" xr:uid="{00000000-0005-0000-0000-0000EB020000}"/>
    <cellStyle name="Normal 4 4 2 3 2 4 2 4 2 2 3 2 42 2 3 2 2 2 2 3" xfId="958" xr:uid="{00000000-0005-0000-0000-0000EC020000}"/>
    <cellStyle name="Normal 4 4 2 3 2 4 2 4 2 2 3 2 42 2 3 2 2 2 2 3 2" xfId="959" xr:uid="{00000000-0005-0000-0000-0000ED020000}"/>
    <cellStyle name="Normal 4 4 2 3 2 4 2 4 2 2 3 2 42 2 3 2 2 2 2 3 2 2" xfId="960" xr:uid="{00000000-0005-0000-0000-0000EE020000}"/>
    <cellStyle name="Normal 4 4 2 3 2 4 2 4 2 2 3 2 42 2 3 2 2 2 2 3 3" xfId="961" xr:uid="{00000000-0005-0000-0000-0000EF020000}"/>
    <cellStyle name="Normal 4 4 2 3 2 4 2 4 2 2 3 2 42 2 3 2 2 2 2 3 3 2" xfId="962" xr:uid="{00000000-0005-0000-0000-0000F0020000}"/>
    <cellStyle name="Normal 4 4 2 3 2 4 2 4 2 2 3 2 42 2 3 2 2 2 2 3 4" xfId="963" xr:uid="{00000000-0005-0000-0000-0000F1020000}"/>
    <cellStyle name="Normal 4 4 2 3 2 4 2 4 2 2 3 2 42 2 3 2 2 2 2 3 4 2" xfId="964" xr:uid="{00000000-0005-0000-0000-0000F2020000}"/>
    <cellStyle name="Normal 4 4 2 3 2 4 2 4 2 2 3 2 42 2 3 2 2 2 2 3 5" xfId="965" xr:uid="{00000000-0005-0000-0000-0000F3020000}"/>
    <cellStyle name="Normal 4 4 2 3 2 4 2 4 2 2 3 2 42 2 3 2 2 2 2 3 5 2" xfId="966" xr:uid="{00000000-0005-0000-0000-0000F4020000}"/>
    <cellStyle name="Normal 4 4 2 3 2 4 2 4 2 2 3 2 42 2 3 2 2 2 2 3 6" xfId="967" xr:uid="{00000000-0005-0000-0000-0000F5020000}"/>
    <cellStyle name="Normal 4 4 2 3 2 4 2 4 2 2 3 2 42 2 3 2 2 2 2 3 6 2" xfId="968" xr:uid="{00000000-0005-0000-0000-0000F6020000}"/>
    <cellStyle name="Normal 4 4 2 3 2 4 2 4 2 2 3 2 42 2 3 2 2 2 2 3 7" xfId="969" xr:uid="{00000000-0005-0000-0000-0000F7020000}"/>
    <cellStyle name="Normal 4 4 2 3 2 4 2 4 2 2 3 2 42 2 3 2 2 2 2 3 7 2" xfId="970" xr:uid="{00000000-0005-0000-0000-0000F8020000}"/>
    <cellStyle name="Normal 4 4 2 3 2 4 2 4 2 2 3 2 42 2 3 2 2 2 2 3 8" xfId="971" xr:uid="{00000000-0005-0000-0000-0000F9020000}"/>
    <cellStyle name="Normal 4 4 2 3 2 4 2 4 2 2 3 2 42 2 3 2 2 2 2 3 8 10" xfId="972" xr:uid="{00000000-0005-0000-0000-0000FA020000}"/>
    <cellStyle name="Normal 4 4 2 3 2 4 2 4 2 2 3 2 42 2 3 2 2 2 2 3 8 10 2" xfId="973" xr:uid="{00000000-0005-0000-0000-0000FB020000}"/>
    <cellStyle name="Normal 4 4 2 3 2 4 2 4 2 2 3 2 42 2 3 2 2 2 2 3 8 11" xfId="974" xr:uid="{00000000-0005-0000-0000-0000FC020000}"/>
    <cellStyle name="Normal 4 4 2 3 2 4 2 4 2 2 3 2 42 2 3 2 2 2 2 3 8 11 2" xfId="975" xr:uid="{00000000-0005-0000-0000-0000FD020000}"/>
    <cellStyle name="Normal 4 4 2 3 2 4 2 4 2 2 3 2 42 2 3 2 2 2 2 3 8 11 2 2" xfId="976" xr:uid="{00000000-0005-0000-0000-0000FE020000}"/>
    <cellStyle name="Normal 4 4 2 3 2 4 2 4 2 2 3 2 42 2 3 2 2 2 2 3 8 11 3" xfId="977" xr:uid="{00000000-0005-0000-0000-0000FF020000}"/>
    <cellStyle name="Normal 4 4 2 3 2 4 2 4 2 2 3 2 42 2 3 2 2 2 2 3 8 11 3 2" xfId="978" xr:uid="{00000000-0005-0000-0000-000000030000}"/>
    <cellStyle name="Normal 4 4 2 3 2 4 2 4 2 2 3 2 42 2 3 2 2 2 2 3 8 11 4" xfId="979" xr:uid="{00000000-0005-0000-0000-000001030000}"/>
    <cellStyle name="Normal 4 4 2 3 2 4 2 4 2 2 3 2 42 2 3 2 2 2 2 3 8 11 4 2" xfId="980" xr:uid="{00000000-0005-0000-0000-000002030000}"/>
    <cellStyle name="Normal 4 4 2 3 2 4 2 4 2 2 3 2 42 2 3 2 2 2 2 3 8 11 5" xfId="981" xr:uid="{00000000-0005-0000-0000-000003030000}"/>
    <cellStyle name="Normal 4 4 2 3 2 4 2 4 2 2 3 2 42 2 3 2 2 2 2 3 8 11 5 2" xfId="982" xr:uid="{00000000-0005-0000-0000-000004030000}"/>
    <cellStyle name="Normal 4 4 2 3 2 4 2 4 2 2 3 2 42 2 3 2 2 2 2 3 8 11 5 2 2" xfId="983" xr:uid="{00000000-0005-0000-0000-000005030000}"/>
    <cellStyle name="Normal 4 4 2 3 2 4 2 4 2 2 3 2 42 2 3 2 2 2 2 3 8 11 5 3" xfId="984" xr:uid="{00000000-0005-0000-0000-000006030000}"/>
    <cellStyle name="Normal 4 4 2 3 2 4 2 4 2 2 3 2 42 2 3 2 2 2 2 3 8 11 5 3 2" xfId="985" xr:uid="{00000000-0005-0000-0000-000007030000}"/>
    <cellStyle name="Normal 4 4 2 3 2 4 2 4 2 2 3 2 42 2 3 2 2 2 2 3 8 11 5 3 2 2" xfId="986" xr:uid="{00000000-0005-0000-0000-000008030000}"/>
    <cellStyle name="Normal 4 4 2 3 2 4 2 4 2 2 3 2 42 2 3 2 2 2 2 3 8 11 5 3 3" xfId="987" xr:uid="{00000000-0005-0000-0000-000009030000}"/>
    <cellStyle name="Normal 4 4 2 3 2 4 2 4 2 2 3 2 42 2 3 2 2 2 2 3 8 11 5 3 3 2" xfId="988" xr:uid="{00000000-0005-0000-0000-00000A030000}"/>
    <cellStyle name="Normal 4 4 2 3 2 4 2 4 2 2 3 2 42 2 3 2 2 2 2 3 8 11 5 3 4" xfId="989" xr:uid="{00000000-0005-0000-0000-00000B030000}"/>
    <cellStyle name="Normal 4 4 2 3 2 4 2 4 2 2 3 2 42 2 3 2 2 2 2 3 8 11 5 3 4 2" xfId="990" xr:uid="{00000000-0005-0000-0000-00000C030000}"/>
    <cellStyle name="Normal 4 4 2 3 2 4 2 4 2 2 3 2 42 2 3 2 2 2 2 3 8 11 5 3 5" xfId="991" xr:uid="{00000000-0005-0000-0000-00000D030000}"/>
    <cellStyle name="Normal 4 4 2 3 2 4 2 4 2 2 3 2 42 2 3 2 2 2 2 3 8 11 5 3 6" xfId="992" xr:uid="{00000000-0005-0000-0000-00000E030000}"/>
    <cellStyle name="Normal 4 4 2 3 2 4 2 4 2 2 3 2 42 2 3 2 2 2 2 3 8 11 5 3 6 2" xfId="993" xr:uid="{00000000-0005-0000-0000-00000F030000}"/>
    <cellStyle name="Normal 4 4 2 3 2 4 2 4 2 2 3 2 42 2 3 2 2 2 2 3 8 11 5 3 6 3" xfId="994" xr:uid="{00000000-0005-0000-0000-000010030000}"/>
    <cellStyle name="Normal 4 4 2 3 2 4 2 4 2 2 3 2 42 2 3 2 2 2 2 3 8 11 5 3 6 4" xfId="995" xr:uid="{00000000-0005-0000-0000-000011030000}"/>
    <cellStyle name="Normal 4 4 2 3 2 4 2 4 2 2 3 2 42 2 3 2 2 2 2 3 8 11 5 3 6 5" xfId="996" xr:uid="{00000000-0005-0000-0000-000012030000}"/>
    <cellStyle name="Normal 4 4 2 3 2 4 2 4 2 2 3 2 42 2 3 2 2 2 2 3 8 11 5 3 6 6" xfId="997" xr:uid="{00000000-0005-0000-0000-000013030000}"/>
    <cellStyle name="Normal 4 4 2 3 2 4 2 4 2 2 3 2 42 2 3 2 2 2 2 3 8 11 5 3 6 7" xfId="998" xr:uid="{00000000-0005-0000-0000-000014030000}"/>
    <cellStyle name="Normal 4 4 2 3 2 4 2 4 2 2 3 2 42 2 3 2 2 2 2 3 8 11 5 3 6 8" xfId="999" xr:uid="{00000000-0005-0000-0000-000015030000}"/>
    <cellStyle name="Normal 4 4 2 3 2 4 2 4 2 2 3 2 42 2 3 2 2 2 2 3 8 11 5 3 6 8 2" xfId="1000" xr:uid="{00000000-0005-0000-0000-000016030000}"/>
    <cellStyle name="Normal 4 4 2 3 2 4 2 4 2 2 3 2 42 2 3 2 2 2 2 3 8 11 5 3 6 8 3" xfId="1001" xr:uid="{00000000-0005-0000-0000-000017030000}"/>
    <cellStyle name="Normal 4 4 2 3 2 4 2 4 2 2 3 2 42 2 3 2 2 2 2 3 8 11 5 3 6 8 3 2" xfId="1002" xr:uid="{00000000-0005-0000-0000-000018030000}"/>
    <cellStyle name="Normal 4 4 2 3 2 4 2 4 2 2 3 2 42 2 3 2 2 2 2 3 8 11 5 3 6 8 3 3" xfId="1003" xr:uid="{00000000-0005-0000-0000-000019030000}"/>
    <cellStyle name="Normal 4 4 2 3 2 4 2 4 2 2 3 2 42 2 3 2 2 2 2 3 8 11 5 3 6 8 3 4" xfId="1004" xr:uid="{00000000-0005-0000-0000-00001A030000}"/>
    <cellStyle name="Normal 4 4 2 3 2 4 2 4 2 2 3 2 42 2 3 2 2 2 2 3 8 11 5 3 6 8 3 5" xfId="1005" xr:uid="{00000000-0005-0000-0000-00001B030000}"/>
    <cellStyle name="Normal 4 4 2 3 2 4 2 4 2 2 3 2 42 2 3 2 2 2 2 3 8 11 5 3 6 8 3 6" xfId="1006" xr:uid="{00000000-0005-0000-0000-00001C030000}"/>
    <cellStyle name="Normal 4 4 2 3 2 4 2 4 2 2 3 2 42 2 3 2 2 2 2 3 8 11 5 3 6 8 3 7" xfId="1007" xr:uid="{00000000-0005-0000-0000-00001D030000}"/>
    <cellStyle name="Normal 4 4 2 3 2 4 2 4 2 2 3 2 42 2 3 2 2 2 2 3 8 11 5 3 6 8 3 8" xfId="1008" xr:uid="{00000000-0005-0000-0000-00001E030000}"/>
    <cellStyle name="Normal 4 4 2 3 2 4 2 4 2 2 3 2 42 2 3 2 2 2 2 3 8 2" xfId="1009" xr:uid="{00000000-0005-0000-0000-00001F030000}"/>
    <cellStyle name="Normal 4 4 2 3 2 4 2 4 2 2 3 2 42 2 3 2 2 2 2 3 8 2 2" xfId="1010" xr:uid="{00000000-0005-0000-0000-000020030000}"/>
    <cellStyle name="Normal 4 4 2 3 2 4 2 4 2 2 3 2 42 2 3 2 2 2 2 3 8 3" xfId="1011" xr:uid="{00000000-0005-0000-0000-000021030000}"/>
    <cellStyle name="Normal 4 4 2 3 2 4 2 4 2 2 3 2 42 2 3 2 2 2 2 3 8 3 2" xfId="1012" xr:uid="{00000000-0005-0000-0000-000022030000}"/>
    <cellStyle name="Normal 4 4 2 3 2 4 2 4 2 2 3 2 42 2 3 2 2 2 2 3 8 4" xfId="1013" xr:uid="{00000000-0005-0000-0000-000023030000}"/>
    <cellStyle name="Normal 4 4 2 3 2 4 2 4 2 2 3 2 42 2 3 2 2 2 2 3 8 4 2" xfId="1014" xr:uid="{00000000-0005-0000-0000-000024030000}"/>
    <cellStyle name="Normal 4 4 2 3 2 4 2 4 2 2 3 2 42 2 3 2 2 2 2 3 8 5" xfId="1015" xr:uid="{00000000-0005-0000-0000-000025030000}"/>
    <cellStyle name="Normal 4 4 2 3 2 4 2 4 2 2 3 2 42 2 3 2 2 2 2 3 8 5 2" xfId="1016" xr:uid="{00000000-0005-0000-0000-000026030000}"/>
    <cellStyle name="Normal 4 4 2 3 2 4 2 4 2 2 3 2 42 2 3 2 2 2 2 3 8 6" xfId="1017" xr:uid="{00000000-0005-0000-0000-000027030000}"/>
    <cellStyle name="Normal 4 4 2 3 2 4 2 4 2 2 3 2 42 2 3 2 2 2 2 3 8 6 2" xfId="1018" xr:uid="{00000000-0005-0000-0000-000028030000}"/>
    <cellStyle name="Normal 4 4 2 3 2 4 2 4 2 2 3 2 42 2 3 2 2 2 2 3 8 7" xfId="1019" xr:uid="{00000000-0005-0000-0000-000029030000}"/>
    <cellStyle name="Normal 4 4 2 3 2 4 2 4 2 2 3 2 42 2 3 2 2 2 2 3 8 7 2" xfId="1020" xr:uid="{00000000-0005-0000-0000-00002A030000}"/>
    <cellStyle name="Normal 4 4 2 3 2 4 2 4 2 2 3 2 42 2 3 2 2 2 2 3 8 8" xfId="1021" xr:uid="{00000000-0005-0000-0000-00002B030000}"/>
    <cellStyle name="Normal 4 4 2 3 2 4 2 4 2 2 3 2 42 2 3 2 2 2 2 3 8 8 2" xfId="1022" xr:uid="{00000000-0005-0000-0000-00002C030000}"/>
    <cellStyle name="Normal 4 4 2 3 2 4 2 4 2 2 3 2 42 2 3 2 2 2 2 3 8 9" xfId="1023" xr:uid="{00000000-0005-0000-0000-00002D030000}"/>
    <cellStyle name="Normal 4 4 2 3 2 4 2 4 2 2 3 2 42 2 3 2 2 2 2 3 8 9 2" xfId="1024" xr:uid="{00000000-0005-0000-0000-00002E030000}"/>
    <cellStyle name="Normal 4 4 2 3 2 4 2 4 2 2 3 2 5" xfId="1025" xr:uid="{00000000-0005-0000-0000-00002F030000}"/>
    <cellStyle name="Normal 4 4 2 3 2 4 2 4 2 2 3 2 5 2" xfId="1026" xr:uid="{00000000-0005-0000-0000-000030030000}"/>
    <cellStyle name="Normal 4 4 2 3 2 4 2 4 2 2 3 2 6" xfId="1027" xr:uid="{00000000-0005-0000-0000-000031030000}"/>
    <cellStyle name="Normal 4 4 2 3 2 4 2 4 2 2 3 2 6 2" xfId="1028" xr:uid="{00000000-0005-0000-0000-000032030000}"/>
    <cellStyle name="Normal 4 4 2 3 2 4 2 4 2 2 3 2 7" xfId="1029" xr:uid="{00000000-0005-0000-0000-000033030000}"/>
    <cellStyle name="Normal 4 4 2 3 2 4 2 4 2 2 3 2 7 2" xfId="1030" xr:uid="{00000000-0005-0000-0000-000034030000}"/>
    <cellStyle name="Normal 4 4 2 3 2 4 2 4 2 2 3 2 8" xfId="1031" xr:uid="{00000000-0005-0000-0000-000035030000}"/>
    <cellStyle name="Normal 4 4 2 3 2 4 2 4 2 2 3 2 8 2" xfId="1032" xr:uid="{00000000-0005-0000-0000-000036030000}"/>
    <cellStyle name="Normal 4 4 2 3 2 4 2 4 2 2 3 2 9" xfId="1033" xr:uid="{00000000-0005-0000-0000-000037030000}"/>
    <cellStyle name="Normal 4 4 2 3 2 4 2 4 2 2 3 2 9 2" xfId="1034" xr:uid="{00000000-0005-0000-0000-000038030000}"/>
    <cellStyle name="Normal 4 4 2 3 2 4 2 5" xfId="1035" xr:uid="{00000000-0005-0000-0000-000039030000}"/>
    <cellStyle name="Normal 4 4 2 3 2 4 2 5 2" xfId="1036" xr:uid="{00000000-0005-0000-0000-00003A030000}"/>
    <cellStyle name="Normal 4 4 2 3 2 4 2 6" xfId="1037" xr:uid="{00000000-0005-0000-0000-00003B030000}"/>
    <cellStyle name="Normal 4 4 2 3 2 4 2 6 2" xfId="1038" xr:uid="{00000000-0005-0000-0000-00003C030000}"/>
    <cellStyle name="Normal 4 4 2 3 2 4 2 6 2 2" xfId="1039" xr:uid="{00000000-0005-0000-0000-00003D030000}"/>
    <cellStyle name="Normal 4 4 2 3 2 4 2 6 3" xfId="1040" xr:uid="{00000000-0005-0000-0000-00003E030000}"/>
    <cellStyle name="Normal 4 4 2 3 2 4 2 6 3 2" xfId="1041" xr:uid="{00000000-0005-0000-0000-00003F030000}"/>
    <cellStyle name="Normal 4 4 2 3 2 4 2 6 4" xfId="1042" xr:uid="{00000000-0005-0000-0000-000040030000}"/>
    <cellStyle name="Normal 4 4 2 3 2 4 2 6 4 2" xfId="1043" xr:uid="{00000000-0005-0000-0000-000041030000}"/>
    <cellStyle name="Normal 4 4 2 3 2 4 2 6 5" xfId="1044" xr:uid="{00000000-0005-0000-0000-000042030000}"/>
    <cellStyle name="Normal 4 4 2 3 2 4 2 6 5 2" xfId="1045" xr:uid="{00000000-0005-0000-0000-000043030000}"/>
    <cellStyle name="Normal 4 4 2 3 2 4 2 6 5 2 2" xfId="1046" xr:uid="{00000000-0005-0000-0000-000044030000}"/>
    <cellStyle name="Normal 4 4 2 3 2 4 2 6 5 3" xfId="1047" xr:uid="{00000000-0005-0000-0000-000045030000}"/>
    <cellStyle name="Normal 4 4 2 3 2 4 2 6 5 3 2" xfId="1048" xr:uid="{00000000-0005-0000-0000-000046030000}"/>
    <cellStyle name="Normal 4 4 2 3 2 4 2 6 5 4" xfId="1049" xr:uid="{00000000-0005-0000-0000-000047030000}"/>
    <cellStyle name="Normal 4 4 2 3 2 4 2 6 5 5" xfId="1050" xr:uid="{00000000-0005-0000-0000-000048030000}"/>
    <cellStyle name="Normal 4 4 2 3 2 4 2 6 5 6" xfId="1051" xr:uid="{00000000-0005-0000-0000-000049030000}"/>
    <cellStyle name="Normal 4 4 2 3 2 4 2 6 6" xfId="1052" xr:uid="{00000000-0005-0000-0000-00004A030000}"/>
    <cellStyle name="Normal 4 4 2 3 2 4 2 6 6 2" xfId="1053" xr:uid="{00000000-0005-0000-0000-00004B030000}"/>
    <cellStyle name="Normal 4 4 2 3 2 4 2 6 7" xfId="1054" xr:uid="{00000000-0005-0000-0000-00004C030000}"/>
    <cellStyle name="Normal 4 4 2 3 2 4 2 6 7 2" xfId="1055" xr:uid="{00000000-0005-0000-0000-00004D030000}"/>
    <cellStyle name="Normal 4 4 2 3 2 4 2 6 8" xfId="1056" xr:uid="{00000000-0005-0000-0000-00004E030000}"/>
    <cellStyle name="Normal 4 4 2 3 2 5" xfId="1057" xr:uid="{00000000-0005-0000-0000-00004F030000}"/>
    <cellStyle name="Normal 4 4 2 3 2 5 2" xfId="1058" xr:uid="{00000000-0005-0000-0000-000050030000}"/>
    <cellStyle name="Normal 4 4 2 3 2 6" xfId="1059" xr:uid="{00000000-0005-0000-0000-000051030000}"/>
    <cellStyle name="Normal 4 4 2 3 2 6 2" xfId="1060" xr:uid="{00000000-0005-0000-0000-000052030000}"/>
    <cellStyle name="Normal 4 4 2 3 2 7" xfId="1061" xr:uid="{00000000-0005-0000-0000-000053030000}"/>
    <cellStyle name="Normal 4 4 2 3 2 7 2" xfId="1062" xr:uid="{00000000-0005-0000-0000-000054030000}"/>
    <cellStyle name="Normal 4 4 2 3 2 8" xfId="1063" xr:uid="{00000000-0005-0000-0000-000055030000}"/>
    <cellStyle name="Normal 4 4 2 3 2 8 2" xfId="1064" xr:uid="{00000000-0005-0000-0000-000056030000}"/>
    <cellStyle name="Normal 4 4 2 3 2 8 2 2" xfId="1065" xr:uid="{00000000-0005-0000-0000-000057030000}"/>
    <cellStyle name="Normal 4 4 2 3 2 8 3" xfId="1066" xr:uid="{00000000-0005-0000-0000-000058030000}"/>
    <cellStyle name="Normal 4 4 2 3 2 9" xfId="1067" xr:uid="{00000000-0005-0000-0000-000059030000}"/>
    <cellStyle name="Normal 4 4 2 3 2 9 2" xfId="1068" xr:uid="{00000000-0005-0000-0000-00005A030000}"/>
    <cellStyle name="Normal 4 5" xfId="847" xr:uid="{00000000-0005-0000-0000-00005B030000}"/>
    <cellStyle name="Normal 5" xfId="1069" xr:uid="{00000000-0005-0000-0000-00005C030000}"/>
    <cellStyle name="Normal 5 2" xfId="1070" xr:uid="{00000000-0005-0000-0000-00005D030000}"/>
    <cellStyle name="Normal 5 2 2" xfId="1071" xr:uid="{00000000-0005-0000-0000-00005E030000}"/>
    <cellStyle name="Normal 5 2 2 2" xfId="1072" xr:uid="{00000000-0005-0000-0000-00005F030000}"/>
    <cellStyle name="Normal 5 2 3" xfId="1073" xr:uid="{00000000-0005-0000-0000-000060030000}"/>
    <cellStyle name="Normal 5 2 3 2" xfId="1074" xr:uid="{00000000-0005-0000-0000-000061030000}"/>
    <cellStyle name="Normal 5 2 4" xfId="1075" xr:uid="{00000000-0005-0000-0000-000062030000}"/>
    <cellStyle name="Normal 5 2 4 2" xfId="1076" xr:uid="{00000000-0005-0000-0000-000063030000}"/>
    <cellStyle name="Normal 5 2 4 2 2" xfId="1077" xr:uid="{00000000-0005-0000-0000-000064030000}"/>
    <cellStyle name="Normal 5 2 4 2 2 2" xfId="1078" xr:uid="{00000000-0005-0000-0000-000065030000}"/>
    <cellStyle name="Normal 5 2 4 2 2 2 2" xfId="1079" xr:uid="{00000000-0005-0000-0000-000066030000}"/>
    <cellStyle name="Normal 5 2 4 2 2 3" xfId="1080" xr:uid="{00000000-0005-0000-0000-000067030000}"/>
    <cellStyle name="Normal 5 2 4 2 2 4" xfId="1081" xr:uid="{00000000-0005-0000-0000-000068030000}"/>
    <cellStyle name="Normal 5 2 4 2 3" xfId="1082" xr:uid="{00000000-0005-0000-0000-000069030000}"/>
    <cellStyle name="Normal 5 2 4 3" xfId="1083" xr:uid="{00000000-0005-0000-0000-00006A030000}"/>
    <cellStyle name="Normal 5 2 5" xfId="1084" xr:uid="{00000000-0005-0000-0000-00006B030000}"/>
    <cellStyle name="Normal 5 3" xfId="1085" xr:uid="{00000000-0005-0000-0000-00006C030000}"/>
    <cellStyle name="Normal 5 3 2" xfId="1086" xr:uid="{00000000-0005-0000-0000-00006D030000}"/>
    <cellStyle name="Normal 5 3 3" xfId="1087" xr:uid="{00000000-0005-0000-0000-00006E030000}"/>
    <cellStyle name="Normal 5 4" xfId="1088" xr:uid="{00000000-0005-0000-0000-00006F030000}"/>
    <cellStyle name="Normal 5 4 2" xfId="1089" xr:uid="{00000000-0005-0000-0000-000070030000}"/>
    <cellStyle name="Normal 5 4 3" xfId="1090" xr:uid="{00000000-0005-0000-0000-000071030000}"/>
    <cellStyle name="Normal 5 5" xfId="1091" xr:uid="{00000000-0005-0000-0000-000072030000}"/>
    <cellStyle name="Normal 5 6" xfId="1092" xr:uid="{00000000-0005-0000-0000-000073030000}"/>
    <cellStyle name="Normal 6" xfId="1093" xr:uid="{00000000-0005-0000-0000-000074030000}"/>
    <cellStyle name="Normal 6 2" xfId="1094" xr:uid="{00000000-0005-0000-0000-000075030000}"/>
    <cellStyle name="Normal 7" xfId="1095" xr:uid="{00000000-0005-0000-0000-000076030000}"/>
    <cellStyle name="Normal 7 2" xfId="1096" xr:uid="{00000000-0005-0000-0000-000077030000}"/>
    <cellStyle name="Normal 7 2 2" xfId="1097" xr:uid="{00000000-0005-0000-0000-000078030000}"/>
    <cellStyle name="Normal 7 2 3" xfId="1098" xr:uid="{00000000-0005-0000-0000-000079030000}"/>
    <cellStyle name="Normal 7 3" xfId="1099" xr:uid="{00000000-0005-0000-0000-00007A030000}"/>
    <cellStyle name="Normal 7 3 2" xfId="1100" xr:uid="{00000000-0005-0000-0000-00007B030000}"/>
    <cellStyle name="Normal 7 3 3" xfId="1101" xr:uid="{00000000-0005-0000-0000-00007C030000}"/>
    <cellStyle name="Normal 7 4" xfId="1102" xr:uid="{00000000-0005-0000-0000-00007D030000}"/>
    <cellStyle name="Normal 7 4 2" xfId="1103" xr:uid="{00000000-0005-0000-0000-00007E030000}"/>
    <cellStyle name="Normal 7 4 3" xfId="1104" xr:uid="{00000000-0005-0000-0000-00007F030000}"/>
    <cellStyle name="Normal 7 5" xfId="1105" xr:uid="{00000000-0005-0000-0000-000080030000}"/>
    <cellStyle name="Normal 7 6" xfId="1106" xr:uid="{00000000-0005-0000-0000-000081030000}"/>
    <cellStyle name="Normal 8" xfId="1107" xr:uid="{00000000-0005-0000-0000-000082030000}"/>
    <cellStyle name="Normal 8 2" xfId="1108" xr:uid="{00000000-0005-0000-0000-000083030000}"/>
    <cellStyle name="Normal 8 3" xfId="1109" xr:uid="{00000000-0005-0000-0000-000084030000}"/>
    <cellStyle name="Normal 9" xfId="1110" xr:uid="{00000000-0005-0000-0000-000085030000}"/>
    <cellStyle name="Normal 9 2" xfId="1111" xr:uid="{00000000-0005-0000-0000-000086030000}"/>
    <cellStyle name="Normal 9 2 2" xfId="1112" xr:uid="{00000000-0005-0000-0000-000087030000}"/>
    <cellStyle name="Normal 9 2 3" xfId="1113" xr:uid="{00000000-0005-0000-0000-000088030000}"/>
    <cellStyle name="Normal 9 3" xfId="1114" xr:uid="{00000000-0005-0000-0000-000089030000}"/>
    <cellStyle name="Normal 9 4" xfId="1115" xr:uid="{00000000-0005-0000-0000-00008A030000}"/>
    <cellStyle name="Normál_8gradk" xfId="197" xr:uid="{00000000-0005-0000-0000-00008B030000}"/>
    <cellStyle name="Normal_Totaal" xfId="1270" xr:uid="{00000000-0005-0000-0000-00008C030000}"/>
    <cellStyle name="Note 2" xfId="198" xr:uid="{00000000-0005-0000-0000-00008D030000}"/>
    <cellStyle name="Note 2 2" xfId="1117" xr:uid="{00000000-0005-0000-0000-00008E030000}"/>
    <cellStyle name="Note 2 2 2" xfId="1118" xr:uid="{00000000-0005-0000-0000-00008F030000}"/>
    <cellStyle name="Note 2 2 3" xfId="1119" xr:uid="{00000000-0005-0000-0000-000090030000}"/>
    <cellStyle name="Note 2 3" xfId="1120" xr:uid="{00000000-0005-0000-0000-000091030000}"/>
    <cellStyle name="Note 2 3 2" xfId="1121" xr:uid="{00000000-0005-0000-0000-000092030000}"/>
    <cellStyle name="Note 2 3 3" xfId="1122" xr:uid="{00000000-0005-0000-0000-000093030000}"/>
    <cellStyle name="Note 2 4" xfId="1123" xr:uid="{00000000-0005-0000-0000-000094030000}"/>
    <cellStyle name="Note 2 4 2" xfId="1124" xr:uid="{00000000-0005-0000-0000-000095030000}"/>
    <cellStyle name="Note 2 4 3" xfId="1125" xr:uid="{00000000-0005-0000-0000-000096030000}"/>
    <cellStyle name="Note 2 5" xfId="1126" xr:uid="{00000000-0005-0000-0000-000097030000}"/>
    <cellStyle name="Note 2 6" xfId="1127" xr:uid="{00000000-0005-0000-0000-000098030000}"/>
    <cellStyle name="Note 2 7" xfId="1116" xr:uid="{00000000-0005-0000-0000-000099030000}"/>
    <cellStyle name="Note 3" xfId="1128" xr:uid="{00000000-0005-0000-0000-00009A030000}"/>
    <cellStyle name="Note 3 2" xfId="1129" xr:uid="{00000000-0005-0000-0000-00009B030000}"/>
    <cellStyle name="Note 3 2 2" xfId="1130" xr:uid="{00000000-0005-0000-0000-00009C030000}"/>
    <cellStyle name="Note 3 2 3" xfId="1131" xr:uid="{00000000-0005-0000-0000-00009D030000}"/>
    <cellStyle name="Note 3 3" xfId="1132" xr:uid="{00000000-0005-0000-0000-00009E030000}"/>
    <cellStyle name="Note 3 3 2" xfId="1133" xr:uid="{00000000-0005-0000-0000-00009F030000}"/>
    <cellStyle name="Note 3 3 3" xfId="1134" xr:uid="{00000000-0005-0000-0000-0000A0030000}"/>
    <cellStyle name="Note 3 4" xfId="1135" xr:uid="{00000000-0005-0000-0000-0000A1030000}"/>
    <cellStyle name="Note 3 4 2" xfId="1136" xr:uid="{00000000-0005-0000-0000-0000A2030000}"/>
    <cellStyle name="Note 3 4 3" xfId="1137" xr:uid="{00000000-0005-0000-0000-0000A3030000}"/>
    <cellStyle name="Note 3 5" xfId="1138" xr:uid="{00000000-0005-0000-0000-0000A4030000}"/>
    <cellStyle name="Note 3 6" xfId="1139" xr:uid="{00000000-0005-0000-0000-0000A5030000}"/>
    <cellStyle name="Note 4" xfId="1140" xr:uid="{00000000-0005-0000-0000-0000A6030000}"/>
    <cellStyle name="Note 4 2" xfId="1141" xr:uid="{00000000-0005-0000-0000-0000A7030000}"/>
    <cellStyle name="Note 4 2 2" xfId="1142" xr:uid="{00000000-0005-0000-0000-0000A8030000}"/>
    <cellStyle name="Note 4 2 3" xfId="1143" xr:uid="{00000000-0005-0000-0000-0000A9030000}"/>
    <cellStyle name="Note 4 3" xfId="1144" xr:uid="{00000000-0005-0000-0000-0000AA030000}"/>
    <cellStyle name="Note 4 3 2" xfId="1145" xr:uid="{00000000-0005-0000-0000-0000AB030000}"/>
    <cellStyle name="Note 4 3 3" xfId="1146" xr:uid="{00000000-0005-0000-0000-0000AC030000}"/>
    <cellStyle name="Note 4 4" xfId="1147" xr:uid="{00000000-0005-0000-0000-0000AD030000}"/>
    <cellStyle name="Note 4 4 2" xfId="1148" xr:uid="{00000000-0005-0000-0000-0000AE030000}"/>
    <cellStyle name="Note 4 4 3" xfId="1149" xr:uid="{00000000-0005-0000-0000-0000AF030000}"/>
    <cellStyle name="Note 4 5" xfId="1150" xr:uid="{00000000-0005-0000-0000-0000B0030000}"/>
    <cellStyle name="Note 4 6" xfId="1151" xr:uid="{00000000-0005-0000-0000-0000B1030000}"/>
    <cellStyle name="Notitie" xfId="1271" xr:uid="{00000000-0005-0000-0000-0000B2030000}"/>
    <cellStyle name="Notitie 2" xfId="199" xr:uid="{00000000-0005-0000-0000-0000B3030000}"/>
    <cellStyle name="Notitie 3" xfId="200" xr:uid="{00000000-0005-0000-0000-0000B4030000}"/>
    <cellStyle name="Notitie 4" xfId="201" xr:uid="{00000000-0005-0000-0000-0000B5030000}"/>
    <cellStyle name="Notitie 5" xfId="202" xr:uid="{00000000-0005-0000-0000-0000B6030000}"/>
    <cellStyle name="Ongeldig" xfId="1272" xr:uid="{00000000-0005-0000-0000-0000B7030000}"/>
    <cellStyle name="Ongeldig 2" xfId="203" xr:uid="{00000000-0005-0000-0000-0000B8030000}"/>
    <cellStyle name="Ongeldig 3" xfId="204" xr:uid="{00000000-0005-0000-0000-0000B9030000}"/>
    <cellStyle name="Output 2" xfId="205" xr:uid="{00000000-0005-0000-0000-0000BA030000}"/>
    <cellStyle name="Output 3" xfId="1286" xr:uid="{00000000-0005-0000-0000-0000BB030000}"/>
    <cellStyle name="Percent" xfId="449" builtinId="5"/>
    <cellStyle name="Percent 10" xfId="1152" xr:uid="{00000000-0005-0000-0000-0000BD030000}"/>
    <cellStyle name="Percent 11" xfId="1153" xr:uid="{00000000-0005-0000-0000-0000BE030000}"/>
    <cellStyle name="Percent 12" xfId="1154" xr:uid="{00000000-0005-0000-0000-0000BF030000}"/>
    <cellStyle name="Percent 13" xfId="1155" xr:uid="{00000000-0005-0000-0000-0000C0030000}"/>
    <cellStyle name="Percent 13 2" xfId="1156" xr:uid="{00000000-0005-0000-0000-0000C1030000}"/>
    <cellStyle name="Percent 14" xfId="1157" xr:uid="{00000000-0005-0000-0000-0000C2030000}"/>
    <cellStyle name="Percent 14 2" xfId="1158" xr:uid="{00000000-0005-0000-0000-0000C3030000}"/>
    <cellStyle name="Percent 15" xfId="1159" xr:uid="{00000000-0005-0000-0000-0000C4030000}"/>
    <cellStyle name="Percent 15 2" xfId="1160" xr:uid="{00000000-0005-0000-0000-0000C5030000}"/>
    <cellStyle name="Percent 16" xfId="1161" xr:uid="{00000000-0005-0000-0000-0000C6030000}"/>
    <cellStyle name="Percent 16 2" xfId="1162" xr:uid="{00000000-0005-0000-0000-0000C7030000}"/>
    <cellStyle name="Percent 17" xfId="1163" xr:uid="{00000000-0005-0000-0000-0000C8030000}"/>
    <cellStyle name="Percent 17 2" xfId="1164" xr:uid="{00000000-0005-0000-0000-0000C9030000}"/>
    <cellStyle name="Percent 18" xfId="1165" xr:uid="{00000000-0005-0000-0000-0000CA030000}"/>
    <cellStyle name="Percent 18 2" xfId="1166" xr:uid="{00000000-0005-0000-0000-0000CB030000}"/>
    <cellStyle name="Percent 19" xfId="1167" xr:uid="{00000000-0005-0000-0000-0000CC030000}"/>
    <cellStyle name="Percent 19 2" xfId="1168" xr:uid="{00000000-0005-0000-0000-0000CD030000}"/>
    <cellStyle name="Percent 2" xfId="14" xr:uid="{00000000-0005-0000-0000-0000CE030000}"/>
    <cellStyle name="Percent 2 2" xfId="1169" xr:uid="{00000000-0005-0000-0000-0000CF030000}"/>
    <cellStyle name="Percent 20" xfId="1170" xr:uid="{00000000-0005-0000-0000-0000D0030000}"/>
    <cellStyle name="Percent 20 2" xfId="1171" xr:uid="{00000000-0005-0000-0000-0000D1030000}"/>
    <cellStyle name="Percent 21" xfId="1172" xr:uid="{00000000-0005-0000-0000-0000D2030000}"/>
    <cellStyle name="Percent 21 2" xfId="1173" xr:uid="{00000000-0005-0000-0000-0000D3030000}"/>
    <cellStyle name="Percent 22" xfId="1174" xr:uid="{00000000-0005-0000-0000-0000D4030000}"/>
    <cellStyle name="Percent 23" xfId="1175" xr:uid="{00000000-0005-0000-0000-0000D5030000}"/>
    <cellStyle name="Percent 23 2" xfId="1176" xr:uid="{00000000-0005-0000-0000-0000D6030000}"/>
    <cellStyle name="Percent 24" xfId="1177" xr:uid="{00000000-0005-0000-0000-0000D7030000}"/>
    <cellStyle name="Percent 24 2" xfId="1178" xr:uid="{00000000-0005-0000-0000-0000D8030000}"/>
    <cellStyle name="Percent 25" xfId="1179" xr:uid="{00000000-0005-0000-0000-0000D9030000}"/>
    <cellStyle name="Percent 3" xfId="30" xr:uid="{00000000-0005-0000-0000-0000DA030000}"/>
    <cellStyle name="Percent 3 2" xfId="1181" xr:uid="{00000000-0005-0000-0000-0000DB030000}"/>
    <cellStyle name="Percent 3 3" xfId="1180" xr:uid="{00000000-0005-0000-0000-0000DC030000}"/>
    <cellStyle name="Percent 4" xfId="1182" xr:uid="{00000000-0005-0000-0000-0000DD030000}"/>
    <cellStyle name="Percent 5" xfId="1183" xr:uid="{00000000-0005-0000-0000-0000DE030000}"/>
    <cellStyle name="Percent 6" xfId="1184" xr:uid="{00000000-0005-0000-0000-0000DF030000}"/>
    <cellStyle name="Percent 7" xfId="1185" xr:uid="{00000000-0005-0000-0000-0000E0030000}"/>
    <cellStyle name="Percent 8" xfId="1186" xr:uid="{00000000-0005-0000-0000-0000E1030000}"/>
    <cellStyle name="Percent 9" xfId="1187" xr:uid="{00000000-0005-0000-0000-0000E2030000}"/>
    <cellStyle name="Procen - Opmaakprofiel2" xfId="206" xr:uid="{00000000-0005-0000-0000-0000E3030000}"/>
    <cellStyle name="Procent 2" xfId="207" xr:uid="{00000000-0005-0000-0000-0000E4030000}"/>
    <cellStyle name="Procent 3" xfId="208" xr:uid="{00000000-0005-0000-0000-0000E5030000}"/>
    <cellStyle name="Procent 3 2" xfId="209" xr:uid="{00000000-0005-0000-0000-0000E6030000}"/>
    <cellStyle name="Procent 4" xfId="210" xr:uid="{00000000-0005-0000-0000-0000E7030000}"/>
    <cellStyle name="Procent 4 2" xfId="211" xr:uid="{00000000-0005-0000-0000-0000E8030000}"/>
    <cellStyle name="Prozent_SubCatperStud" xfId="212" xr:uid="{00000000-0005-0000-0000-0000E9030000}"/>
    <cellStyle name="PUNT" xfId="9" xr:uid="{00000000-0005-0000-0000-0000EA030000}"/>
    <cellStyle name="PUNT 2" xfId="213" xr:uid="{00000000-0005-0000-0000-0000EB030000}"/>
    <cellStyle name="row" xfId="214" xr:uid="{00000000-0005-0000-0000-0000EC030000}"/>
    <cellStyle name="RowCodes" xfId="215" xr:uid="{00000000-0005-0000-0000-0000ED030000}"/>
    <cellStyle name="Row-Col Headings" xfId="216" xr:uid="{00000000-0005-0000-0000-0000EE030000}"/>
    <cellStyle name="RowTitles" xfId="217" xr:uid="{00000000-0005-0000-0000-0000EF030000}"/>
    <cellStyle name="RowTitles1-Detail" xfId="218" xr:uid="{00000000-0005-0000-0000-0000F0030000}"/>
    <cellStyle name="RowTitles-Col2" xfId="219" xr:uid="{00000000-0005-0000-0000-0000F1030000}"/>
    <cellStyle name="RowTitles-Detail" xfId="220" xr:uid="{00000000-0005-0000-0000-0000F2030000}"/>
    <cellStyle name="SAPBEXaggData" xfId="221" xr:uid="{00000000-0005-0000-0000-0000F3030000}"/>
    <cellStyle name="SAPBEXaggData 2" xfId="222" xr:uid="{00000000-0005-0000-0000-0000F4030000}"/>
    <cellStyle name="SAPBEXaggData 3" xfId="223" xr:uid="{00000000-0005-0000-0000-0000F5030000}"/>
    <cellStyle name="SAPBEXaggData 4" xfId="224" xr:uid="{00000000-0005-0000-0000-0000F6030000}"/>
    <cellStyle name="SAPBEXaggDataEmph" xfId="225" xr:uid="{00000000-0005-0000-0000-0000F7030000}"/>
    <cellStyle name="SAPBEXaggDataEmph 2" xfId="226" xr:uid="{00000000-0005-0000-0000-0000F8030000}"/>
    <cellStyle name="SAPBEXaggDataEmph 3" xfId="227" xr:uid="{00000000-0005-0000-0000-0000F9030000}"/>
    <cellStyle name="SAPBEXaggDataEmph 4" xfId="228" xr:uid="{00000000-0005-0000-0000-0000FA030000}"/>
    <cellStyle name="SAPBEXaggItem" xfId="229" xr:uid="{00000000-0005-0000-0000-0000FB030000}"/>
    <cellStyle name="SAPBEXaggItem 2" xfId="230" xr:uid="{00000000-0005-0000-0000-0000FC030000}"/>
    <cellStyle name="SAPBEXaggItem 3" xfId="231" xr:uid="{00000000-0005-0000-0000-0000FD030000}"/>
    <cellStyle name="SAPBEXaggItem 4" xfId="232" xr:uid="{00000000-0005-0000-0000-0000FE030000}"/>
    <cellStyle name="SAPBEXaggItemX" xfId="233" xr:uid="{00000000-0005-0000-0000-0000FF030000}"/>
    <cellStyle name="SAPBEXaggItemX 2" xfId="234" xr:uid="{00000000-0005-0000-0000-000000040000}"/>
    <cellStyle name="SAPBEXaggItemX 3" xfId="235" xr:uid="{00000000-0005-0000-0000-000001040000}"/>
    <cellStyle name="SAPBEXchaText" xfId="236" xr:uid="{00000000-0005-0000-0000-000002040000}"/>
    <cellStyle name="SAPBEXchaText 2" xfId="237" xr:uid="{00000000-0005-0000-0000-000003040000}"/>
    <cellStyle name="SAPBEXchaText 2 2" xfId="238" xr:uid="{00000000-0005-0000-0000-000004040000}"/>
    <cellStyle name="SAPBEXchaText 3" xfId="239" xr:uid="{00000000-0005-0000-0000-000005040000}"/>
    <cellStyle name="SAPBEXchaText 3 2" xfId="240" xr:uid="{00000000-0005-0000-0000-000006040000}"/>
    <cellStyle name="SAPBEXchaText 4" xfId="241" xr:uid="{00000000-0005-0000-0000-000007040000}"/>
    <cellStyle name="SAPBEXchaText_13 Totaal en tabellen begroting 2013 versie 21" xfId="242" xr:uid="{00000000-0005-0000-0000-000008040000}"/>
    <cellStyle name="SAPBEXexcBad7" xfId="243" xr:uid="{00000000-0005-0000-0000-000009040000}"/>
    <cellStyle name="SAPBEXexcBad7 2" xfId="244" xr:uid="{00000000-0005-0000-0000-00000A040000}"/>
    <cellStyle name="SAPBEXexcBad7 3" xfId="245" xr:uid="{00000000-0005-0000-0000-00000B040000}"/>
    <cellStyle name="SAPBEXexcBad7 4" xfId="246" xr:uid="{00000000-0005-0000-0000-00000C040000}"/>
    <cellStyle name="SAPBEXexcBad8" xfId="247" xr:uid="{00000000-0005-0000-0000-00000D040000}"/>
    <cellStyle name="SAPBEXexcBad8 2" xfId="248" xr:uid="{00000000-0005-0000-0000-00000E040000}"/>
    <cellStyle name="SAPBEXexcBad8 3" xfId="249" xr:uid="{00000000-0005-0000-0000-00000F040000}"/>
    <cellStyle name="SAPBEXexcBad8 4" xfId="250" xr:uid="{00000000-0005-0000-0000-000010040000}"/>
    <cellStyle name="SAPBEXexcBad9" xfId="251" xr:uid="{00000000-0005-0000-0000-000011040000}"/>
    <cellStyle name="SAPBEXexcBad9 2" xfId="252" xr:uid="{00000000-0005-0000-0000-000012040000}"/>
    <cellStyle name="SAPBEXexcBad9 3" xfId="253" xr:uid="{00000000-0005-0000-0000-000013040000}"/>
    <cellStyle name="SAPBEXexcBad9 4" xfId="254" xr:uid="{00000000-0005-0000-0000-000014040000}"/>
    <cellStyle name="SAPBEXexcCritical4" xfId="255" xr:uid="{00000000-0005-0000-0000-000015040000}"/>
    <cellStyle name="SAPBEXexcCritical4 2" xfId="256" xr:uid="{00000000-0005-0000-0000-000016040000}"/>
    <cellStyle name="SAPBEXexcCritical4 3" xfId="257" xr:uid="{00000000-0005-0000-0000-000017040000}"/>
    <cellStyle name="SAPBEXexcCritical4 4" xfId="258" xr:uid="{00000000-0005-0000-0000-000018040000}"/>
    <cellStyle name="SAPBEXexcCritical5" xfId="259" xr:uid="{00000000-0005-0000-0000-000019040000}"/>
    <cellStyle name="SAPBEXexcCritical5 2" xfId="260" xr:uid="{00000000-0005-0000-0000-00001A040000}"/>
    <cellStyle name="SAPBEXexcCritical5 3" xfId="261" xr:uid="{00000000-0005-0000-0000-00001B040000}"/>
    <cellStyle name="SAPBEXexcCritical5 4" xfId="262" xr:uid="{00000000-0005-0000-0000-00001C040000}"/>
    <cellStyle name="SAPBEXexcCritical6" xfId="263" xr:uid="{00000000-0005-0000-0000-00001D040000}"/>
    <cellStyle name="SAPBEXexcCritical6 2" xfId="264" xr:uid="{00000000-0005-0000-0000-00001E040000}"/>
    <cellStyle name="SAPBEXexcCritical6 3" xfId="265" xr:uid="{00000000-0005-0000-0000-00001F040000}"/>
    <cellStyle name="SAPBEXexcCritical6 4" xfId="266" xr:uid="{00000000-0005-0000-0000-000020040000}"/>
    <cellStyle name="SAPBEXexcGood1" xfId="267" xr:uid="{00000000-0005-0000-0000-000021040000}"/>
    <cellStyle name="SAPBEXexcGood1 2" xfId="268" xr:uid="{00000000-0005-0000-0000-000022040000}"/>
    <cellStyle name="SAPBEXexcGood1 3" xfId="269" xr:uid="{00000000-0005-0000-0000-000023040000}"/>
    <cellStyle name="SAPBEXexcGood1 4" xfId="270" xr:uid="{00000000-0005-0000-0000-000024040000}"/>
    <cellStyle name="SAPBEXexcGood2" xfId="271" xr:uid="{00000000-0005-0000-0000-000025040000}"/>
    <cellStyle name="SAPBEXexcGood2 2" xfId="272" xr:uid="{00000000-0005-0000-0000-000026040000}"/>
    <cellStyle name="SAPBEXexcGood2 3" xfId="273" xr:uid="{00000000-0005-0000-0000-000027040000}"/>
    <cellStyle name="SAPBEXexcGood2 4" xfId="274" xr:uid="{00000000-0005-0000-0000-000028040000}"/>
    <cellStyle name="SAPBEXexcGood3" xfId="275" xr:uid="{00000000-0005-0000-0000-000029040000}"/>
    <cellStyle name="SAPBEXexcGood3 2" xfId="276" xr:uid="{00000000-0005-0000-0000-00002A040000}"/>
    <cellStyle name="SAPBEXexcGood3 3" xfId="277" xr:uid="{00000000-0005-0000-0000-00002B040000}"/>
    <cellStyle name="SAPBEXexcGood3 4" xfId="278" xr:uid="{00000000-0005-0000-0000-00002C040000}"/>
    <cellStyle name="SAPBEXfilterDrill" xfId="279" xr:uid="{00000000-0005-0000-0000-00002D040000}"/>
    <cellStyle name="SAPBEXfilterDrill 2" xfId="280" xr:uid="{00000000-0005-0000-0000-00002E040000}"/>
    <cellStyle name="SAPBEXfilterDrill 3" xfId="281" xr:uid="{00000000-0005-0000-0000-00002F040000}"/>
    <cellStyle name="SAPBEXfilterDrill 4" xfId="282" xr:uid="{00000000-0005-0000-0000-000030040000}"/>
    <cellStyle name="SAPBEXfilterItem" xfId="283" xr:uid="{00000000-0005-0000-0000-000031040000}"/>
    <cellStyle name="SAPBEXfilterItem 2" xfId="284" xr:uid="{00000000-0005-0000-0000-000032040000}"/>
    <cellStyle name="SAPBEXfilterItem 3" xfId="285" xr:uid="{00000000-0005-0000-0000-000033040000}"/>
    <cellStyle name="SAPBEXfilterItem 4" xfId="286" xr:uid="{00000000-0005-0000-0000-000034040000}"/>
    <cellStyle name="SAPBEXfilterText" xfId="287" xr:uid="{00000000-0005-0000-0000-000035040000}"/>
    <cellStyle name="SAPBEXfilterText 2" xfId="288" xr:uid="{00000000-0005-0000-0000-000036040000}"/>
    <cellStyle name="SAPBEXfilterText 3" xfId="289" xr:uid="{00000000-0005-0000-0000-000037040000}"/>
    <cellStyle name="SAPBEXformats" xfId="290" xr:uid="{00000000-0005-0000-0000-000038040000}"/>
    <cellStyle name="SAPBEXformats 2" xfId="291" xr:uid="{00000000-0005-0000-0000-000039040000}"/>
    <cellStyle name="SAPBEXformats 2 2" xfId="292" xr:uid="{00000000-0005-0000-0000-00003A040000}"/>
    <cellStyle name="SAPBEXformats 3" xfId="293" xr:uid="{00000000-0005-0000-0000-00003B040000}"/>
    <cellStyle name="SAPBEXformats 3 2" xfId="294" xr:uid="{00000000-0005-0000-0000-00003C040000}"/>
    <cellStyle name="SAPBEXformats 4" xfId="295" xr:uid="{00000000-0005-0000-0000-00003D040000}"/>
    <cellStyle name="SAPBEXformats_20100402 standen 11 12 13 en mutaties 11" xfId="296" xr:uid="{00000000-0005-0000-0000-00003E040000}"/>
    <cellStyle name="SAPBEXheaderItem" xfId="297" xr:uid="{00000000-0005-0000-0000-00003F040000}"/>
    <cellStyle name="SAPBEXheaderItem 2" xfId="298" xr:uid="{00000000-0005-0000-0000-000040040000}"/>
    <cellStyle name="SAPBEXheaderItem 3" xfId="299" xr:uid="{00000000-0005-0000-0000-000041040000}"/>
    <cellStyle name="SAPBEXheaderItem 4" xfId="300" xr:uid="{00000000-0005-0000-0000-000042040000}"/>
    <cellStyle name="SAPBEXheaderText" xfId="301" xr:uid="{00000000-0005-0000-0000-000043040000}"/>
    <cellStyle name="SAPBEXheaderText 2" xfId="302" xr:uid="{00000000-0005-0000-0000-000044040000}"/>
    <cellStyle name="SAPBEXheaderText 3" xfId="303" xr:uid="{00000000-0005-0000-0000-000045040000}"/>
    <cellStyle name="SAPBEXheaderText 4" xfId="304" xr:uid="{00000000-0005-0000-0000-000046040000}"/>
    <cellStyle name="SAPBEXHLevel0" xfId="305" xr:uid="{00000000-0005-0000-0000-000047040000}"/>
    <cellStyle name="SAPBEXHLevel0 2" xfId="306" xr:uid="{00000000-0005-0000-0000-000048040000}"/>
    <cellStyle name="SAPBEXHLevel0 3" xfId="307" xr:uid="{00000000-0005-0000-0000-000049040000}"/>
    <cellStyle name="SAPBEXHLevel0X" xfId="308" xr:uid="{00000000-0005-0000-0000-00004A040000}"/>
    <cellStyle name="SAPBEXHLevel0X 2" xfId="309" xr:uid="{00000000-0005-0000-0000-00004B040000}"/>
    <cellStyle name="SAPBEXHLevel0X 3" xfId="310" xr:uid="{00000000-0005-0000-0000-00004C040000}"/>
    <cellStyle name="SAPBEXHLevel1" xfId="311" xr:uid="{00000000-0005-0000-0000-00004D040000}"/>
    <cellStyle name="SAPBEXHLevel1 2" xfId="312" xr:uid="{00000000-0005-0000-0000-00004E040000}"/>
    <cellStyle name="SAPBEXHLevel1 3" xfId="313" xr:uid="{00000000-0005-0000-0000-00004F040000}"/>
    <cellStyle name="SAPBEXHLevel1X" xfId="314" xr:uid="{00000000-0005-0000-0000-000050040000}"/>
    <cellStyle name="SAPBEXHLevel1X 2" xfId="315" xr:uid="{00000000-0005-0000-0000-000051040000}"/>
    <cellStyle name="SAPBEXHLevel1X 3" xfId="316" xr:uid="{00000000-0005-0000-0000-000052040000}"/>
    <cellStyle name="SAPBEXHLevel2" xfId="317" xr:uid="{00000000-0005-0000-0000-000053040000}"/>
    <cellStyle name="SAPBEXHLevel2 2" xfId="318" xr:uid="{00000000-0005-0000-0000-000054040000}"/>
    <cellStyle name="SAPBEXHLevel2 3" xfId="319" xr:uid="{00000000-0005-0000-0000-000055040000}"/>
    <cellStyle name="SAPBEXHLevel2X" xfId="320" xr:uid="{00000000-0005-0000-0000-000056040000}"/>
    <cellStyle name="SAPBEXHLevel2X 2" xfId="321" xr:uid="{00000000-0005-0000-0000-000057040000}"/>
    <cellStyle name="SAPBEXHLevel2X 3" xfId="322" xr:uid="{00000000-0005-0000-0000-000058040000}"/>
    <cellStyle name="SAPBEXHLevel3" xfId="323" xr:uid="{00000000-0005-0000-0000-000059040000}"/>
    <cellStyle name="SAPBEXHLevel3 2" xfId="324" xr:uid="{00000000-0005-0000-0000-00005A040000}"/>
    <cellStyle name="SAPBEXHLevel3 3" xfId="325" xr:uid="{00000000-0005-0000-0000-00005B040000}"/>
    <cellStyle name="SAPBEXHLevel3X" xfId="326" xr:uid="{00000000-0005-0000-0000-00005C040000}"/>
    <cellStyle name="SAPBEXHLevel3X 2" xfId="327" xr:uid="{00000000-0005-0000-0000-00005D040000}"/>
    <cellStyle name="SAPBEXHLevel3X 3" xfId="328" xr:uid="{00000000-0005-0000-0000-00005E040000}"/>
    <cellStyle name="SAPBEXinputData" xfId="329" xr:uid="{00000000-0005-0000-0000-00005F040000}"/>
    <cellStyle name="SAPBEXinputData 2" xfId="330" xr:uid="{00000000-0005-0000-0000-000060040000}"/>
    <cellStyle name="SAPBEXresData" xfId="331" xr:uid="{00000000-0005-0000-0000-000061040000}"/>
    <cellStyle name="SAPBEXresData 2" xfId="332" xr:uid="{00000000-0005-0000-0000-000062040000}"/>
    <cellStyle name="SAPBEXresData 3" xfId="333" xr:uid="{00000000-0005-0000-0000-000063040000}"/>
    <cellStyle name="SAPBEXresData 4" xfId="334" xr:uid="{00000000-0005-0000-0000-000064040000}"/>
    <cellStyle name="SAPBEXresDataEmph" xfId="335" xr:uid="{00000000-0005-0000-0000-000065040000}"/>
    <cellStyle name="SAPBEXresDataEmph 2" xfId="336" xr:uid="{00000000-0005-0000-0000-000066040000}"/>
    <cellStyle name="SAPBEXresDataEmph 3" xfId="337" xr:uid="{00000000-0005-0000-0000-000067040000}"/>
    <cellStyle name="SAPBEXresDataEmph 4" xfId="338" xr:uid="{00000000-0005-0000-0000-000068040000}"/>
    <cellStyle name="SAPBEXresItem" xfId="339" xr:uid="{00000000-0005-0000-0000-000069040000}"/>
    <cellStyle name="SAPBEXresItem 2" xfId="340" xr:uid="{00000000-0005-0000-0000-00006A040000}"/>
    <cellStyle name="SAPBEXresItem 3" xfId="341" xr:uid="{00000000-0005-0000-0000-00006B040000}"/>
    <cellStyle name="SAPBEXresItem 4" xfId="342" xr:uid="{00000000-0005-0000-0000-00006C040000}"/>
    <cellStyle name="SAPBEXresItemX" xfId="343" xr:uid="{00000000-0005-0000-0000-00006D040000}"/>
    <cellStyle name="SAPBEXresItemX 2" xfId="344" xr:uid="{00000000-0005-0000-0000-00006E040000}"/>
    <cellStyle name="SAPBEXresItemX 3" xfId="345" xr:uid="{00000000-0005-0000-0000-00006F040000}"/>
    <cellStyle name="SAPBEXstdData" xfId="346" xr:uid="{00000000-0005-0000-0000-000070040000}"/>
    <cellStyle name="SAPBEXstdData 2" xfId="347" xr:uid="{00000000-0005-0000-0000-000071040000}"/>
    <cellStyle name="SAPBEXstdData 2 2" xfId="348" xr:uid="{00000000-0005-0000-0000-000072040000}"/>
    <cellStyle name="SAPBEXstdData 3" xfId="349" xr:uid="{00000000-0005-0000-0000-000073040000}"/>
    <cellStyle name="SAPBEXstdData 3 2" xfId="350" xr:uid="{00000000-0005-0000-0000-000074040000}"/>
    <cellStyle name="SAPBEXstdData_2012 06 11 Mutaties MLN 2013 (zoals aangeleverd bij Fin)" xfId="351" xr:uid="{00000000-0005-0000-0000-000075040000}"/>
    <cellStyle name="SAPBEXstdDataEmph" xfId="352" xr:uid="{00000000-0005-0000-0000-000076040000}"/>
    <cellStyle name="SAPBEXstdDataEmph 2" xfId="353" xr:uid="{00000000-0005-0000-0000-000077040000}"/>
    <cellStyle name="SAPBEXstdDataEmph 3" xfId="354" xr:uid="{00000000-0005-0000-0000-000078040000}"/>
    <cellStyle name="SAPBEXstdDataEmph 4" xfId="355" xr:uid="{00000000-0005-0000-0000-000079040000}"/>
    <cellStyle name="SAPBEXstdItem" xfId="356" xr:uid="{00000000-0005-0000-0000-00007A040000}"/>
    <cellStyle name="SAPBEXstdItem 2" xfId="357" xr:uid="{00000000-0005-0000-0000-00007B040000}"/>
    <cellStyle name="SAPBEXstdItem 2 2" xfId="358" xr:uid="{00000000-0005-0000-0000-00007C040000}"/>
    <cellStyle name="SAPBEXstdItem 3" xfId="359" xr:uid="{00000000-0005-0000-0000-00007D040000}"/>
    <cellStyle name="SAPBEXstdItem 3 2" xfId="360" xr:uid="{00000000-0005-0000-0000-00007E040000}"/>
    <cellStyle name="SAPBEXstdItem 4" xfId="361" xr:uid="{00000000-0005-0000-0000-00007F040000}"/>
    <cellStyle name="SAPBEXstdItem_00 Totaal ramingsbijstellingen SF" xfId="362" xr:uid="{00000000-0005-0000-0000-000080040000}"/>
    <cellStyle name="SAPBEXstdItemX" xfId="363" xr:uid="{00000000-0005-0000-0000-000081040000}"/>
    <cellStyle name="SAPBEXstdItemX 2" xfId="364" xr:uid="{00000000-0005-0000-0000-000082040000}"/>
    <cellStyle name="SAPBEXstdItemX 3" xfId="365" xr:uid="{00000000-0005-0000-0000-000083040000}"/>
    <cellStyle name="SAPBEXtitle" xfId="366" xr:uid="{00000000-0005-0000-0000-000084040000}"/>
    <cellStyle name="SAPBEXtitle 2" xfId="367" xr:uid="{00000000-0005-0000-0000-000085040000}"/>
    <cellStyle name="SAPBEXtitle 3" xfId="368" xr:uid="{00000000-0005-0000-0000-000086040000}"/>
    <cellStyle name="SAPBEXtitle 4" xfId="369" xr:uid="{00000000-0005-0000-0000-000087040000}"/>
    <cellStyle name="SAPBEXundefined" xfId="370" xr:uid="{00000000-0005-0000-0000-000088040000}"/>
    <cellStyle name="SAPBEXundefined 2" xfId="371" xr:uid="{00000000-0005-0000-0000-000089040000}"/>
    <cellStyle name="SAPBEXundefined 3" xfId="372" xr:uid="{00000000-0005-0000-0000-00008A040000}"/>
    <cellStyle name="SAPBEXundefined 4" xfId="373" xr:uid="{00000000-0005-0000-0000-00008B040000}"/>
    <cellStyle name="Standaard 10" xfId="374" xr:uid="{00000000-0005-0000-0000-00008C040000}"/>
    <cellStyle name="Standaard 11" xfId="375" xr:uid="{00000000-0005-0000-0000-00008D040000}"/>
    <cellStyle name="Standaard 12" xfId="376" xr:uid="{00000000-0005-0000-0000-00008E040000}"/>
    <cellStyle name="Standaard 13" xfId="377" xr:uid="{00000000-0005-0000-0000-00008F040000}"/>
    <cellStyle name="Standaard 13 2" xfId="378" xr:uid="{00000000-0005-0000-0000-000090040000}"/>
    <cellStyle name="Standaard 13 3" xfId="379" xr:uid="{00000000-0005-0000-0000-000091040000}"/>
    <cellStyle name="Standaard 13 4" xfId="380" xr:uid="{00000000-0005-0000-0000-000092040000}"/>
    <cellStyle name="Standaard 14" xfId="381" xr:uid="{00000000-0005-0000-0000-000093040000}"/>
    <cellStyle name="Standaard 15" xfId="382" xr:uid="{00000000-0005-0000-0000-000094040000}"/>
    <cellStyle name="Standaard 16" xfId="383" xr:uid="{00000000-0005-0000-0000-000095040000}"/>
    <cellStyle name="Standaard 17" xfId="384" xr:uid="{00000000-0005-0000-0000-000096040000}"/>
    <cellStyle name="Standaard 18" xfId="385" xr:uid="{00000000-0005-0000-0000-000097040000}"/>
    <cellStyle name="Standaard 19" xfId="386" xr:uid="{00000000-0005-0000-0000-000098040000}"/>
    <cellStyle name="Standaard 2" xfId="15" xr:uid="{00000000-0005-0000-0000-000099040000}"/>
    <cellStyle name="Standaard 2 2" xfId="33" xr:uid="{00000000-0005-0000-0000-00009A040000}"/>
    <cellStyle name="Standaard 2 2 2" xfId="1319" xr:uid="{00000000-0005-0000-0000-00009B040000}"/>
    <cellStyle name="Standaard 2 3" xfId="387" xr:uid="{00000000-0005-0000-0000-00009C040000}"/>
    <cellStyle name="Standaard 2 3 2" xfId="388" xr:uid="{00000000-0005-0000-0000-00009D040000}"/>
    <cellStyle name="Standaard 2 4" xfId="389" xr:uid="{00000000-0005-0000-0000-00009E040000}"/>
    <cellStyle name="Standaard 2 5" xfId="390" xr:uid="{00000000-0005-0000-0000-00009F040000}"/>
    <cellStyle name="Standaard 2 6" xfId="34" xr:uid="{00000000-0005-0000-0000-0000A0040000}"/>
    <cellStyle name="Standaard 2 7" xfId="1311" xr:uid="{00000000-0005-0000-0000-0000A1040000}"/>
    <cellStyle name="Standaard 2_format" xfId="1324" xr:uid="{00000000-0005-0000-0000-0000A2040000}"/>
    <cellStyle name="Standaard 20" xfId="391" xr:uid="{00000000-0005-0000-0000-0000A3040000}"/>
    <cellStyle name="Standaard 21" xfId="392" xr:uid="{00000000-0005-0000-0000-0000A4040000}"/>
    <cellStyle name="Standaard 22" xfId="393" xr:uid="{00000000-0005-0000-0000-0000A5040000}"/>
    <cellStyle name="Standaard 23" xfId="394" xr:uid="{00000000-0005-0000-0000-0000A6040000}"/>
    <cellStyle name="Standaard 24" xfId="395" xr:uid="{00000000-0005-0000-0000-0000A7040000}"/>
    <cellStyle name="Standaard 25" xfId="396" xr:uid="{00000000-0005-0000-0000-0000A8040000}"/>
    <cellStyle name="Standaard 26" xfId="397" xr:uid="{00000000-0005-0000-0000-0000A9040000}"/>
    <cellStyle name="Standaard 26 2" xfId="1314" xr:uid="{00000000-0005-0000-0000-0000AA040000}"/>
    <cellStyle name="Standaard 26 2 2" xfId="1322" xr:uid="{00000000-0005-0000-0000-0000AB040000}"/>
    <cellStyle name="Standaard 26 2_format" xfId="1325" xr:uid="{00000000-0005-0000-0000-0000AC040000}"/>
    <cellStyle name="Standaard 26 3" xfId="1317" xr:uid="{00000000-0005-0000-0000-0000AD040000}"/>
    <cellStyle name="Standaard 26 4" xfId="1310" xr:uid="{00000000-0005-0000-0000-0000AE040000}"/>
    <cellStyle name="Standaard 26_format" xfId="1323" xr:uid="{00000000-0005-0000-0000-0000AF040000}"/>
    <cellStyle name="Standaard 3" xfId="25" xr:uid="{00000000-0005-0000-0000-0000B0040000}"/>
    <cellStyle name="Standaard 3 2" xfId="398" xr:uid="{00000000-0005-0000-0000-0000B1040000}"/>
    <cellStyle name="Standaard 3 2 2" xfId="1320" xr:uid="{00000000-0005-0000-0000-0000B2040000}"/>
    <cellStyle name="Standaard 3 3" xfId="399" xr:uid="{00000000-0005-0000-0000-0000B3040000}"/>
    <cellStyle name="Standaard 3 4" xfId="1307" xr:uid="{00000000-0005-0000-0000-0000B4040000}"/>
    <cellStyle name="Standaard 3 5" xfId="1312" xr:uid="{00000000-0005-0000-0000-0000B5040000}"/>
    <cellStyle name="Standaard 3_format" xfId="1315" xr:uid="{00000000-0005-0000-0000-0000B6040000}"/>
    <cellStyle name="Standaard 4" xfId="400" xr:uid="{00000000-0005-0000-0000-0000B7040000}"/>
    <cellStyle name="Standaard 4 2" xfId="401" xr:uid="{00000000-0005-0000-0000-0000B8040000}"/>
    <cellStyle name="Standaard 5" xfId="402" xr:uid="{00000000-0005-0000-0000-0000B9040000}"/>
    <cellStyle name="Standaard 5 2" xfId="403" xr:uid="{00000000-0005-0000-0000-0000BA040000}"/>
    <cellStyle name="Standaard 6" xfId="404" xr:uid="{00000000-0005-0000-0000-0000BB040000}"/>
    <cellStyle name="Standaard 6 2" xfId="405" xr:uid="{00000000-0005-0000-0000-0000BC040000}"/>
    <cellStyle name="Standaard 6 3" xfId="406" xr:uid="{00000000-0005-0000-0000-0000BD040000}"/>
    <cellStyle name="Standaard 7" xfId="407" xr:uid="{00000000-0005-0000-0000-0000BE040000}"/>
    <cellStyle name="Standaard 7 2" xfId="408" xr:uid="{00000000-0005-0000-0000-0000BF040000}"/>
    <cellStyle name="Standaard 7 2 2" xfId="409" xr:uid="{00000000-0005-0000-0000-0000C0040000}"/>
    <cellStyle name="Standaard 8" xfId="410" xr:uid="{00000000-0005-0000-0000-0000C1040000}"/>
    <cellStyle name="Standaard 9" xfId="411" xr:uid="{00000000-0005-0000-0000-0000C2040000}"/>
    <cellStyle name="STANDAARD1" xfId="10" xr:uid="{00000000-0005-0000-0000-0000C3040000}"/>
    <cellStyle name="Standaard2_Sserie1" xfId="1188" xr:uid="{00000000-0005-0000-0000-0000C4040000}"/>
    <cellStyle name="Standard_DIAGRAM" xfId="412" xr:uid="{00000000-0005-0000-0000-0000C5040000}"/>
    <cellStyle name="Sub-titles" xfId="413" xr:uid="{00000000-0005-0000-0000-0000C6040000}"/>
    <cellStyle name="Sub-titles Cols" xfId="414" xr:uid="{00000000-0005-0000-0000-0000C7040000}"/>
    <cellStyle name="Sub-titles rows" xfId="415" xr:uid="{00000000-0005-0000-0000-0000C8040000}"/>
    <cellStyle name="Table No." xfId="416" xr:uid="{00000000-0005-0000-0000-0000C9040000}"/>
    <cellStyle name="Table Title" xfId="417" xr:uid="{00000000-0005-0000-0000-0000CA040000}"/>
    <cellStyle name="temp" xfId="418" xr:uid="{00000000-0005-0000-0000-0000CB040000}"/>
    <cellStyle name="Titel" xfId="1273" xr:uid="{00000000-0005-0000-0000-0000CC040000}"/>
    <cellStyle name="Title 2" xfId="419" xr:uid="{00000000-0005-0000-0000-0000CD040000}"/>
    <cellStyle name="Title 3" xfId="1278" xr:uid="{00000000-0005-0000-0000-0000CE040000}"/>
    <cellStyle name="title1" xfId="420" xr:uid="{00000000-0005-0000-0000-0000CF040000}"/>
    <cellStyle name="Titles" xfId="421" xr:uid="{00000000-0005-0000-0000-0000D0040000}"/>
    <cellStyle name="TOTAAL" xfId="11" xr:uid="{00000000-0005-0000-0000-0000D1040000}"/>
    <cellStyle name="Totaal 2" xfId="422" xr:uid="{00000000-0005-0000-0000-0000D2040000}"/>
    <cellStyle name="Totaal 2 2" xfId="423" xr:uid="{00000000-0005-0000-0000-0000D3040000}"/>
    <cellStyle name="Totaal 3" xfId="424" xr:uid="{00000000-0005-0000-0000-0000D4040000}"/>
    <cellStyle name="Totaal 4" xfId="1189" xr:uid="{00000000-0005-0000-0000-0000D5040000}"/>
    <cellStyle name="Totaal_Totaal" xfId="1274" xr:uid="{00000000-0005-0000-0000-0000D6040000}"/>
    <cellStyle name="Total 2" xfId="425" xr:uid="{00000000-0005-0000-0000-0000D7040000}"/>
    <cellStyle name="TOTAL 2 2" xfId="1191" xr:uid="{00000000-0005-0000-0000-0000D8040000}"/>
    <cellStyle name="TOTAL 2 3" xfId="1190" xr:uid="{00000000-0005-0000-0000-0000D9040000}"/>
    <cellStyle name="TOTAL 3" xfId="1192" xr:uid="{00000000-0005-0000-0000-0000DA040000}"/>
    <cellStyle name="Total 4" xfId="1292" xr:uid="{00000000-0005-0000-0000-0000DB040000}"/>
    <cellStyle name="Tusental (0)_Blad2" xfId="426" xr:uid="{00000000-0005-0000-0000-0000DC040000}"/>
    <cellStyle name="Tusental_Blad2" xfId="427" xr:uid="{00000000-0005-0000-0000-0000DD040000}"/>
    <cellStyle name="Uitvoer" xfId="1275" xr:uid="{00000000-0005-0000-0000-0000DE040000}"/>
    <cellStyle name="Uitvoer 2" xfId="428" xr:uid="{00000000-0005-0000-0000-0000DF040000}"/>
    <cellStyle name="Uitvoer 3" xfId="429" xr:uid="{00000000-0005-0000-0000-0000E0040000}"/>
    <cellStyle name="Valuta (0)_Blad2" xfId="430" xr:uid="{00000000-0005-0000-0000-0000E1040000}"/>
    <cellStyle name="Valuta 2" xfId="431" xr:uid="{00000000-0005-0000-0000-0000E2040000}"/>
    <cellStyle name="Valuta 2 2" xfId="432" xr:uid="{00000000-0005-0000-0000-0000E3040000}"/>
    <cellStyle name="Valuta 2 3" xfId="433" xr:uid="{00000000-0005-0000-0000-0000E4040000}"/>
    <cellStyle name="Valuta 3" xfId="434" xr:uid="{00000000-0005-0000-0000-0000E5040000}"/>
    <cellStyle name="Valuta 4" xfId="435" xr:uid="{00000000-0005-0000-0000-0000E6040000}"/>
    <cellStyle name="Valuta 5" xfId="436" xr:uid="{00000000-0005-0000-0000-0000E7040000}"/>
    <cellStyle name="Valuta 6" xfId="437" xr:uid="{00000000-0005-0000-0000-0000E8040000}"/>
    <cellStyle name="Valuta 7" xfId="438" xr:uid="{00000000-0005-0000-0000-0000E9040000}"/>
    <cellStyle name="Valuta 8" xfId="439" xr:uid="{00000000-0005-0000-0000-0000EA040000}"/>
    <cellStyle name="Valuta0" xfId="440" xr:uid="{00000000-0005-0000-0000-0000EB040000}"/>
    <cellStyle name="Valuta0 10" xfId="1236" xr:uid="{00000000-0005-0000-0000-0000EC040000}"/>
    <cellStyle name="Valuta0 2" xfId="1194" xr:uid="{00000000-0005-0000-0000-0000ED040000}"/>
    <cellStyle name="Valuta0 2 2" xfId="1195" xr:uid="{00000000-0005-0000-0000-0000EE040000}"/>
    <cellStyle name="Valuta0 2 2 2" xfId="1196" xr:uid="{00000000-0005-0000-0000-0000EF040000}"/>
    <cellStyle name="Valuta0 2 2 2 2" xfId="1239" xr:uid="{00000000-0005-0000-0000-0000F0040000}"/>
    <cellStyle name="Valuta0 2 2 3" xfId="1197" xr:uid="{00000000-0005-0000-0000-0000F1040000}"/>
    <cellStyle name="Valuta0 2 2 3 2" xfId="1240" xr:uid="{00000000-0005-0000-0000-0000F2040000}"/>
    <cellStyle name="Valuta0 2 2 4" xfId="1238" xr:uid="{00000000-0005-0000-0000-0000F3040000}"/>
    <cellStyle name="Valuta0 2 3" xfId="1198" xr:uid="{00000000-0005-0000-0000-0000F4040000}"/>
    <cellStyle name="Valuta0 2 3 2" xfId="1199" xr:uid="{00000000-0005-0000-0000-0000F5040000}"/>
    <cellStyle name="Valuta0 2 3 2 2" xfId="1242" xr:uid="{00000000-0005-0000-0000-0000F6040000}"/>
    <cellStyle name="Valuta0 2 3 3" xfId="1200" xr:uid="{00000000-0005-0000-0000-0000F7040000}"/>
    <cellStyle name="Valuta0 2 3 3 2" xfId="1243" xr:uid="{00000000-0005-0000-0000-0000F8040000}"/>
    <cellStyle name="Valuta0 2 3 4" xfId="1241" xr:uid="{00000000-0005-0000-0000-0000F9040000}"/>
    <cellStyle name="Valuta0 2 4" xfId="1201" xr:uid="{00000000-0005-0000-0000-0000FA040000}"/>
    <cellStyle name="Valuta0 2 4 2" xfId="1202" xr:uid="{00000000-0005-0000-0000-0000FB040000}"/>
    <cellStyle name="Valuta0 2 4 2 2" xfId="1245" xr:uid="{00000000-0005-0000-0000-0000FC040000}"/>
    <cellStyle name="Valuta0 2 4 3" xfId="1203" xr:uid="{00000000-0005-0000-0000-0000FD040000}"/>
    <cellStyle name="Valuta0 2 4 3 2" xfId="1246" xr:uid="{00000000-0005-0000-0000-0000FE040000}"/>
    <cellStyle name="Valuta0 2 4 4" xfId="1244" xr:uid="{00000000-0005-0000-0000-0000FF040000}"/>
    <cellStyle name="Valuta0 2 5" xfId="1204" xr:uid="{00000000-0005-0000-0000-000000050000}"/>
    <cellStyle name="Valuta0 2 5 2" xfId="1247" xr:uid="{00000000-0005-0000-0000-000001050000}"/>
    <cellStyle name="Valuta0 2 6" xfId="1205" xr:uid="{00000000-0005-0000-0000-000002050000}"/>
    <cellStyle name="Valuta0 2 6 2" xfId="1248" xr:uid="{00000000-0005-0000-0000-000003050000}"/>
    <cellStyle name="Valuta0 2 7" xfId="1206" xr:uid="{00000000-0005-0000-0000-000004050000}"/>
    <cellStyle name="Valuta0 2 8" xfId="1237" xr:uid="{00000000-0005-0000-0000-000005050000}"/>
    <cellStyle name="Valuta0 3" xfId="1207" xr:uid="{00000000-0005-0000-0000-000006050000}"/>
    <cellStyle name="Valuta0 3 2" xfId="1208" xr:uid="{00000000-0005-0000-0000-000007050000}"/>
    <cellStyle name="Valuta0 3 2 2" xfId="1250" xr:uid="{00000000-0005-0000-0000-000008050000}"/>
    <cellStyle name="Valuta0 3 3" xfId="1209" xr:uid="{00000000-0005-0000-0000-000009050000}"/>
    <cellStyle name="Valuta0 3 3 2" xfId="1251" xr:uid="{00000000-0005-0000-0000-00000A050000}"/>
    <cellStyle name="Valuta0 3 4" xfId="1210" xr:uid="{00000000-0005-0000-0000-00000B050000}"/>
    <cellStyle name="Valuta0 3 5" xfId="1249" xr:uid="{00000000-0005-0000-0000-00000C050000}"/>
    <cellStyle name="Valuta0 4" xfId="1211" xr:uid="{00000000-0005-0000-0000-00000D050000}"/>
    <cellStyle name="Valuta0 4 2" xfId="1212" xr:uid="{00000000-0005-0000-0000-00000E050000}"/>
    <cellStyle name="Valuta0 4 2 2" xfId="1253" xr:uid="{00000000-0005-0000-0000-00000F050000}"/>
    <cellStyle name="Valuta0 4 3" xfId="1213" xr:uid="{00000000-0005-0000-0000-000010050000}"/>
    <cellStyle name="Valuta0 4 3 2" xfId="1254" xr:uid="{00000000-0005-0000-0000-000011050000}"/>
    <cellStyle name="Valuta0 4 4" xfId="1214" xr:uid="{00000000-0005-0000-0000-000012050000}"/>
    <cellStyle name="Valuta0 4 5" xfId="1252" xr:uid="{00000000-0005-0000-0000-000013050000}"/>
    <cellStyle name="Valuta0 5" xfId="1215" xr:uid="{00000000-0005-0000-0000-000014050000}"/>
    <cellStyle name="Valuta0 5 2" xfId="1216" xr:uid="{00000000-0005-0000-0000-000015050000}"/>
    <cellStyle name="Valuta0 5 2 2" xfId="1256" xr:uid="{00000000-0005-0000-0000-000016050000}"/>
    <cellStyle name="Valuta0 5 3" xfId="1217" xr:uid="{00000000-0005-0000-0000-000017050000}"/>
    <cellStyle name="Valuta0 5 3 2" xfId="1257" xr:uid="{00000000-0005-0000-0000-000018050000}"/>
    <cellStyle name="Valuta0 5 4" xfId="1255" xr:uid="{00000000-0005-0000-0000-000019050000}"/>
    <cellStyle name="Valuta0 6" xfId="1218" xr:uid="{00000000-0005-0000-0000-00001A050000}"/>
    <cellStyle name="Valuta0 6 2" xfId="1258" xr:uid="{00000000-0005-0000-0000-00001B050000}"/>
    <cellStyle name="Valuta0 7" xfId="1219" xr:uid="{00000000-0005-0000-0000-00001C050000}"/>
    <cellStyle name="Valuta0 7 2" xfId="1259" xr:uid="{00000000-0005-0000-0000-00001D050000}"/>
    <cellStyle name="Valuta0 8" xfId="1220" xr:uid="{00000000-0005-0000-0000-00001E050000}"/>
    <cellStyle name="Valuta0 9" xfId="1193" xr:uid="{00000000-0005-0000-0000-00001F050000}"/>
    <cellStyle name="Vast" xfId="441" xr:uid="{00000000-0005-0000-0000-000020050000}"/>
    <cellStyle name="Vast 2" xfId="1221" xr:uid="{00000000-0005-0000-0000-000021050000}"/>
    <cellStyle name="Vast1" xfId="1222" xr:uid="{00000000-0005-0000-0000-000022050000}"/>
    <cellStyle name="Vast1 2" xfId="1223" xr:uid="{00000000-0005-0000-0000-000023050000}"/>
    <cellStyle name="Verklarende tekst" xfId="1276" xr:uid="{00000000-0005-0000-0000-000024050000}"/>
    <cellStyle name="Verklarende tekst 2" xfId="442" xr:uid="{00000000-0005-0000-0000-000025050000}"/>
    <cellStyle name="Verklarende tekst 3" xfId="443" xr:uid="{00000000-0005-0000-0000-000026050000}"/>
    <cellStyle name="Waarschuwingstekst" xfId="1277" xr:uid="{00000000-0005-0000-0000-000027050000}"/>
    <cellStyle name="Waarschuwingstekst 2" xfId="444" xr:uid="{00000000-0005-0000-0000-000028050000}"/>
    <cellStyle name="Waarschuwingstekst 3" xfId="445" xr:uid="{00000000-0005-0000-0000-000029050000}"/>
    <cellStyle name="Währung [0]_DIAGRAM" xfId="446" xr:uid="{00000000-0005-0000-0000-00002A050000}"/>
    <cellStyle name="Währung_DIAGRAM" xfId="447" xr:uid="{00000000-0005-0000-0000-00002B050000}"/>
    <cellStyle name="Warning Text 2" xfId="448" xr:uid="{00000000-0005-0000-0000-00002C050000}"/>
    <cellStyle name="Warning Text 3" xfId="1290" xr:uid="{00000000-0005-0000-0000-00002D050000}"/>
  </cellStyles>
  <dxfs count="0"/>
  <tableStyles count="0" defaultTableStyle="TableStyleMedium9" defaultPivotStyle="PivotStyleLight16"/>
  <colors>
    <mruColors>
      <color rgb="FFFF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ia\rathenau$\group\Microdata\F&amp;C%20publicaties\27%20TWIN%202019-2025%20Begroting%202021\Overzichten\Totaaloverzicht%20TWIN%202019-2025.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onne Koens" refreshedDate="43812.459676388891" createdVersion="6" refreshedVersion="6" minRefreshableVersion="3" recordCount="267" xr:uid="{00000000-000A-0000-FFFF-FFFF00000000}">
  <cacheSource type="worksheet">
    <worksheetSource ref="A1:O279" sheet="R&amp;D Data" r:id="rId2"/>
  </cacheSource>
  <cacheFields count="15">
    <cacheField name="Ministerie" numFmtId="0">
      <sharedItems count="11">
        <s v="Algemene Zaken"/>
        <s v="Buitenlandse Zaken"/>
        <s v="Justitie en Veiligheid"/>
        <s v="Binnenlandse Zaken"/>
        <s v="Onderwijs, Cultuur en Wetenschap"/>
        <s v="Defensie"/>
        <s v="Infrastructuur en Waterstaat"/>
        <s v="Economische Zaken en Klimaat"/>
        <s v="Landbouw, Natuur en Voedselkwaliteit"/>
        <s v="Sociale Zaken en Werkgelegenheid"/>
        <s v="Volksgezondheid, Welzijn en Sport"/>
      </sharedItems>
    </cacheField>
    <cacheField name="Artikelnr." numFmtId="0">
      <sharedItems containsBlank="1" containsMixedTypes="1" containsNumber="1" containsInteger="1" minValue="1" maxValue="98"/>
    </cacheField>
    <cacheField name="Begrotingsartikel" numFmtId="0">
      <sharedItems/>
    </cacheField>
    <cacheField name="2018" numFmtId="0">
      <sharedItems containsString="0" containsBlank="1" containsNumber="1" minValue="0" maxValue="177.34483467953947" count="203">
        <n v="0.53"/>
        <n v="0.24399999999999999"/>
        <n v="0.60499999999999998"/>
        <n v="23.437999999999999"/>
        <n v="5.36"/>
        <n v="7.11"/>
        <n v="2.1890000000000001"/>
        <n v="6.45"/>
        <n v="10.262511"/>
        <n v="0.65"/>
        <n v="4.6333333333333337E-2"/>
        <n v="1.6253333333333335"/>
        <m/>
        <n v="2.2255499999999997"/>
        <n v="0.71775"/>
        <n v="9.9456436843018654"/>
        <n v="30.547041705892862"/>
        <n v="11.305616722354081"/>
        <n v="16.96017988745119"/>
        <n v="10.50889378757515"/>
        <n v="43.793861723446895"/>
        <n v="13.995775551102204"/>
        <n v="10.225897795591184"/>
        <n v="16.743156312625253"/>
        <n v="1.7666372745490981"/>
        <n v="177.34483467953947"/>
        <n v="92.391215689774285"/>
        <n v="34.264956858007707"/>
        <n v="67.569133797168007"/>
        <n v="48.05724374504959"/>
        <n v="70"/>
        <n v="9.5842000000000009"/>
        <n v="62.237516510407445"/>
        <n v="14.40081549619671"/>
        <n v="33.008983872869862"/>
        <n v="29.248826874572131"/>
        <n v="21.988857245953838"/>
        <n v="8"/>
        <n v="85.38"/>
        <n v="28.986000000000001"/>
        <n v="6.2649999999999997"/>
        <n v="9.6080000000000005"/>
        <n v="0.221"/>
        <n v="2.5"/>
        <n v="3.1469999999999998"/>
        <n v="0.75349999999999995"/>
        <n v="0"/>
        <n v="0.91800000000000004"/>
        <n v="5.1760000000000002"/>
        <n v="31.065000000000001"/>
        <n v="44.198999999999998"/>
        <n v="8.4250000000000007"/>
        <n v="9.3668399999999998"/>
        <n v="0.31583999999999995"/>
        <n v="1.2350000000000001"/>
        <n v="0.76200000000000001"/>
        <n v="41.83"/>
        <n v="0.51700000000000002"/>
        <n v="5.0430000000000001"/>
        <n v="17.289000000000001"/>
        <n v="0.25"/>
        <n v="3.3000000000000002E-2"/>
        <n v="0.2"/>
        <n v="0.6"/>
        <n v="0.36299999999999999"/>
        <n v="0.13"/>
        <n v="0.55000000000000004"/>
        <n v="0.47499999999999998"/>
        <n v="1.1890000000000001"/>
        <n v="0.35"/>
        <n v="29.526"/>
        <n v="5.0155366325582973"/>
        <n v="3.6520000000000001"/>
        <n v="0.45"/>
        <n v="2.4590000000000001"/>
        <n v="3.87"/>
        <n v="0.502"/>
        <n v="1"/>
        <n v="3.5000000000000003E-2"/>
        <n v="0.3"/>
        <n v="0.22500000000000001"/>
        <n v="0.23"/>
        <n v="1.0546200000000001"/>
        <n v="0.72199999999999998"/>
        <n v="0.80103999999999997"/>
        <n v="0.42605500000000002"/>
        <n v="1.43892"/>
        <n v="0.436"/>
        <n v="9.4259999999999997E-2"/>
        <n v="1.29"/>
        <n v="1.32582"/>
        <n v="0.85385999999999995"/>
        <n v="0.36486000000000002"/>
        <n v="1.8440000000000001"/>
        <n v="0.59499999999999997"/>
        <n v="0.16400000000000001"/>
        <n v="2.3337500000000002"/>
        <n v="4.985995"/>
        <n v="0.107"/>
        <n v="12.632400000000001"/>
        <n v="15.432"/>
        <n v="0.01"/>
        <n v="0.81100000000000005"/>
        <n v="0.159"/>
        <n v="1.631"/>
        <n v="9.4399999999999998E-2"/>
        <n v="17.007158333333333"/>
        <n v="46.530820833333337"/>
        <n v="58.856233333333336"/>
        <n v="21.115629166666668"/>
        <n v="40.99"/>
        <n v="12.115748943140515"/>
        <n v="1.1986671288729678"/>
        <n v="15.679821521583479"/>
        <n v="54.674933276423218"/>
        <n v="18.209008811097679"/>
        <n v="21.190820651342303"/>
        <n v="6.1509999999999998"/>
        <n v="14.035"/>
        <n v="21.995000000000001"/>
        <n v="25.638999999999999"/>
        <n v="0.4"/>
        <n v="3.7999999999999999E-2"/>
        <n v="2.75"/>
        <n v="104"/>
        <n v="0.19500000000000001"/>
        <n v="5.99"/>
        <n v="2.423"/>
        <n v="2.8000000000000001E-2"/>
        <n v="5.3769999999999998"/>
        <n v="65.075000000000003"/>
        <n v="3.589"/>
        <n v="0.20100000000000001"/>
        <n v="3.5999999999999997E-2"/>
        <n v="0.08"/>
        <n v="1.079"/>
        <n v="2.2155"/>
        <n v="9.3048000000000002"/>
        <n v="0.8216"/>
        <n v="27.352"/>
        <n v="13.856"/>
        <n v="15.0745"/>
        <n v="14.25"/>
        <n v="2.802"/>
        <n v="0.29520000000000002"/>
        <n v="2.5865"/>
        <n v="2.5649999999999999"/>
        <n v="0.76800000000000002"/>
        <n v="0.32400000000000001"/>
        <n v="0.64400000000000002"/>
        <n v="15.85"/>
        <n v="6.9892500000000002"/>
        <n v="8.4579000000000004"/>
        <n v="0.25800000000000001"/>
        <n v="0.94974999999999998"/>
        <n v="0.113"/>
        <n v="0.65500000000000003"/>
        <n v="1.4379999999999999"/>
        <n v="7.25"/>
        <n v="8.1000000000000003E-2"/>
        <n v="2.1509999999999998"/>
        <n v="0.879"/>
        <n v="11.904"/>
        <n v="137.738"/>
        <n v="2.7869999999999999"/>
        <n v="5.45"/>
        <n v="32.359000000000002"/>
        <n v="1.7789999999999999"/>
        <n v="3.8410000000000002"/>
        <n v="3.01"/>
        <n v="0.65200000000000002"/>
        <n v="0.501"/>
        <n v="23.245000000000001"/>
        <n v="3.8889999999999998"/>
        <n v="64.367999999999995"/>
        <n v="38.793999999999997"/>
        <n v="51.83"/>
        <n v="1.3"/>
        <n v="0.56000000000000005"/>
        <n v="1.349"/>
        <n v="1.329"/>
        <n v="0.23899999999999999"/>
        <n v="1.145"/>
        <n v="6.2439999999999998"/>
        <n v="4.0389999999999997"/>
        <n v="2.57"/>
        <n v="0.42499999999999999"/>
        <n v="0.17199999999999999"/>
        <n v="1.996"/>
        <n v="22"/>
        <n v="7"/>
        <n v="15.4"/>
        <n v="1.708"/>
        <n v="17.422999999999998"/>
        <n v="2.0781000000000001"/>
        <n v="155.441"/>
        <n v="5.3920000000000003"/>
        <n v="16.399999999999999"/>
        <n v="4.665"/>
        <n v="10.9"/>
        <n v="6.0650000000000004"/>
        <n v="3.1030000000000002"/>
        <n v="6.5000000000000002E-2"/>
      </sharedItems>
    </cacheField>
    <cacheField name="2019" numFmtId="0">
      <sharedItems containsString="0" containsBlank="1" containsNumber="1" minValue="0" maxValue="174.328" count="200">
        <n v="0.69399999999999995"/>
        <n v="0.31"/>
        <n v="1.8"/>
        <n v="26.629000000000001"/>
        <n v="5.3869999999999996"/>
        <n v="4.585"/>
        <n v="2.5249999999999999"/>
        <n v="6.7"/>
        <n v="11.366922000000001"/>
        <n v="1.0549999999999999"/>
        <n v="7.5333333333333335E-2"/>
        <n v="2.6376666666666666"/>
        <m/>
        <n v="2.2540499999999999"/>
        <n v="0.73649999999999993"/>
        <n v="9.9712905883503886"/>
        <n v="30.625813585568572"/>
        <n v="11.33477059881411"/>
        <n v="17.003915227266926"/>
        <n v="11.241899799599199"/>
        <n v="61.501060120240481"/>
        <n v="15.68354509018036"/>
        <n v="10.829931863727456"/>
        <n v="20.789535070140282"/>
        <n v="2.0830360721442887"/>
        <n v="152.52349860686923"/>
        <n v="79.460061427839463"/>
        <n v="29.469203932781518"/>
        <n v="58.112099533106502"/>
        <n v="41.331110447299103"/>
        <n v="108"/>
        <n v="9.6407000000000007"/>
        <n v="66.105963942449421"/>
        <n v="15.295915443127543"/>
        <n v="35.060696827643142"/>
        <n v="31.066822764466909"/>
        <n v="23.355601022312968"/>
        <n v="8"/>
        <n v="85.38"/>
        <n v="29.957000000000001"/>
        <n v="6.2649999999999997"/>
        <n v="9.6080000000000005"/>
        <n v="0.221"/>
        <n v="2.5"/>
        <n v="3.1469999999999998"/>
        <n v="3.0985"/>
        <n v="0"/>
        <n v="0.94099999999999995"/>
        <n v="5.2270000000000003"/>
        <n v="31.065000000000001"/>
        <n v="46.167999999999999"/>
        <n v="9.8710000000000004"/>
        <n v="9.9999900000000004"/>
        <n v="0.32436000000000004"/>
        <n v="1.829"/>
        <n v="0.78200000000000003"/>
        <n v="42.808"/>
        <n v="0.51700000000000002"/>
        <n v="6.86"/>
        <n v="20.053000000000001"/>
        <n v="3.3000000000000002E-2"/>
        <n v="0.15"/>
        <n v="0.6"/>
        <n v="0.13"/>
        <n v="0.55000000000000004"/>
        <n v="0.47499999999999998"/>
        <n v="1.1659999999999999"/>
        <n v="0.35"/>
        <n v="30.274000000000001"/>
        <n v="5.3739977128184977"/>
        <n v="6.319"/>
        <n v="0.4"/>
        <n v="1.2190000000000001"/>
        <n v="3.8690000000000002"/>
        <n v="0.35499999999999998"/>
        <n v="1"/>
        <n v="3.7999999999999999E-2"/>
        <n v="0.3"/>
        <n v="0.22500000000000001"/>
        <n v="1.1434500000000001"/>
        <n v="0.87400000000000011"/>
        <n v="1.0323"/>
        <n v="0.31727500000000003"/>
        <n v="1.79352"/>
        <n v="9.0179999999999982E-2"/>
        <n v="2.8620000000000001"/>
        <n v="2.5745"/>
        <n v="0.75772000000000006"/>
        <n v="5.70418"/>
        <n v="2.2930000000000001"/>
        <n v="0.79459999999999997"/>
        <n v="0.34920000000000001"/>
        <n v="1.45635"/>
        <n v="2.3707500000000001"/>
        <n v="5.1639999999999997"/>
        <n v="26.575199999999999"/>
        <n v="17.292999999999999"/>
        <n v="0.26200000000000001"/>
        <n v="0.52400000000000002"/>
        <n v="0.16300000000000001"/>
        <n v="17.931698809523809"/>
        <n v="49.060322023809526"/>
        <n v="62.055766666666671"/>
        <n v="22.263513690476191"/>
        <n v="44.21"/>
        <n v="14.500917957225365"/>
        <n v="1.4346429408023265"/>
        <n v="18.76663230110492"/>
        <n v="65.438523485340014"/>
        <n v="21.793728484413254"/>
        <n v="25.362555229024103"/>
        <n v="18.585999999999999"/>
        <n v="24.161000000000001"/>
        <n v="5"/>
        <n v="24.091000000000001"/>
        <n v="0.88749999999999996"/>
        <n v="1.8420000000000001"/>
        <n v="0.01"/>
        <n v="1.446"/>
        <n v="3.0000000000000001E-3"/>
        <n v="7.6070000000000002"/>
        <n v="62.936"/>
        <n v="2.9449999999999998"/>
        <n v="0.56200000000000006"/>
        <n v="0.2"/>
        <n v="1.504"/>
        <n v="1.5036"/>
        <n v="2.8"/>
        <n v="8.1806999999999999"/>
        <n v="0.23930000000000001"/>
        <n v="2.4641999999999999"/>
        <n v="42.338999999999999"/>
        <n v="15.29"/>
        <n v="40.857599999999998"/>
        <n v="14.5215"/>
        <n v="23.613"/>
        <n v="8.1839999999999993"/>
        <n v="2.0726399999999998"/>
        <n v="1.21848"/>
        <n v="4.8334999999999999"/>
        <n v="2.625"/>
        <n v="0.40400000000000003"/>
        <n v="1.2350000000000001"/>
        <n v="0.53100000000000003"/>
        <n v="1.62"/>
        <n v="15.791499999999999"/>
        <n v="7.3147500000000001"/>
        <n v="20.379000000000001"/>
        <n v="0.45"/>
        <n v="0.55825000000000002"/>
        <n v="2.3650000000000002"/>
        <n v="7.25"/>
        <n v="1.55"/>
        <n v="2.4249999999999998"/>
        <n v="0.183"/>
        <n v="8.7129999999999992"/>
        <n v="3.4000000000000002E-2"/>
        <n v="1.5309999999999999"/>
        <n v="5.33"/>
        <n v="18.253"/>
        <n v="1.7889999999999999"/>
        <n v="9.2810000000000006"/>
        <n v="6.0860000000000003"/>
        <n v="1.34"/>
        <n v="0.93700000000000006"/>
        <n v="3.5"/>
        <n v="2.6775000000000002"/>
        <n v="23.431999999999999"/>
        <n v="4.1139999999999999"/>
        <n v="65.114000000000004"/>
        <n v="20.966999999999999"/>
        <n v="48.935000000000002"/>
        <n v="1.8759999999999999"/>
        <n v="2.0310000000000001"/>
        <n v="0.82099999999999995"/>
        <n v="2.1840000000000002"/>
        <n v="1.891"/>
        <n v="0.20100000000000001"/>
        <n v="1.679"/>
        <n v="4.7779999999999996"/>
        <n v="4.3140000000000001"/>
        <n v="2.194"/>
        <n v="0.42499999999999999"/>
        <n v="0.123"/>
        <n v="1.8109999999999999"/>
        <n v="22"/>
        <n v="7"/>
        <n v="15.4"/>
        <n v="2.7759999999999998"/>
        <n v="17.422999999999998"/>
        <n v="1.7869999999999999"/>
        <n v="9.8789999999999996"/>
        <n v="174.328"/>
        <n v="5.9089999999999998"/>
        <n v="16.7"/>
        <n v="11.17"/>
        <n v="7.157"/>
        <n v="3.6070000000000002"/>
        <n v="9.4E-2"/>
        <n v="7.5999999999999998E-2"/>
      </sharedItems>
    </cacheField>
    <cacheField name="2020" numFmtId="0">
      <sharedItems containsBlank="1" containsMixedTypes="1" containsNumber="1" minValue="0" maxValue="279.99" count="194">
        <n v="0.59399999999999997"/>
        <n v="0.24199999999999999"/>
        <n v="3"/>
        <n v="26.157"/>
        <n v="5.3310000000000004"/>
        <n v="3.1880000000000002"/>
        <n v="2.512"/>
        <n v="6.7"/>
        <n v="10.662939"/>
        <n v="0.84633333333333338"/>
        <n v="6.0333333333333329E-2"/>
        <n v="2.1160000000000001"/>
        <m/>
        <n v="2.2498499999999999"/>
        <n v="0.73649999999999993"/>
        <n v="9.9969667109035392"/>
        <n v="30.704675206934986"/>
        <n v="11.363957689133894"/>
        <n v="17.04770039302759"/>
        <n v="11.241899799599199"/>
        <n v="61.501060120240481"/>
        <n v="15.68354509018036"/>
        <n v="10.829931863727456"/>
        <n v="20.789535070140282"/>
        <n v="2.0830360721442887"/>
        <n v="152.77564115631355"/>
        <n v="79.591419957183589"/>
        <n v="29.517920624160716"/>
        <n v="58.208166913304794"/>
        <n v="41.399436519378057"/>
        <n v="130"/>
        <n v="4.7779000000000007"/>
        <n v="64.17174022642844"/>
        <n v="14.848365469662125"/>
        <n v="34.034840350256502"/>
        <n v="30.157824819519522"/>
        <n v="22.672229134133403"/>
        <n v="8"/>
        <n v="55.38"/>
        <n v="26.132999999999999"/>
        <n v="6.2649999999999997"/>
        <n v="9.6080000000000005"/>
        <n v="0.221"/>
        <n v="2.5"/>
        <n v="3.1469999999999998"/>
        <n v="2.3864999999999998"/>
        <n v="0"/>
        <n v="0.94099999999999995"/>
        <n v="5.2270000000000003"/>
        <n v="31.065000000000001"/>
        <n v="46.167999999999999"/>
        <n v="9.9019999999999992"/>
        <n v="9.4645799999999998"/>
        <n v="0.32436000000000004"/>
        <n v="2.0259999999999998"/>
        <n v="0.78200000000000003"/>
        <n v="42.183"/>
        <n v="0.51700000000000002"/>
        <n v="1.5"/>
        <n v="5.8"/>
        <n v="26.510999999999999"/>
        <n v="3.3000000000000002E-2"/>
        <n v="0.15"/>
        <n v="0.6"/>
        <s v="pm"/>
        <n v="0.13"/>
        <n v="0.55000000000000004"/>
        <n v="0.47499999999999998"/>
        <n v="1.1659999999999999"/>
        <n v="0.35"/>
        <n v="26.428000000000001"/>
        <n v="5.3739977128184977"/>
        <n v="2.286"/>
        <n v="0.4"/>
        <n v="1.5860000000000001"/>
        <n v="3.8690000000000002"/>
        <n v="0.29099999999999998"/>
        <n v="1"/>
        <n v="3.7999999999999999E-2"/>
        <n v="0.3"/>
        <n v="0.22500000000000001"/>
        <n v="1.9160400000000002"/>
        <n v="0.51400000000000001"/>
        <n v="1.0676399999999999"/>
        <n v="0.29877500000000001"/>
        <n v="1.5811200000000003"/>
        <n v="0.1074"/>
        <n v="3.8029999999999999"/>
        <n v="2.0841099999999999"/>
        <n v="1.1723000000000001"/>
        <n v="7.4272500000000008"/>
        <n v="1.3129999999999999"/>
        <n v="0.8196"/>
        <n v="0.34920000000000001"/>
        <n v="1.4107499999999999"/>
        <n v="4.7785000000000002"/>
        <n v="2.3707500000000001"/>
        <n v="5.1935099999999998"/>
        <n v="2.0379"/>
        <n v="35.2179"/>
        <n v="18.132000000000001"/>
        <n v="0.26200000000000001"/>
        <n v="0.52400000000000002"/>
        <n v="0.16300000000000001"/>
        <n v="18.103023809523812"/>
        <n v="49.529059523809529"/>
        <n v="62.648666666666678"/>
        <n v="22.476226190476194"/>
        <n v="40.850999999999999"/>
        <n v="16.249529977539673"/>
        <n v="1.6076412226039309"/>
        <n v="21.02963102431195"/>
        <n v="73.329512807231225"/>
        <n v="24.421753531360224"/>
        <n v="28.420931882845473"/>
        <n v="6.8739999999999997"/>
        <n v="18.988"/>
        <n v="24.259"/>
        <n v="7.5"/>
        <n v="24.007000000000001"/>
        <n v="4.1025"/>
        <n v="0.01"/>
        <n v="0.79"/>
        <n v="16.312000000000001"/>
        <n v="8.4740000000000002"/>
        <n v="71.644000000000005"/>
        <n v="2.97"/>
        <n v="0.56200000000000006"/>
        <n v="7.0083000000000002"/>
        <n v="1.64"/>
        <n v="35.46"/>
        <n v="19.745000000000001"/>
        <n v="32.7761"/>
        <n v="17.866499999999998"/>
        <n v="1.2"/>
        <n v="0.60924"/>
        <n v="4.1260000000000003"/>
        <n v="2.7250000000000001"/>
        <n v="0.19900000000000001"/>
        <n v="0.34399999999999997"/>
        <n v="8.8109999999999999"/>
        <n v="12.01"/>
        <n v="20.041799999999999"/>
        <n v="1.47"/>
        <n v="0.59199999999999997"/>
        <n v="4.08"/>
        <n v="7.6509999999999998"/>
        <n v="1.5660000000000001"/>
        <n v="1.925"/>
        <n v="0.25"/>
        <n v="9.4969999999999999"/>
        <n v="1.8220000000000001"/>
        <n v="5.28"/>
        <n v="23.885999999999999"/>
        <n v="1.7889999999999999"/>
        <n v="7.2140000000000004"/>
        <n v="15.898"/>
        <n v="1.2669999999999999"/>
        <n v="0.41299999999999998"/>
        <n v="3.5"/>
        <n v="5"/>
        <n v="2.6739999999999999"/>
        <n v="24.15"/>
        <n v="4.2220000000000004"/>
        <n v="64.209000000000003"/>
        <n v="17.754999999999999"/>
        <n v="58.84"/>
        <n v="0.37"/>
        <n v="1.1890000000000001"/>
        <n v="0.51600000000000001"/>
        <n v="2.9359999999999999"/>
        <n v="2.2170000000000001"/>
        <n v="0.20100000000000001"/>
        <n v="1.724"/>
        <n v="4.5739999999999998"/>
        <n v="4.2679999999999998"/>
        <n v="2.0459999999999998"/>
        <n v="0.45"/>
        <n v="0.66"/>
        <n v="1.821"/>
        <n v="22"/>
        <n v="7"/>
        <n v="15.4"/>
        <n v="6.8920000000000003"/>
        <n v="17.422999999999998"/>
        <n v="6.2"/>
        <n v="279.99"/>
        <n v="6.0469999999999997"/>
        <n v="17.600000000000001"/>
        <n v="11.17"/>
        <n v="7.3"/>
        <n v="3.6789999999999998"/>
        <n v="9.6000000000000002E-2"/>
        <n v="7.8E-2"/>
      </sharedItems>
    </cacheField>
    <cacheField name="2021" numFmtId="0">
      <sharedItems containsBlank="1" containsMixedTypes="1" containsNumber="1" minValue="0" maxValue="253.512" count="192">
        <n v="0.59399999999999997"/>
        <n v="0.24199999999999999"/>
        <n v="3"/>
        <n v="25.286000000000001"/>
        <n v="5.2060000000000004"/>
        <n v="3.1878500000000001"/>
        <n v="2.52"/>
        <n v="6.7"/>
        <n v="10.582236"/>
        <n v="0.9903333333333334"/>
        <n v="7.0666666666666669E-2"/>
        <n v="2.4756666666666667"/>
        <m/>
        <n v="2.2498499999999999"/>
        <n v="0.73649999999999993"/>
        <n v="9.987330245574185"/>
        <n v="30.675077775370273"/>
        <n v="11.353003527992581"/>
        <n v="17.031267451062959"/>
        <n v="11.241899799599199"/>
        <n v="61.501060120240481"/>
        <n v="15.68354509018036"/>
        <n v="10.829931863727456"/>
        <n v="20.789535070140282"/>
        <n v="2.0830360721442887"/>
        <n v="151.6631552888586"/>
        <n v="79.011848965349586"/>
        <n v="29.302976217562303"/>
        <n v="57.784305081854477"/>
        <n v="41.097972963409184"/>
        <n v="130"/>
        <n v="4.7779000000000007"/>
        <n v="64.17174022642844"/>
        <n v="14.848365469662125"/>
        <n v="34.034840350256502"/>
        <n v="30.157824819519522"/>
        <n v="22.672229134133403"/>
        <n v="8"/>
        <n v="55.38"/>
        <n v="21.542000000000002"/>
        <n v="6.266"/>
        <n v="9.609"/>
        <n v="0.221"/>
        <n v="2.5"/>
        <n v="1.5"/>
        <n v="2.7235"/>
        <n v="0"/>
        <n v="0.94099999999999995"/>
        <n v="5.2270000000000003"/>
        <n v="31.065000000000001"/>
        <n v="46.167999999999999"/>
        <n v="9.9019999999999992"/>
        <n v="9.4597200000000008"/>
        <n v="0.32436000000000004"/>
        <n v="2.0760000000000001"/>
        <n v="0.78200000000000003"/>
        <n v="42.183"/>
        <n v="0.51700000000000002"/>
        <n v="5.8"/>
        <n v="26.542999999999999"/>
        <n v="0.15"/>
        <n v="0.6"/>
        <s v="pm"/>
        <n v="0.13"/>
        <n v="0.55000000000000004"/>
        <n v="0.47499999999999998"/>
        <n v="1.1659999999999999"/>
        <n v="0.35"/>
        <n v="24.888999999999999"/>
        <n v="5.3739977128184977"/>
        <n v="2.2989999999999999"/>
        <n v="0.4"/>
        <n v="1.5740000000000001"/>
        <n v="3.8690000000000002"/>
        <n v="0.45600000000000002"/>
        <n v="0.752"/>
        <n v="3.7999999999999999E-2"/>
        <n v="0.3"/>
        <n v="0.22500000000000001"/>
        <n v="1.2677700000000001"/>
        <n v="0.373"/>
        <n v="1.085"/>
        <n v="0.29877500000000001"/>
        <n v="1.6426799999999999"/>
        <n v="0.1047"/>
        <n v="2.9550000000000001"/>
        <n v="1.5602799999999999"/>
        <n v="1.5579999999999998"/>
        <n v="1.52501"/>
        <n v="1.3"/>
        <n v="1.0758000000000001"/>
        <n v="0.34920000000000001"/>
        <n v="2.7987000000000002"/>
        <n v="4.9039000000000001"/>
        <n v="2.3707500000000001"/>
        <n v="5.2091200000000004"/>
        <n v="2.3490000000000002"/>
        <n v="36.188099999999999"/>
        <n v="18.132000000000001"/>
        <n v="0.26200000000000001"/>
        <n v="1.2E-2"/>
        <n v="0.16300000000000001"/>
        <n v="18.048882142857142"/>
        <n v="49.380930357142859"/>
        <n v="62.461300000000001"/>
        <n v="22.409005357142856"/>
        <n v="41.036000000000001"/>
        <n v="16.946336411487692"/>
        <n v="1.676579508753675"/>
        <n v="21.931416012649937"/>
        <n v="76.474002302803015"/>
        <n v="25.468998283206339"/>
        <n v="29.639667946112429"/>
        <n v="6.8739999999999997"/>
        <n v="18.988"/>
        <n v="24.259"/>
        <n v="10"/>
        <n v="24.756"/>
        <n v="4.5824999999999996"/>
        <n v="0.01"/>
        <n v="0.495"/>
        <n v="7.55"/>
        <n v="6.6390000000000002"/>
        <n v="55.704000000000001"/>
        <n v="2.9750000000000001"/>
        <n v="0.56200000000000006"/>
        <n v="7.2270000000000003"/>
        <n v="1"/>
        <n v="3.5"/>
        <n v="35.622"/>
        <n v="20.56"/>
        <n v="24.584"/>
        <n v="15.795999999999999"/>
        <n v="2"/>
        <n v="1.2"/>
        <n v="0.60924"/>
        <n v="4.1280000000000001"/>
        <n v="2.7250000000000001"/>
        <n v="0.183"/>
        <n v="0.23899999999999999"/>
        <n v="9.6750000000000007"/>
        <n v="3.8849999999999998"/>
        <n v="17.100000000000001"/>
        <n v="1.3023"/>
        <n v="0.59199999999999997"/>
        <n v="3.38"/>
        <n v="5.4009999999999998"/>
        <n v="1.82"/>
        <n v="2.0249999999999999"/>
        <n v="0.25"/>
        <n v="7.0670000000000002"/>
        <n v="1.8220000000000001"/>
        <n v="5.28"/>
        <n v="22.007000000000001"/>
        <n v="1.7889999999999999"/>
        <n v="6.1829999999999998"/>
        <n v="13.792"/>
        <n v="1.2669999999999999"/>
        <n v="0.503"/>
        <n v="5"/>
        <n v="2.6575000000000002"/>
        <n v="24.15"/>
        <n v="4.2220000000000004"/>
        <n v="64.055000000000007"/>
        <n v="15.446999999999999"/>
        <n v="58.805999999999997"/>
        <n v="1.66"/>
        <n v="2.9359999999999999"/>
        <n v="2.1179999999999999"/>
        <n v="0.20100000000000001"/>
        <n v="2.5059999999999998"/>
        <n v="4.6100000000000003"/>
        <n v="4.048"/>
        <n v="2.468"/>
        <n v="0.45"/>
        <n v="0.5"/>
        <n v="1.821"/>
        <n v="22"/>
        <n v="7"/>
        <n v="15.4"/>
        <n v="6.3719999999999999"/>
        <n v="17.422999999999998"/>
        <n v="6.2"/>
        <n v="253.512"/>
        <n v="6.0789999999999997"/>
        <n v="16.899999999999999"/>
        <n v="1.7"/>
        <n v="11.17"/>
        <n v="7.4459999999999997"/>
        <n v="3.7530000000000001"/>
        <n v="9.8000000000000004E-2"/>
        <n v="0.08"/>
      </sharedItems>
    </cacheField>
    <cacheField name="2022" numFmtId="0">
      <sharedItems containsBlank="1" containsMixedTypes="1" containsNumber="1" minValue="0" maxValue="179.572" count="191">
        <n v="0.59399999999999997"/>
        <n v="0.24199999999999999"/>
        <n v="3"/>
        <n v="24.245000000000001"/>
        <n v="4.9180000000000001"/>
        <n v="3.1878500000000001"/>
        <n v="2.6280000000000001"/>
        <n v="6.7"/>
        <n v="10.582089"/>
        <n v="1.0256666666666667"/>
        <n v="7.3333333333333334E-2"/>
        <n v="2.5640000000000001"/>
        <m/>
        <n v="2.2468499999999998"/>
        <n v="0.73649999999999993"/>
        <n v="9.978866859811653"/>
        <n v="30.649083339407397"/>
        <n v="11.343382853992802"/>
        <n v="17.016834946788148"/>
        <n v="11.241899799599199"/>
        <n v="61.501060120240481"/>
        <n v="15.68354509018036"/>
        <n v="10.829931863727456"/>
        <n v="20.789535070140282"/>
        <n v="2.0830360721442887"/>
        <n v="151.88784841612392"/>
        <n v="79.128907188233228"/>
        <n v="29.346389381108615"/>
        <n v="57.869914115841446"/>
        <n v="41.158860738372233"/>
        <n v="130"/>
        <n v="4.7234000000000007"/>
        <n v="64.17174022642844"/>
        <n v="14.848365469662125"/>
        <n v="34.034840350256502"/>
        <n v="30.157824819519522"/>
        <n v="22.672229134133403"/>
        <n v="8"/>
        <n v="55.38"/>
        <n v="18.068999999999999"/>
        <n v="6.266"/>
        <n v="9.609"/>
        <n v="0.221"/>
        <n v="2.5"/>
        <n v="1.5"/>
        <n v="2.7040000000000002"/>
        <n v="0"/>
        <n v="0.94099999999999995"/>
        <n v="5.2270000000000003"/>
        <n v="31.065000000000001"/>
        <n v="46.167999999999999"/>
        <n v="9.9019999999999992"/>
        <n v="9.2304899999999996"/>
        <n v="0.32436000000000004"/>
        <n v="2.0510000000000002"/>
        <n v="0.78200000000000003"/>
        <n v="42.183"/>
        <n v="0.51700000000000002"/>
        <n v="5.8"/>
        <n v="26.573"/>
        <n v="3.3000000000000002E-2"/>
        <n v="0.15"/>
        <n v="0.6"/>
        <s v="pm"/>
        <n v="0.13"/>
        <n v="0.55000000000000004"/>
        <n v="0.47499999999999998"/>
        <n v="1.1659999999999999"/>
        <n v="0.35"/>
        <n v="24.898"/>
        <n v="5.3739977128184977"/>
        <n v="2.302"/>
        <n v="0.4"/>
        <n v="1.639"/>
        <n v="3.8690000000000002"/>
        <n v="0.45600000000000002"/>
        <n v="0.502"/>
        <n v="3.7999999999999999E-2"/>
        <n v="0.3"/>
        <n v="0.22500000000000001"/>
        <n v="1.6182600000000003"/>
        <n v="0.37200000000000005"/>
        <n v="1.0846900000000002"/>
        <n v="0.280275"/>
        <n v="1.68588"/>
        <n v="0.1014"/>
        <n v="2.1110000000000002"/>
        <n v="1.4630000000000001"/>
        <n v="0.41800000000000004"/>
        <n v="1.3702499999999997"/>
        <n v="1.349"/>
        <n v="1.0027999999999999"/>
        <n v="0.34920000000000001"/>
        <n v="2.6770999999999998"/>
        <n v="5.0283499999999997"/>
        <n v="2.3707500000000001"/>
        <n v="5.1671199999999997"/>
        <n v="2.5188000000000001"/>
        <n v="35.2881"/>
        <n v="18.132000000000001"/>
        <n v="0.26200000000000001"/>
        <n v="1.2E-2"/>
        <n v="0.16300000000000001"/>
        <n v="17.582691666666669"/>
        <n v="48.105454166666675"/>
        <n v="60.847966666666679"/>
        <n v="21.830195833333335"/>
        <n v="40.686"/>
        <n v="17.247780505970432"/>
        <n v="1.7064027684584671"/>
        <n v="22.321535486271149"/>
        <n v="77.834333870398495"/>
        <n v="25.922044826036633"/>
        <n v="30.166903016149647"/>
        <n v="6.8739999999999997"/>
        <n v="18.988"/>
        <n v="24.259"/>
        <n v="10"/>
        <n v="24.242000000000001"/>
        <n v="4.3834999999999997"/>
        <n v="0.01"/>
        <n v="0.495"/>
        <n v="24.574000000000002"/>
        <n v="5.6"/>
        <n v="39.719000000000001"/>
        <n v="2.99"/>
        <n v="0.56200000000000006"/>
        <n v="7.0605000000000002"/>
        <n v="1"/>
        <n v="4.5"/>
        <n v="39.804000000000002"/>
        <n v="17.195"/>
        <n v="35.741300000000003"/>
        <n v="13.646000000000001"/>
        <n v="1.2"/>
        <n v="4.532"/>
        <n v="2.7250000000000001"/>
        <n v="0.184"/>
        <n v="0.315"/>
        <n v="10.925000000000001"/>
        <n v="0.76"/>
        <n v="21.15"/>
        <n v="1.6425000000000001"/>
        <n v="0.59199999999999997"/>
        <n v="2.88"/>
        <n v="5.4009999999999998"/>
        <n v="2.12"/>
        <n v="2.4249999999999998"/>
        <n v="0.25"/>
        <n v="7.0620000000000003"/>
        <n v="1.8220000000000001"/>
        <n v="5.28"/>
        <n v="22.012"/>
        <n v="1.7889999999999999"/>
        <n v="5.1529999999999996"/>
        <n v="10.166"/>
        <n v="1.2669999999999999"/>
        <n v="0.503"/>
        <n v="2.6575000000000002"/>
        <n v="24.016999999999999"/>
        <n v="4.1959999999999997"/>
        <n v="64.546999999999997"/>
        <n v="14.026"/>
        <n v="58.783999999999999"/>
        <n v="0.74099999999999999"/>
        <n v="1.8260000000000001"/>
        <n v="3.073"/>
        <n v="1.835"/>
        <n v="0.20100000000000001"/>
        <n v="2.5059999999999998"/>
        <n v="3.0910000000000002"/>
        <n v="6.7480000000000002"/>
        <n v="2.52"/>
        <n v="0.45"/>
        <n v="0.5"/>
        <n v="1.821"/>
        <n v="22"/>
        <n v="7"/>
        <n v="15.4"/>
        <n v="6.3719999999999999"/>
        <n v="17.422999999999998"/>
        <n v="6.2"/>
        <n v="179.572"/>
        <n v="5.5970000000000004"/>
        <n v="17"/>
        <n v="3.2"/>
        <n v="11.17"/>
        <n v="7.5949999999999998"/>
        <n v="3.8279999999999998"/>
        <n v="0.1"/>
        <n v="8.2000000000000003E-2"/>
      </sharedItems>
    </cacheField>
    <cacheField name="2023" numFmtId="0">
      <sharedItems containsBlank="1" containsMixedTypes="1" containsNumber="1" minValue="0" maxValue="193.05600000000001" count="188">
        <n v="0.59399999999999997"/>
        <n v="0.24199999999999999"/>
        <n v="3"/>
        <n v="23.425000000000001"/>
        <n v="4.8849999999999998"/>
        <n v="3.1878500000000001"/>
        <n v="2.629"/>
        <n v="6.7"/>
        <n v="10.582971000000001"/>
        <n v="0.91100000000000003"/>
        <n v="6.5000000000000002E-2"/>
        <n v="2.2770000000000001"/>
        <m/>
        <n v="2.2468499999999998"/>
        <n v="0.73649999999999993"/>
        <n v="9.9881450368442088"/>
        <n v="30.677580324596551"/>
        <n v="11.35392973428953"/>
        <n v="17.032656904269707"/>
        <n v="11.241899799599199"/>
        <n v="61.501060120240481"/>
        <n v="15.68354509018036"/>
        <n v="10.829931863727456"/>
        <n v="20.789535070140282"/>
        <n v="2.0830360721442887"/>
        <n v="151.88980908913669"/>
        <n v="79.129928638694679"/>
        <n v="29.346768204525247"/>
        <n v="57.870661140570824"/>
        <n v="41.159392045309076"/>
        <n v="130"/>
        <n v="4.7846000000000002"/>
        <n v="64.17174022642844"/>
        <n v="14.848365469662125"/>
        <n v="34.034840350256502"/>
        <n v="30.157824819519522"/>
        <n v="22.672229134133403"/>
        <n v="8"/>
        <n v="55.38"/>
        <n v="16.582000000000001"/>
        <n v="6.266"/>
        <n v="9.609"/>
        <n v="0.221"/>
        <n v="2.5"/>
        <n v="1.5"/>
        <n v="2.7235"/>
        <n v="0"/>
        <n v="0.94099999999999995"/>
        <n v="5.2270000000000003"/>
        <n v="31.065000000000001"/>
        <n v="46.167999999999999"/>
        <n v="9.9019999999999992"/>
        <n v="9.2718000000000007"/>
        <n v="0.32436000000000004"/>
        <n v="1.9259999999999999"/>
        <n v="0.78200000000000003"/>
        <n v="42.183"/>
        <n v="0.51700000000000002"/>
        <n v="5.8"/>
        <n v="26.573"/>
        <n v="3.3000000000000002E-2"/>
        <n v="0.15"/>
        <n v="0.6"/>
        <s v="pm"/>
        <n v="0.13"/>
        <n v="0.55000000000000004"/>
        <n v="0.47499999999999998"/>
        <n v="1.1659999999999999"/>
        <n v="0.35"/>
        <n v="24.911000000000001"/>
        <n v="5.3739977128184977"/>
        <n v="2.3140000000000001"/>
        <n v="0.4"/>
        <n v="1.6539999999999999"/>
        <n v="3.8690000000000002"/>
        <n v="0.45600000000000002"/>
        <n v="0.502"/>
        <n v="3.7999999999999999E-2"/>
        <n v="0.3"/>
        <n v="0.22500000000000001"/>
        <n v="1.04958"/>
        <n v="0.37200000000000005"/>
        <n v="1.0846900000000002"/>
        <n v="0.23772499999999996"/>
        <n v="1.76868"/>
        <n v="0.1014"/>
        <n v="1.161"/>
        <n v="1.4595799999999999"/>
        <n v="0.51907999999999999"/>
        <n v="1.3194999999999999"/>
        <n v="1.431"/>
        <n v="1.0518000000000001"/>
        <n v="0.34920000000000001"/>
        <n v="2.6770999999999998"/>
        <n v="5.0283499999999997"/>
        <n v="2.3707500000000001"/>
        <n v="5.1671199999999997"/>
        <n v="2.3931"/>
        <n v="35.832599999999999"/>
        <n v="18.132000000000001"/>
        <n v="0.26200000000000001"/>
        <n v="1.2E-2"/>
        <n v="0.16300000000000001"/>
        <n v="17.582691666666669"/>
        <n v="48.105454166666675"/>
        <n v="60.847966666666679"/>
        <n v="21.830195833333335"/>
        <n v="39.856999999999999"/>
        <n v="17.247780505970432"/>
        <n v="1.7064027684584671"/>
        <n v="22.321535486271149"/>
        <n v="77.834333870398495"/>
        <n v="25.922044826036633"/>
        <n v="30.166903016149647"/>
        <n v="6.8739999999999997"/>
        <n v="18.988"/>
        <n v="24.259"/>
        <n v="10"/>
        <n v="24.242000000000001"/>
        <n v="4.4335000000000004"/>
        <n v="0.01"/>
        <n v="0.495"/>
        <n v="38.048000000000002"/>
        <n v="0.48099999999999998"/>
        <n v="31.731999999999999"/>
        <n v="2.99"/>
        <n v="0.56200000000000006"/>
        <n v="0.89500000000000002"/>
        <n v="6.9531000000000001"/>
        <n v="5.5"/>
        <n v="39.966000000000001"/>
        <n v="16.966999999999999"/>
        <n v="41.129899999999999"/>
        <n v="5.633"/>
        <n v="4.5235000000000003"/>
        <n v="2.7250000000000001"/>
        <n v="0.158"/>
        <n v="10.925000000000001"/>
        <n v="0.13500000000000001"/>
        <n v="21.164999999999999"/>
        <n v="1.2887999999999999"/>
        <n v="0.59199999999999997"/>
        <n v="3.48"/>
        <n v="5.4009999999999998"/>
        <n v="1.1200000000000001"/>
        <n v="0.25"/>
        <n v="8.4619999999999997"/>
        <n v="1.8220000000000001"/>
        <n v="5.28"/>
        <n v="22.012"/>
        <n v="1.7889999999999999"/>
        <n v="4.1449999999999996"/>
        <n v="11.266"/>
        <n v="1.3919999999999999"/>
        <n v="0.503"/>
        <n v="2.762"/>
        <n v="24.914000000000001"/>
        <n v="4.1959999999999997"/>
        <n v="64.546999999999997"/>
        <n v="11.897"/>
        <n v="57.084000000000003"/>
        <n v="1.252"/>
        <n v="2.2599999999999998"/>
        <n v="3.073"/>
        <n v="1.835"/>
        <n v="0.20100000000000001"/>
        <n v="2.5059999999999998"/>
        <n v="2.581"/>
        <n v="6.7480000000000002"/>
        <n v="2.516"/>
        <n v="4"/>
        <n v="0.5"/>
        <n v="1.821"/>
        <n v="22"/>
        <n v="7"/>
        <n v="15.4"/>
        <n v="6.3719999999999999"/>
        <n v="17.422999999999998"/>
        <n v="6.2"/>
        <n v="193.05600000000001"/>
        <n v="5.3970000000000002"/>
        <n v="15.2"/>
        <n v="3.2"/>
        <n v="11.17"/>
        <n v="7.7469999999999999"/>
        <n v="3.9049999999999998"/>
        <n v="0.10199999999999999"/>
        <n v="8.4000000000000005E-2"/>
      </sharedItems>
    </cacheField>
    <cacheField name="2024" numFmtId="0">
      <sharedItems containsBlank="1" containsMixedTypes="1" containsNumber="1" minValue="0" maxValue="170.553" count="184">
        <n v="0.59399999999999997"/>
        <n v="0.24199999999999999"/>
        <n v="3"/>
        <n v="23.497"/>
        <n v="4.8780000000000001"/>
        <n v="3.1878500000000001"/>
        <n v="2.629"/>
        <n v="6.7"/>
        <n v="10.582971000000001"/>
        <n v="0.88566666666666671"/>
        <n v="6.3333333333333339E-2"/>
        <n v="2.214"/>
        <m/>
        <n v="2.2468499999999998"/>
        <n v="0.73649999999999993"/>
        <n v="9.9881450368442088"/>
        <n v="30.677580324596551"/>
        <n v="11.35392973428953"/>
        <n v="17.032656904269707"/>
        <n v="11.241899799599199"/>
        <n v="61.501060120240481"/>
        <n v="15.68354509018036"/>
        <n v="10.829931863727456"/>
        <n v="20.789535070140282"/>
        <n v="2.0830360721442887"/>
        <n v="151.85843832093209"/>
        <n v="79.113585431311279"/>
        <n v="29.340707029859093"/>
        <n v="57.858708744900738"/>
        <n v="41.150891134319473"/>
        <n v="130"/>
        <n v="4.7846000000000002"/>
        <n v="64.17174022642844"/>
        <n v="14.848365469662125"/>
        <n v="34.034840350256502"/>
        <n v="30.157824819519522"/>
        <n v="22.672229134133403"/>
        <n v="8"/>
        <n v="55.38"/>
        <n v="16.082000000000001"/>
        <n v="6.266"/>
        <n v="9.609"/>
        <n v="0.221"/>
        <n v="2.5"/>
        <n v="1.5"/>
        <n v="2.7235"/>
        <n v="0"/>
        <n v="0.94099999999999995"/>
        <n v="5.2270000000000003"/>
        <n v="31.065000000000001"/>
        <n v="46.167999999999999"/>
        <n v="9.9019999999999992"/>
        <n v="9.3676500000000011"/>
        <n v="0.32436000000000004"/>
        <n v="1.9259999999999999"/>
        <n v="0.78200000000000003"/>
        <n v="42.183"/>
        <n v="0.51700000000000002"/>
        <n v="5.8"/>
        <n v="26.573"/>
        <n v="3.3000000000000002E-2"/>
        <n v="0.15"/>
        <n v="0.6"/>
        <s v="pm"/>
        <n v="0.13"/>
        <n v="0.55000000000000004"/>
        <n v="0.47499999999999998"/>
        <n v="1.1659999999999999"/>
        <n v="0.35"/>
        <n v="24.911000000000001"/>
        <n v="5.3739977128184977"/>
        <n v="2.3140000000000001"/>
        <n v="0.4"/>
        <n v="1.6539999999999999"/>
        <n v="3.8690000000000002"/>
        <n v="0.45600000000000002"/>
        <n v="0.502"/>
        <n v="3.7999999999999999E-2"/>
        <n v="0.3"/>
        <n v="0.22500000000000001"/>
        <n v="1.0065300000000001"/>
        <n v="0.37200000000000005"/>
        <n v="1.0846900000000002"/>
        <n v="0.280275"/>
        <n v="1.68588"/>
        <n v="0.1014"/>
        <n v="1.161"/>
        <n v="1.3066299999999997"/>
        <n v="0.41800000000000004"/>
        <n v="0.14499999999999999"/>
        <n v="1.4750000000000001"/>
        <n v="1.0518000000000001"/>
        <n v="0.34920000000000001"/>
        <n v="2.6770999999999998"/>
        <n v="5.0283499999999997"/>
        <n v="2.3707500000000001"/>
        <n v="5.1671199999999997"/>
        <n v="2.3931"/>
        <n v="36.638100000000001"/>
        <n v="18.132000000000001"/>
        <n v="0.26200000000000001"/>
        <n v="1.2E-2"/>
        <n v="0.16300000000000001"/>
        <n v="17.582691666666669"/>
        <n v="48.105454166666675"/>
        <n v="60.847966666666679"/>
        <n v="21.830195833333335"/>
        <n v="39.856999999999999"/>
        <n v="17.247780505970432"/>
        <n v="1.7064027684584671"/>
        <n v="22.321535486271149"/>
        <n v="77.834333870398495"/>
        <n v="25.922044826036633"/>
        <n v="30.166903016149647"/>
        <n v="6.8739999999999997"/>
        <n v="18.988"/>
        <n v="24.259"/>
        <n v="10"/>
        <n v="24.242000000000001"/>
        <n v="3.871"/>
        <n v="0.01"/>
        <n v="0.495"/>
        <n v="44.488"/>
        <n v="5.0000000000000001E-3"/>
        <n v="25.768000000000001"/>
        <n v="2.99"/>
        <n v="0.56200000000000006"/>
        <n v="6.9531000000000001"/>
        <n v="5.5"/>
        <n v="41.722000000000001"/>
        <n v="16.966999999999999"/>
        <n v="38.327100000000002"/>
        <n v="6.5505000000000004"/>
        <n v="4.5735000000000001"/>
        <n v="2.7250000000000001"/>
        <n v="10.925000000000001"/>
        <n v="0.13500000000000001"/>
        <n v="21.09"/>
        <n v="0.50880000000000003"/>
        <n v="0.59199999999999997"/>
        <n v="5.48"/>
        <n v="5.4009999999999998"/>
        <n v="1.1200000000000001"/>
        <n v="0.25"/>
        <n v="8.4619999999999997"/>
        <n v="1.8220000000000001"/>
        <n v="5.28"/>
        <n v="22.012"/>
        <n v="1.7889999999999999"/>
        <n v="3.1309999999999998"/>
        <n v="11.166"/>
        <n v="1.3919999999999999"/>
        <n v="0.503"/>
        <n v="24.914000000000001"/>
        <n v="4.1959999999999997"/>
        <n v="64.546999999999997"/>
        <n v="11.897"/>
        <n v="57.084000000000003"/>
        <n v="1.9470000000000001"/>
        <n v="2.206"/>
        <n v="3.073"/>
        <n v="1.835"/>
        <n v="0.20100000000000001"/>
        <n v="2.5059999999999998"/>
        <n v="2.5840000000000001"/>
        <n v="6.7480000000000002"/>
        <n v="2.4340000000000002"/>
        <n v="0.5"/>
        <n v="1.821"/>
        <n v="22"/>
        <n v="7"/>
        <n v="15.4"/>
        <n v="6.3719999999999999"/>
        <n v="17.422999999999998"/>
        <n v="6.2"/>
        <n v="170.553"/>
        <n v="5.3970000000000002"/>
        <n v="14.3"/>
        <n v="3.2"/>
        <n v="11.17"/>
        <n v="7.9020000000000001"/>
        <n v="3.9830000000000001"/>
        <n v="0.104"/>
        <n v="8.5999999999999993E-2"/>
      </sharedItems>
    </cacheField>
    <cacheField name="%R&amp;D" numFmtId="0">
      <sharedItems containsSemiMixedTypes="0" containsString="0" containsNumber="1" minValue="0" maxValue="100"/>
    </cacheField>
    <cacheField name="Nabscode" numFmtId="0">
      <sharedItems containsMixedTypes="1" containsNumber="1" containsInteger="1" minValue="1" maxValue="14" count="25">
        <n v="11"/>
        <n v="1"/>
        <n v="3"/>
        <n v="5"/>
        <s v="12.1"/>
        <s v="12.2"/>
        <s v="12.3"/>
        <s v="12.4"/>
        <s v="12.5"/>
        <s v="12.6"/>
        <s v="13.5"/>
        <s v="13.1"/>
        <s v="13.3"/>
        <s v="13.6"/>
        <s v="13.2"/>
        <n v="13"/>
        <n v="10"/>
        <n v="9"/>
        <n v="7"/>
        <n v="14"/>
        <n v="4"/>
        <n v="2"/>
        <n v="6"/>
        <n v="8"/>
        <s v="13.4"/>
      </sharedItems>
    </cacheField>
    <cacheField name="NABS" numFmtId="0">
      <sharedItems/>
    </cacheField>
    <cacheField name="Bestemming" numFmtId="0">
      <sharedItems containsBlank="1"/>
    </cacheField>
    <cacheField name="Type"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zanne Vogelezang" refreshedDate="44995.488024768521" createdVersion="6" refreshedVersion="6" minRefreshableVersion="3" recordCount="281" xr:uid="{00000000-000A-0000-FFFF-FFFF01000000}">
  <cacheSource type="worksheet">
    <worksheetSource ref="A3:O284" sheet="R&amp;D data voor NABS"/>
  </cacheSource>
  <cacheFields count="15">
    <cacheField name="Ministerie" numFmtId="0">
      <sharedItems/>
    </cacheField>
    <cacheField name="Artikelnr." numFmtId="0">
      <sharedItems containsBlank="1" containsMixedTypes="1" containsNumber="1" containsInteger="1" minValue="1" maxValue="28"/>
    </cacheField>
    <cacheField name="Begrotingsartikel" numFmtId="0">
      <sharedItems/>
    </cacheField>
    <cacheField name="2021" numFmtId="0">
      <sharedItems containsString="0" containsBlank="1" containsNumber="1" minValue="0" maxValue="1131.8434107264875"/>
    </cacheField>
    <cacheField name="2022" numFmtId="0">
      <sharedItems containsString="0" containsBlank="1" containsNumber="1" minValue="-5.7000000000000002E-2" maxValue="1259.9233129225713"/>
    </cacheField>
    <cacheField name="2023" numFmtId="0">
      <sharedItems containsString="0" containsBlank="1" containsNumber="1" minValue="0" maxValue="1300.9471661428206"/>
    </cacheField>
    <cacheField name="2024" numFmtId="0">
      <sharedItems containsString="0" containsBlank="1" containsNumber="1" minValue="0" maxValue="1254.9113988061181"/>
    </cacheField>
    <cacheField name="2025" numFmtId="0">
      <sharedItems containsString="0" containsBlank="1" containsNumber="1" minValue="0" maxValue="1275.5756627757282"/>
    </cacheField>
    <cacheField name="2026" numFmtId="0">
      <sharedItems containsString="0" containsBlank="1" containsNumber="1" minValue="0" maxValue="1292.728696146808"/>
    </cacheField>
    <cacheField name="2027" numFmtId="0">
      <sharedItems containsString="0" containsBlank="1" containsNumber="1" minValue="0" maxValue="1303.2509365785409"/>
    </cacheField>
    <cacheField name="% R&amp;D van (sub-)artikel" numFmtId="0">
      <sharedItems containsMixedTypes="1" containsNumber="1" minValue="0" maxValue="100"/>
    </cacheField>
    <cacheField name="Nabscode" numFmtId="0">
      <sharedItems containsMixedTypes="1" containsNumber="1" containsInteger="1" minValue="1" maxValue="14" count="25">
        <n v="11"/>
        <n v="1"/>
        <n v="3"/>
        <n v="5"/>
        <s v="12.1"/>
        <s v="12.2"/>
        <s v="12.3"/>
        <s v="12.4"/>
        <s v="12.5"/>
        <s v="12.6"/>
        <s v="13.5"/>
        <s v="13.1"/>
        <s v="13.3"/>
        <s v="13.6"/>
        <s v="13.2"/>
        <n v="10"/>
        <s v="13.0"/>
        <n v="9"/>
        <n v="7"/>
        <n v="14"/>
        <n v="4"/>
        <n v="2"/>
        <n v="6"/>
        <n v="8"/>
        <s v="13.4"/>
      </sharedItems>
    </cacheField>
    <cacheField name="NABS" numFmtId="0">
      <sharedItems containsBlank="1"/>
    </cacheField>
    <cacheField name="Bestemming" numFmtId="0">
      <sharedItems containsBlank="1"/>
    </cacheField>
    <cacheField name="Typ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7">
  <r>
    <x v="0"/>
    <s v="0.1"/>
    <s v="Bevorderen van de eenheid van het algemeen regeringsbeleid: wetenschappelijke studies"/>
    <x v="0"/>
    <x v="0"/>
    <x v="0"/>
    <x v="0"/>
    <x v="0"/>
    <x v="0"/>
    <x v="0"/>
    <n v="100"/>
    <x v="0"/>
    <s v="Politieke en soc. systemen, structuren/processen"/>
    <s v="R"/>
    <s v="Proj."/>
  </r>
  <r>
    <x v="1"/>
    <n v="5"/>
    <s v="Stichting Instituut Clingendael"/>
    <x v="1"/>
    <x v="1"/>
    <x v="1"/>
    <x v="1"/>
    <x v="1"/>
    <x v="1"/>
    <x v="1"/>
    <n v="10"/>
    <x v="0"/>
    <s v="Politieke en soc. systemen, structuren/processen"/>
    <s v="SO"/>
    <s v="Inst."/>
  </r>
  <r>
    <x v="1"/>
    <n v="17"/>
    <s v="Onderzoeksprogramma"/>
    <x v="2"/>
    <x v="2"/>
    <x v="2"/>
    <x v="2"/>
    <x v="2"/>
    <x v="2"/>
    <x v="2"/>
    <n v="100"/>
    <x v="0"/>
    <s v="Politieke en soc. systemen, structuren/processen"/>
    <s v="IO"/>
    <s v="Proj."/>
  </r>
  <r>
    <x v="1"/>
    <n v="17"/>
    <s v="Landenspecifieke sectorale samenwerking"/>
    <x v="3"/>
    <x v="3"/>
    <x v="3"/>
    <x v="3"/>
    <x v="3"/>
    <x v="3"/>
    <x v="3"/>
    <n v="5"/>
    <x v="0"/>
    <s v="Politieke en soc. systemen, structuren/processen"/>
    <s v="IO"/>
    <s v="Proj."/>
  </r>
  <r>
    <x v="1"/>
    <n v="17"/>
    <s v="Thematische samenwerking"/>
    <x v="4"/>
    <x v="4"/>
    <x v="4"/>
    <x v="4"/>
    <x v="4"/>
    <x v="4"/>
    <x v="4"/>
    <n v="5"/>
    <x v="0"/>
    <s v="Politieke en soc. systemen, structuren/processen"/>
    <s v="IO"/>
    <s v="Proj."/>
  </r>
  <r>
    <x v="1"/>
    <n v="17"/>
    <s v="Speciale activiteiten"/>
    <x v="5"/>
    <x v="5"/>
    <x v="5"/>
    <x v="5"/>
    <x v="5"/>
    <x v="5"/>
    <x v="5"/>
    <n v="5"/>
    <x v="0"/>
    <s v="Politieke en soc. systemen, structuren/processen"/>
    <s v="IO"/>
    <s v="Proj."/>
  </r>
  <r>
    <x v="2"/>
    <m/>
    <s v="uitgevoerd door universiteiten"/>
    <x v="6"/>
    <x v="6"/>
    <x v="6"/>
    <x v="6"/>
    <x v="6"/>
    <x v="6"/>
    <x v="6"/>
    <n v="10"/>
    <x v="0"/>
    <s v="Politieke en soc. systemen, structuren/processen"/>
    <s v="U"/>
    <s v="Proj."/>
  </r>
  <r>
    <x v="2"/>
    <m/>
    <s v="uitgevoerd door onderzoeksinstituten"/>
    <x v="6"/>
    <x v="6"/>
    <x v="6"/>
    <x v="6"/>
    <x v="6"/>
    <x v="6"/>
    <x v="6"/>
    <n v="10"/>
    <x v="0"/>
    <s v="Politieke en soc. systemen, structuren/processen"/>
    <s v="SO"/>
    <s v="Proj."/>
  </r>
  <r>
    <x v="2"/>
    <m/>
    <s v="Uitgevoerd door eigen diensten/kenniscentra (WODC)"/>
    <x v="7"/>
    <x v="7"/>
    <x v="7"/>
    <x v="7"/>
    <x v="7"/>
    <x v="7"/>
    <x v="7"/>
    <n v="15"/>
    <x v="0"/>
    <s v="Politieke en soc. systemen, structuren/processen"/>
    <s v="R"/>
    <s v="Inst."/>
  </r>
  <r>
    <x v="2"/>
    <s v="33.3"/>
    <s v="Nederlands Forensisch Instituut"/>
    <x v="8"/>
    <x v="8"/>
    <x v="8"/>
    <x v="8"/>
    <x v="8"/>
    <x v="8"/>
    <x v="8"/>
    <n v="15"/>
    <x v="0"/>
    <s v="Politieke en soc. systemen, structuren/processen"/>
    <s v="R"/>
    <s v="Inst."/>
  </r>
  <r>
    <x v="3"/>
    <s v="H 7 - 3.1, 4.1 en 4.2"/>
    <s v="Woningmarkt, Energietransitie en duurzaamheid, bouwregelgeving en bouwkwaliteit"/>
    <x v="9"/>
    <x v="9"/>
    <x v="9"/>
    <x v="9"/>
    <x v="9"/>
    <x v="9"/>
    <x v="9"/>
    <n v="80"/>
    <x v="1"/>
    <s v="Exploratie en exploitatie van het aards milieu "/>
    <s v="R/SO"/>
    <s v="Proj."/>
  </r>
  <r>
    <x v="3"/>
    <s v="H 7 - 3.1, 4.1 en 4.3"/>
    <s v="Woningmarkt, Energietransitie en duurzaamheid, bouwregelgeving en bouwkwaliteit"/>
    <x v="9"/>
    <x v="9"/>
    <x v="9"/>
    <x v="9"/>
    <x v="9"/>
    <x v="9"/>
    <x v="9"/>
    <n v="80"/>
    <x v="2"/>
    <s v="Exploratie en exploitatie van de ruimte"/>
    <s v="R/SO"/>
    <s v="Proj."/>
  </r>
  <r>
    <x v="3"/>
    <s v="H 7 - 3.1, 4.1 en 4.4"/>
    <s v="Woningmarkt, Energietransitie en duurzaamheid, bouwregelgeving en bouwkwaliteit"/>
    <x v="9"/>
    <x v="9"/>
    <x v="9"/>
    <x v="9"/>
    <x v="9"/>
    <x v="9"/>
    <x v="9"/>
    <n v="80"/>
    <x v="3"/>
    <s v="Energie"/>
    <s v="R/SO"/>
    <s v="Proj."/>
  </r>
  <r>
    <x v="3"/>
    <s v="H 7 - 3.1, 4.1 en 4.3"/>
    <s v="Woningmarkt, Energietransitie en duurzaamheid, bouwregelgeving en bouwkwaliteit"/>
    <x v="10"/>
    <x v="10"/>
    <x v="10"/>
    <x v="10"/>
    <x v="10"/>
    <x v="10"/>
    <x v="10"/>
    <n v="80"/>
    <x v="1"/>
    <s v="Exploratie en exploitatie van het aards milieu "/>
    <s v="Diversen"/>
    <s v="Proj."/>
  </r>
  <r>
    <x v="3"/>
    <s v="H 7 - 3.1, 4.1 en 4.4"/>
    <s v="Woningmarkt, Energietransitie en duurzaamheid, bouwregelgeving en bouwkwaliteit"/>
    <x v="10"/>
    <x v="10"/>
    <x v="10"/>
    <x v="10"/>
    <x v="10"/>
    <x v="10"/>
    <x v="10"/>
    <n v="80"/>
    <x v="2"/>
    <s v="Exploratie en exploitatie van de ruimte"/>
    <s v="Diversen"/>
    <s v="Proj."/>
  </r>
  <r>
    <x v="3"/>
    <s v="H 7 - 3.1, 4.1 en 4.5"/>
    <s v="Woningmarkt, Energietransitie en duurzaamheid, bouwregelgeving en bouwkwaliteit"/>
    <x v="10"/>
    <x v="10"/>
    <x v="10"/>
    <x v="10"/>
    <x v="10"/>
    <x v="10"/>
    <x v="10"/>
    <n v="80"/>
    <x v="3"/>
    <s v="Energie"/>
    <s v="Diversen"/>
    <s v="Proj."/>
  </r>
  <r>
    <x v="3"/>
    <s v="H 7 - 3.1, 4.1 en 4.4"/>
    <s v="Woningmarkt, Energietransitie en duurzaamheid, bouwregelgeving en bouwkwaliteit"/>
    <x v="11"/>
    <x v="11"/>
    <x v="11"/>
    <x v="11"/>
    <x v="11"/>
    <x v="11"/>
    <x v="11"/>
    <n v="80"/>
    <x v="1"/>
    <s v="Exploratie en exploitatie van het aards milieu "/>
    <s v="R/SO"/>
    <s v="Proj."/>
  </r>
  <r>
    <x v="3"/>
    <s v="H 7 - 3.1, 4.1 en 4.5"/>
    <s v="Woningmarkt, Energietransitie en duurzaamheid, bouwregelgeving en bouwkwaliteit"/>
    <x v="11"/>
    <x v="11"/>
    <x v="11"/>
    <x v="11"/>
    <x v="11"/>
    <x v="11"/>
    <x v="11"/>
    <n v="80"/>
    <x v="2"/>
    <s v="Exploratie en exploitatie van de ruimte"/>
    <s v="R/SO"/>
    <s v="Proj."/>
  </r>
  <r>
    <x v="3"/>
    <s v="H 7 - 3.1, 4.1 en 4.6"/>
    <s v="Woningmarkt, Energietransitie en duurzaamheid, bouwregelgeving en bouwkwaliteit"/>
    <x v="11"/>
    <x v="11"/>
    <x v="11"/>
    <x v="11"/>
    <x v="11"/>
    <x v="11"/>
    <x v="11"/>
    <n v="80"/>
    <x v="3"/>
    <s v="Energie"/>
    <s v="R/SO"/>
    <s v="Proj."/>
  </r>
  <r>
    <x v="4"/>
    <s v="6/7"/>
    <s v="Hoger onderwijs- natuurwetenschappen"/>
    <x v="12"/>
    <x v="12"/>
    <x v="12"/>
    <x v="12"/>
    <x v="12"/>
    <x v="12"/>
    <x v="12"/>
    <n v="100"/>
    <x v="4"/>
    <s v="Natuurwetenschappen"/>
    <s v="U/HBO"/>
    <s v="Inst."/>
  </r>
  <r>
    <x v="4"/>
    <s v="6/7"/>
    <s v="Hoger onderwijs- technische wetenschappen"/>
    <x v="12"/>
    <x v="12"/>
    <x v="12"/>
    <x v="12"/>
    <x v="12"/>
    <x v="12"/>
    <x v="12"/>
    <n v="100"/>
    <x v="5"/>
    <s v="Technische wetenschappen"/>
    <s v="U/HBO"/>
    <s v="Inst."/>
  </r>
  <r>
    <x v="4"/>
    <s v="6/7"/>
    <s v="Hoger onderwijs- medische wetenschappen"/>
    <x v="12"/>
    <x v="12"/>
    <x v="12"/>
    <x v="12"/>
    <x v="12"/>
    <x v="12"/>
    <x v="12"/>
    <n v="100"/>
    <x v="6"/>
    <s v="Medische wetenschappen"/>
    <s v="U/HBO"/>
    <s v="Inst."/>
  </r>
  <r>
    <x v="4"/>
    <s v="6/7"/>
    <s v="Hoger onderwijs- landbouwwetenschappen"/>
    <x v="12"/>
    <x v="12"/>
    <x v="12"/>
    <x v="12"/>
    <x v="12"/>
    <x v="12"/>
    <x v="12"/>
    <n v="100"/>
    <x v="7"/>
    <s v="landbouwwetenschappen"/>
    <s v="U/HBO"/>
    <s v="Inst."/>
  </r>
  <r>
    <x v="4"/>
    <s v="6/7"/>
    <s v="Hoger onderwijs- sociale wetenschappen"/>
    <x v="12"/>
    <x v="12"/>
    <x v="12"/>
    <x v="12"/>
    <x v="12"/>
    <x v="12"/>
    <x v="12"/>
    <n v="100"/>
    <x v="8"/>
    <s v="Sociale wetenschappen"/>
    <s v="U/HBO"/>
    <s v="Inst."/>
  </r>
  <r>
    <x v="4"/>
    <s v="6/7"/>
    <s v="Hoger onderwijs- geesteswetenschappen"/>
    <x v="12"/>
    <x v="12"/>
    <x v="12"/>
    <x v="12"/>
    <x v="12"/>
    <x v="12"/>
    <x v="12"/>
    <n v="100"/>
    <x v="9"/>
    <s v="Geesteswetenschappen"/>
    <s v="U/HBO"/>
    <s v="Inst."/>
  </r>
  <r>
    <x v="4"/>
    <n v="7"/>
    <s v="NUFFIC"/>
    <x v="13"/>
    <x v="13"/>
    <x v="13"/>
    <x v="13"/>
    <x v="13"/>
    <x v="13"/>
    <x v="13"/>
    <n v="15"/>
    <x v="0"/>
    <s v="Politieke en soc. systemen, structuren/processen"/>
    <s v="SO"/>
    <s v="Inst."/>
  </r>
  <r>
    <x v="4"/>
    <n v="7"/>
    <s v="UNU-MERIT"/>
    <x v="14"/>
    <x v="14"/>
    <x v="14"/>
    <x v="14"/>
    <x v="14"/>
    <x v="14"/>
    <x v="14"/>
    <n v="75"/>
    <x v="10"/>
    <s v="Sociale wetenschappen"/>
    <s v="SO"/>
    <s v="Inst."/>
  </r>
  <r>
    <x v="4"/>
    <n v="16"/>
    <s v="KNAW-sociale wetenschappen"/>
    <x v="15"/>
    <x v="15"/>
    <x v="15"/>
    <x v="15"/>
    <x v="15"/>
    <x v="15"/>
    <x v="15"/>
    <n v="77"/>
    <x v="10"/>
    <s v="Sociale wetenschappen"/>
    <s v="KNAW"/>
    <s v="Inst."/>
  </r>
  <r>
    <x v="4"/>
    <n v="16"/>
    <s v="KNAW-natuurwetenschappen"/>
    <x v="16"/>
    <x v="16"/>
    <x v="16"/>
    <x v="16"/>
    <x v="16"/>
    <x v="16"/>
    <x v="16"/>
    <n v="77"/>
    <x v="11"/>
    <s v="Natuurwetenschappen"/>
    <s v="KNAW"/>
    <s v="Inst."/>
  </r>
  <r>
    <x v="4"/>
    <n v="16"/>
    <s v="KNAW-medische wetenschappen"/>
    <x v="17"/>
    <x v="17"/>
    <x v="17"/>
    <x v="17"/>
    <x v="17"/>
    <x v="17"/>
    <x v="17"/>
    <n v="77"/>
    <x v="12"/>
    <s v="Medische wetenschappen"/>
    <s v="KNAW"/>
    <s v="Inst."/>
  </r>
  <r>
    <x v="4"/>
    <n v="16"/>
    <s v="KNAW-geesteswetenschappen"/>
    <x v="18"/>
    <x v="18"/>
    <x v="18"/>
    <x v="18"/>
    <x v="18"/>
    <x v="18"/>
    <x v="18"/>
    <n v="77"/>
    <x v="13"/>
    <s v="Geesteswetenschappen"/>
    <s v="KNAW"/>
    <s v="Inst."/>
  </r>
  <r>
    <x v="4"/>
    <n v="16"/>
    <s v="NWO-SMC/CWI"/>
    <x v="19"/>
    <x v="19"/>
    <x v="19"/>
    <x v="19"/>
    <x v="19"/>
    <x v="19"/>
    <x v="19"/>
    <n v="93"/>
    <x v="11"/>
    <s v="Natuurwetenschappen"/>
    <s v="NWO"/>
    <s v="Inst."/>
  </r>
  <r>
    <x v="4"/>
    <n v="16"/>
    <s v="NWO-FOM-instituten"/>
    <x v="20"/>
    <x v="20"/>
    <x v="20"/>
    <x v="20"/>
    <x v="20"/>
    <x v="20"/>
    <x v="20"/>
    <n v="93"/>
    <x v="11"/>
    <s v="Natuurwetenschappen"/>
    <s v="NWO"/>
    <s v="Inst."/>
  </r>
  <r>
    <x v="4"/>
    <n v="16"/>
    <s v="NWO-SRON (ruimte-onderzoek)"/>
    <x v="21"/>
    <x v="21"/>
    <x v="21"/>
    <x v="21"/>
    <x v="21"/>
    <x v="21"/>
    <x v="21"/>
    <n v="93"/>
    <x v="11"/>
    <s v="Natuurwetenschappen"/>
    <s v="NWO"/>
    <s v="Inst."/>
  </r>
  <r>
    <x v="4"/>
    <n v="16"/>
    <s v="NWO-ASTRON (sterrenkundig onderzoek)"/>
    <x v="22"/>
    <x v="22"/>
    <x v="22"/>
    <x v="22"/>
    <x v="22"/>
    <x v="22"/>
    <x v="22"/>
    <n v="93"/>
    <x v="11"/>
    <s v="Natuurwetenschappen"/>
    <s v="NWO"/>
    <s v="Inst."/>
  </r>
  <r>
    <x v="4"/>
    <n v="16"/>
    <s v="NWO-NIOZ (zee-onderzoek)"/>
    <x v="23"/>
    <x v="23"/>
    <x v="23"/>
    <x v="23"/>
    <x v="23"/>
    <x v="23"/>
    <x v="23"/>
    <n v="93"/>
    <x v="11"/>
    <s v="Natuurwetenschappen"/>
    <s v="NWO"/>
    <s v="Inst."/>
  </r>
  <r>
    <x v="4"/>
    <n v="16"/>
    <s v="NWO-NSCR (rechtswetenschappen)"/>
    <x v="24"/>
    <x v="24"/>
    <x v="24"/>
    <x v="24"/>
    <x v="24"/>
    <x v="24"/>
    <x v="24"/>
    <n v="93"/>
    <x v="10"/>
    <s v="Sociale wetenschappen"/>
    <s v="NWO"/>
    <s v="Inst."/>
  </r>
  <r>
    <x v="4"/>
    <n v="16"/>
    <s v="NWO-natuurwetenschappen"/>
    <x v="25"/>
    <x v="25"/>
    <x v="25"/>
    <x v="25"/>
    <x v="25"/>
    <x v="25"/>
    <x v="25"/>
    <n v="93"/>
    <x v="11"/>
    <s v="Natuurwetenschappen"/>
    <s v="NWO"/>
    <s v="Proj."/>
  </r>
  <r>
    <x v="4"/>
    <n v="16"/>
    <s v="NWO-technische wetenschappen"/>
    <x v="26"/>
    <x v="26"/>
    <x v="26"/>
    <x v="26"/>
    <x v="26"/>
    <x v="26"/>
    <x v="26"/>
    <n v="93"/>
    <x v="14"/>
    <s v="Technische wetenschappen"/>
    <s v="NWO"/>
    <s v="Proj."/>
  </r>
  <r>
    <x v="4"/>
    <n v="16"/>
    <s v="NWO-medische wetenschappen"/>
    <x v="27"/>
    <x v="27"/>
    <x v="27"/>
    <x v="27"/>
    <x v="27"/>
    <x v="27"/>
    <x v="27"/>
    <n v="93"/>
    <x v="12"/>
    <s v="Medische wetenschappen"/>
    <s v="NWO"/>
    <s v="Proj."/>
  </r>
  <r>
    <x v="4"/>
    <n v="16"/>
    <s v="NWO-sociale wetenschappen"/>
    <x v="28"/>
    <x v="28"/>
    <x v="28"/>
    <x v="28"/>
    <x v="28"/>
    <x v="28"/>
    <x v="28"/>
    <n v="93"/>
    <x v="10"/>
    <s v="Sociale wetenschappen"/>
    <s v="NWO"/>
    <s v="Proj."/>
  </r>
  <r>
    <x v="4"/>
    <n v="16"/>
    <s v="NWO-geesteswetenschappen"/>
    <x v="29"/>
    <x v="29"/>
    <x v="29"/>
    <x v="29"/>
    <x v="29"/>
    <x v="29"/>
    <x v="29"/>
    <n v="93"/>
    <x v="13"/>
    <s v="Geesteswetenschappen"/>
    <s v="NWO"/>
    <s v="Proj."/>
  </r>
  <r>
    <x v="4"/>
    <n v="16"/>
    <s v="NWO NWA"/>
    <x v="30"/>
    <x v="30"/>
    <x v="30"/>
    <x v="30"/>
    <x v="30"/>
    <x v="30"/>
    <x v="30"/>
    <n v="100"/>
    <x v="15"/>
    <s v="Niet in te delen wetenschappen"/>
    <s v="NWO"/>
    <s v="Proj."/>
  </r>
  <r>
    <x v="4"/>
    <n v="16"/>
    <s v="Koninklijke Bibliotheek (hoofdbekostiging, zie ook art. 14)"/>
    <x v="31"/>
    <x v="31"/>
    <x v="31"/>
    <x v="31"/>
    <x v="31"/>
    <x v="31"/>
    <x v="31"/>
    <n v="10"/>
    <x v="16"/>
    <s v="Cultuur, recreatie, religie en massamedia"/>
    <s v="R"/>
    <s v="Inst."/>
  </r>
  <r>
    <x v="4"/>
    <n v="16"/>
    <s v="Vernieuwingsimpuls - Exacte en Natuurwetenschappen"/>
    <x v="32"/>
    <x v="32"/>
    <x v="32"/>
    <x v="32"/>
    <x v="32"/>
    <x v="32"/>
    <x v="32"/>
    <n v="100"/>
    <x v="11"/>
    <s v="Natuurwetenschappen"/>
    <s v="NWO"/>
    <s v="Proj."/>
  </r>
  <r>
    <x v="4"/>
    <n v="16"/>
    <s v="Vernieuwingsimpuls - Technische wetenschappen"/>
    <x v="33"/>
    <x v="33"/>
    <x v="33"/>
    <x v="33"/>
    <x v="33"/>
    <x v="33"/>
    <x v="33"/>
    <n v="100"/>
    <x v="14"/>
    <s v="Technische wetenschappen"/>
    <s v="NWO"/>
    <s v="Proj."/>
  </r>
  <r>
    <x v="4"/>
    <n v="16"/>
    <s v="Vernieuwingsimpuls - Medische wetenschappen"/>
    <x v="34"/>
    <x v="34"/>
    <x v="34"/>
    <x v="34"/>
    <x v="34"/>
    <x v="34"/>
    <x v="34"/>
    <n v="100"/>
    <x v="12"/>
    <s v="Medische wetenschappen"/>
    <s v="NWO"/>
    <s v="Proj."/>
  </r>
  <r>
    <x v="4"/>
    <n v="16"/>
    <s v="Vernieuwingsimpuls - Sociale wetenschappen"/>
    <x v="35"/>
    <x v="35"/>
    <x v="35"/>
    <x v="35"/>
    <x v="35"/>
    <x v="35"/>
    <x v="35"/>
    <n v="100"/>
    <x v="10"/>
    <s v="Sociale wetenschappen"/>
    <s v="NWO"/>
    <s v="Proj."/>
  </r>
  <r>
    <x v="4"/>
    <n v="16"/>
    <s v="Vernieuwingsimpuls - Geesteswetenschappen"/>
    <x v="36"/>
    <x v="36"/>
    <x v="36"/>
    <x v="36"/>
    <x v="36"/>
    <x v="36"/>
    <x v="36"/>
    <n v="100"/>
    <x v="13"/>
    <s v="Geesteswetenschappen"/>
    <s v="NWO"/>
    <s v="Proj."/>
  </r>
  <r>
    <x v="4"/>
    <n v="16"/>
    <s v="NWO STW"/>
    <x v="37"/>
    <x v="37"/>
    <x v="37"/>
    <x v="37"/>
    <x v="37"/>
    <x v="37"/>
    <x v="37"/>
    <n v="100"/>
    <x v="14"/>
    <s v="Technische wetenschappen"/>
    <s v="STW"/>
    <s v="Proj."/>
  </r>
  <r>
    <x v="4"/>
    <n v="16"/>
    <s v="NWO Grootschalige researchinfrastructuur"/>
    <x v="38"/>
    <x v="38"/>
    <x v="38"/>
    <x v="38"/>
    <x v="38"/>
    <x v="38"/>
    <x v="38"/>
    <n v="100"/>
    <x v="15"/>
    <s v="Niet in te delen wetenschappen"/>
    <s v="NWO"/>
    <s v="Proj."/>
  </r>
  <r>
    <x v="4"/>
    <n v="16"/>
    <s v="NWO Regieorgaan onderwijsonderzoek"/>
    <x v="39"/>
    <x v="39"/>
    <x v="39"/>
    <x v="39"/>
    <x v="39"/>
    <x v="39"/>
    <x v="39"/>
    <n v="100"/>
    <x v="17"/>
    <s v="Onderwijs"/>
    <s v="NWO"/>
    <s v="Proj."/>
  </r>
  <r>
    <x v="4"/>
    <n v="16"/>
    <s v="Naturalis - Biodiversity center"/>
    <x v="40"/>
    <x v="40"/>
    <x v="40"/>
    <x v="40"/>
    <x v="40"/>
    <x v="40"/>
    <x v="40"/>
    <n v="100"/>
    <x v="11"/>
    <s v="Natuurwetenschappen"/>
    <s v="Naturalis"/>
    <s v="Inst."/>
  </r>
  <r>
    <x v="4"/>
    <n v="16"/>
    <s v="Primatencentrum (BPRC)"/>
    <x v="41"/>
    <x v="41"/>
    <x v="41"/>
    <x v="41"/>
    <x v="41"/>
    <x v="41"/>
    <x v="41"/>
    <n v="100"/>
    <x v="18"/>
    <s v="Gezondheid"/>
    <s v="SO"/>
    <s v="Inst."/>
  </r>
  <r>
    <x v="4"/>
    <n v="16"/>
    <s v="STT"/>
    <x v="42"/>
    <x v="42"/>
    <x v="42"/>
    <x v="42"/>
    <x v="42"/>
    <x v="42"/>
    <x v="42"/>
    <n v="100"/>
    <x v="14"/>
    <s v="Technische wetenschappen"/>
    <s v="SO"/>
    <s v="Inst."/>
  </r>
  <r>
    <x v="4"/>
    <n v="16"/>
    <s v="Caribisch Nederland "/>
    <x v="43"/>
    <x v="43"/>
    <x v="43"/>
    <x v="43"/>
    <x v="43"/>
    <x v="43"/>
    <x v="43"/>
    <n v="100"/>
    <x v="1"/>
    <s v="Exploratie en exploitatie van het aards milieu"/>
    <s v="NWO"/>
    <s v="Proj."/>
  </r>
  <r>
    <x v="4"/>
    <n v="16"/>
    <s v="Poolonderzoek"/>
    <x v="44"/>
    <x v="44"/>
    <x v="44"/>
    <x v="44"/>
    <x v="44"/>
    <x v="44"/>
    <x v="44"/>
    <n v="100"/>
    <x v="11"/>
    <s v="Natuurwetenschappen"/>
    <s v="NWO"/>
    <s v="Proj."/>
  </r>
  <r>
    <x v="4"/>
    <n v="16"/>
    <s v="Nationale coördinatie"/>
    <x v="45"/>
    <x v="45"/>
    <x v="45"/>
    <x v="45"/>
    <x v="45"/>
    <x v="45"/>
    <x v="45"/>
    <n v="50"/>
    <x v="15"/>
    <s v="Niet in te delen wetenschappen"/>
    <s v="Proj."/>
    <s v="Proj."/>
  </r>
  <r>
    <x v="4"/>
    <n v="16"/>
    <s v="Bilaterale samenwerking"/>
    <x v="46"/>
    <x v="46"/>
    <x v="46"/>
    <x v="46"/>
    <x v="46"/>
    <x v="46"/>
    <x v="46"/>
    <n v="0"/>
    <x v="15"/>
    <s v="Niet in te delen wetenschappen"/>
    <s v="Proj."/>
    <s v="Proj."/>
  </r>
  <r>
    <x v="4"/>
    <n v="16"/>
    <s v="EMBC"/>
    <x v="47"/>
    <x v="47"/>
    <x v="47"/>
    <x v="47"/>
    <x v="47"/>
    <x v="47"/>
    <x v="47"/>
    <n v="100"/>
    <x v="11"/>
    <s v="Natuurwetenschappen"/>
    <s v="IO"/>
    <s v="Inst."/>
  </r>
  <r>
    <x v="4"/>
    <n v="16"/>
    <s v="EMBL"/>
    <x v="48"/>
    <x v="48"/>
    <x v="48"/>
    <x v="48"/>
    <x v="48"/>
    <x v="48"/>
    <x v="48"/>
    <n v="100"/>
    <x v="11"/>
    <s v="Natuurwetenschappen"/>
    <s v="IO"/>
    <s v="Inst."/>
  </r>
  <r>
    <x v="4"/>
    <n v="16"/>
    <s v="ESA"/>
    <x v="49"/>
    <x v="49"/>
    <x v="49"/>
    <x v="49"/>
    <x v="49"/>
    <x v="49"/>
    <x v="49"/>
    <n v="100"/>
    <x v="2"/>
    <s v="Exploratie en exploitatie van de ruimte"/>
    <s v="IO"/>
    <s v="Proj."/>
  </r>
  <r>
    <x v="4"/>
    <n v="16"/>
    <s v="CERN"/>
    <x v="50"/>
    <x v="50"/>
    <x v="50"/>
    <x v="50"/>
    <x v="50"/>
    <x v="50"/>
    <x v="50"/>
    <n v="100"/>
    <x v="11"/>
    <s v="Natuurwetenschappen"/>
    <s v="IO"/>
    <s v="Inst."/>
  </r>
  <r>
    <x v="4"/>
    <n v="16"/>
    <s v="ESO"/>
    <x v="51"/>
    <x v="51"/>
    <x v="51"/>
    <x v="51"/>
    <x v="51"/>
    <x v="51"/>
    <x v="51"/>
    <n v="100"/>
    <x v="11"/>
    <s v="Natuurwetenschappen"/>
    <s v="IO"/>
    <s v="Inst."/>
  </r>
  <r>
    <x v="4"/>
    <s v="14.4"/>
    <s v="Rijksdienst voor het Cultureel Erfgoed (RCE)"/>
    <x v="52"/>
    <x v="52"/>
    <x v="52"/>
    <x v="52"/>
    <x v="52"/>
    <x v="52"/>
    <x v="52"/>
    <n v="27"/>
    <x v="16"/>
    <s v="Cultuur, recreatie, religie en massamedia"/>
    <s v="R"/>
    <s v="Inst."/>
  </r>
  <r>
    <x v="4"/>
    <s v="14.4"/>
    <s v="Rijksbureau voor Kunsthistorisch onderzoek (RKD)"/>
    <x v="53"/>
    <x v="53"/>
    <x v="53"/>
    <x v="53"/>
    <x v="53"/>
    <x v="53"/>
    <x v="53"/>
    <n v="6"/>
    <x v="16"/>
    <s v="Cultuur, recreatie, religie en massamedia"/>
    <s v="R"/>
    <s v="Inst."/>
  </r>
  <r>
    <x v="4"/>
    <s v="14.4"/>
    <s v="Culturele zaken: onderzoek"/>
    <x v="54"/>
    <x v="54"/>
    <x v="54"/>
    <x v="54"/>
    <x v="54"/>
    <x v="54"/>
    <x v="54"/>
    <n v="100"/>
    <x v="16"/>
    <s v="Cultuur, recreatie, religie en massamedia"/>
    <s v="Proj."/>
    <s v="Proj."/>
  </r>
  <r>
    <x v="4"/>
    <s v="14.4"/>
    <s v="Subsidie Boekmanstichting"/>
    <x v="55"/>
    <x v="55"/>
    <x v="55"/>
    <x v="55"/>
    <x v="55"/>
    <x v="55"/>
    <x v="55"/>
    <n v="100"/>
    <x v="16"/>
    <s v="Cultuur, recreatie, religie en massamedia"/>
    <s v="SO"/>
    <s v="Inst."/>
  </r>
  <r>
    <x v="5"/>
    <s v="U0604"/>
    <s v="Programmafinanciering TNO (totaal)"/>
    <x v="56"/>
    <x v="56"/>
    <x v="56"/>
    <x v="56"/>
    <x v="56"/>
    <x v="56"/>
    <x v="56"/>
    <n v="100"/>
    <x v="19"/>
    <s v="Defensie"/>
    <s v="TNO"/>
    <s v="Inst."/>
  </r>
  <r>
    <x v="5"/>
    <s v="U0604"/>
    <s v="NLR-programmafinanciering"/>
    <x v="57"/>
    <x v="57"/>
    <x v="57"/>
    <x v="57"/>
    <x v="57"/>
    <x v="57"/>
    <x v="57"/>
    <n v="100"/>
    <x v="19"/>
    <s v="Defensie"/>
    <s v="GTI"/>
    <s v="Inst."/>
  </r>
  <r>
    <x v="5"/>
    <s v="U0604"/>
    <s v="Programmafinanciering MARIN"/>
    <x v="12"/>
    <x v="12"/>
    <x v="58"/>
    <x v="44"/>
    <x v="44"/>
    <x v="44"/>
    <x v="44"/>
    <n v="100"/>
    <x v="19"/>
    <s v="Defensie"/>
    <s v="GTI"/>
    <s v="Inst."/>
  </r>
  <r>
    <x v="5"/>
    <s v="U0604"/>
    <s v="Contractonderzoek en kennistoepassing"/>
    <x v="58"/>
    <x v="58"/>
    <x v="59"/>
    <x v="58"/>
    <x v="58"/>
    <x v="58"/>
    <x v="58"/>
    <n v="100"/>
    <x v="19"/>
    <s v="Defensie"/>
    <s v="O"/>
    <s v="Proj."/>
  </r>
  <r>
    <x v="5"/>
    <s v="U0604"/>
    <s v="Technologie en kennistoepassing"/>
    <x v="59"/>
    <x v="59"/>
    <x v="60"/>
    <x v="59"/>
    <x v="59"/>
    <x v="59"/>
    <x v="59"/>
    <n v="100"/>
    <x v="19"/>
    <s v="Defensie"/>
    <s v="TNO/GTI/DGI"/>
    <s v="Proj."/>
  </r>
  <r>
    <x v="5"/>
    <s v="U0604"/>
    <s v="Technologie en kennistoepassing"/>
    <x v="60"/>
    <x v="12"/>
    <x v="12"/>
    <x v="12"/>
    <x v="12"/>
    <x v="12"/>
    <x v="12"/>
    <n v="100"/>
    <x v="19"/>
    <s v="Defensie"/>
    <s v="U"/>
    <s v="Proj."/>
  </r>
  <r>
    <x v="6"/>
    <s v="IF 12.06.02"/>
    <s v="InfraQuest"/>
    <x v="61"/>
    <x v="60"/>
    <x v="61"/>
    <x v="46"/>
    <x v="60"/>
    <x v="60"/>
    <x v="60"/>
    <n v="0"/>
    <x v="20"/>
    <s v="Transport, telecommunicatie en ov. infrastructuren"/>
    <s v="TNO/TUD"/>
    <s v="Inst."/>
  </r>
  <r>
    <x v="6"/>
    <s v="IF 12.06.02"/>
    <s v="Afdrachten CROW"/>
    <x v="62"/>
    <x v="61"/>
    <x v="62"/>
    <x v="60"/>
    <x v="61"/>
    <x v="61"/>
    <x v="61"/>
    <n v="0"/>
    <x v="20"/>
    <s v="Transport, telecommunicatie en ov. infrastructuren"/>
    <s v="CROW"/>
    <s v="Inst."/>
  </r>
  <r>
    <x v="6"/>
    <s v="IF 12.06.02"/>
    <s v="Basisfinanciering CUR"/>
    <x v="63"/>
    <x v="62"/>
    <x v="63"/>
    <x v="61"/>
    <x v="62"/>
    <x v="62"/>
    <x v="62"/>
    <n v="0.1"/>
    <x v="20"/>
    <s v="Transport, telecommunicatie en ov. infrastructuren"/>
    <s v="CUR"/>
    <s v="Inst."/>
  </r>
  <r>
    <x v="6"/>
    <s v="IF 12.06.02"/>
    <s v="Vernieuwing bouw (exclusief bouwcampus)"/>
    <x v="64"/>
    <x v="46"/>
    <x v="64"/>
    <x v="62"/>
    <x v="63"/>
    <x v="63"/>
    <x v="63"/>
    <n v="0"/>
    <x v="20"/>
    <s v="Transport, telecommunicatie en ov. infrastructuren"/>
    <s v="Vern.Bouw"/>
    <s v="Inst."/>
  </r>
  <r>
    <x v="6"/>
    <s v="IF 12.06.02"/>
    <s v="PianOo"/>
    <x v="65"/>
    <x v="63"/>
    <x v="65"/>
    <x v="63"/>
    <x v="64"/>
    <x v="64"/>
    <x v="64"/>
    <n v="0"/>
    <x v="20"/>
    <s v="Transport, telecommunicatie en ov. infrastructuren"/>
    <s v="PianOo"/>
    <s v="Inst."/>
  </r>
  <r>
    <x v="6"/>
    <s v="IF 12.06.02"/>
    <s v="Centrum Ondergronds Bouwen"/>
    <x v="66"/>
    <x v="64"/>
    <x v="66"/>
    <x v="64"/>
    <x v="65"/>
    <x v="65"/>
    <x v="65"/>
    <n v="0.105687390789696"/>
    <x v="20"/>
    <s v="Transport, telecommunicatie en ov. infrastructuren"/>
    <s v="COB"/>
    <s v="Inst."/>
  </r>
  <r>
    <x v="6"/>
    <s v="IF 12.06.02"/>
    <s v="NEN "/>
    <x v="67"/>
    <x v="65"/>
    <x v="67"/>
    <x v="65"/>
    <x v="66"/>
    <x v="66"/>
    <x v="66"/>
    <n v="0.1"/>
    <x v="20"/>
    <s v="Transport, telecommunicatie en ov. infrastructuren"/>
    <s v="NNI"/>
    <s v="Inst."/>
  </r>
  <r>
    <x v="6"/>
    <s v="IF 12.06.02"/>
    <s v="Kennisontwikkeling (allianties) universiteiten"/>
    <x v="68"/>
    <x v="66"/>
    <x v="68"/>
    <x v="66"/>
    <x v="67"/>
    <x v="67"/>
    <x v="67"/>
    <n v="0.2"/>
    <x v="20"/>
    <s v="Transport, telecommunicatie en ov. infrastructuren"/>
    <s v="TUD/TUE e.a."/>
    <s v="Inst."/>
  </r>
  <r>
    <x v="6"/>
    <s v="DF 65.05.01"/>
    <s v="Kennisontwikkeling (allianties) universiteiten (HWS)"/>
    <x v="69"/>
    <x v="67"/>
    <x v="69"/>
    <x v="67"/>
    <x v="68"/>
    <x v="68"/>
    <x v="68"/>
    <n v="0.1"/>
    <x v="20"/>
    <s v="Transport, telecommunicatie en ov. infrastructuren"/>
    <s v="TUD/TUE e.a."/>
    <s v="Inst."/>
  </r>
  <r>
    <x v="6"/>
    <s v="98.02.18"/>
    <s v="Apparaat Planbureau Leefomgeving (PBL)"/>
    <x v="70"/>
    <x v="68"/>
    <x v="70"/>
    <x v="68"/>
    <x v="69"/>
    <x v="69"/>
    <x v="69"/>
    <n v="11.7"/>
    <x v="21"/>
    <s v="Milieubeheer en milieuzorg"/>
    <s v="PBL"/>
    <s v="Inst."/>
  </r>
  <r>
    <x v="6"/>
    <s v="23.01"/>
    <s v="Meteorologie, seismologie en Aardobservatie"/>
    <x v="71"/>
    <x v="69"/>
    <x v="71"/>
    <x v="69"/>
    <x v="70"/>
    <x v="70"/>
    <x v="70"/>
    <n v="15.2"/>
    <x v="1"/>
    <s v="Exploratie en exploitatie van het aards milieu"/>
    <s v="KNMI"/>
    <s v="Inst."/>
  </r>
  <r>
    <x v="6"/>
    <s v="1297U0101"/>
    <s v="Programma Planbureau Leefomgeving (PBL)"/>
    <x v="72"/>
    <x v="70"/>
    <x v="72"/>
    <x v="70"/>
    <x v="71"/>
    <x v="71"/>
    <x v="71"/>
    <n v="4.3"/>
    <x v="21"/>
    <s v="Milieubeheer en milieuzorg"/>
    <s v="PBL"/>
    <s v="Inst."/>
  </r>
  <r>
    <x v="6"/>
    <s v="1297U01010005"/>
    <s v="Onderzoek / Kennis (KIS)"/>
    <x v="73"/>
    <x v="71"/>
    <x v="73"/>
    <x v="71"/>
    <x v="72"/>
    <x v="72"/>
    <x v="72"/>
    <n v="0.7"/>
    <x v="20"/>
    <s v="Transport, telecommunicatie en ov. infrastructuren"/>
    <s v="KIS"/>
    <s v="Inst."/>
  </r>
  <r>
    <x v="6"/>
    <s v="1297U01010009"/>
    <s v="Onderzoek / Kennis (KiM)"/>
    <x v="74"/>
    <x v="72"/>
    <x v="74"/>
    <x v="72"/>
    <x v="73"/>
    <x v="73"/>
    <x v="73"/>
    <n v="3"/>
    <x v="20"/>
    <s v="Transport, telecommunicatie en ov. infrastructuren"/>
    <s v="KiM"/>
    <s v="Inst."/>
  </r>
  <r>
    <x v="6"/>
    <s v="1214U02020003"/>
    <s v="Veiligheid en mobiliteit (SWOV)"/>
    <x v="75"/>
    <x v="73"/>
    <x v="75"/>
    <x v="73"/>
    <x v="74"/>
    <x v="74"/>
    <x v="74"/>
    <n v="24.1"/>
    <x v="20"/>
    <s v="Transport, telecommunicatie en ov. infrastructuren"/>
    <s v="SWOV"/>
    <s v="Inst."/>
  </r>
  <r>
    <x v="6"/>
    <s v="1220u01070001"/>
    <s v="Beperken van verzuring en grootschalige luchtverontreiniging"/>
    <x v="76"/>
    <x v="74"/>
    <x v="76"/>
    <x v="74"/>
    <x v="75"/>
    <x v="75"/>
    <x v="75"/>
    <n v="1.1000000000000001"/>
    <x v="21"/>
    <s v="Milieubeheer en milieuzorg"/>
    <s v="ECN"/>
    <s v="Inst."/>
  </r>
  <r>
    <x v="6"/>
    <s v="1297U01020003"/>
    <s v="Subsidies KIS"/>
    <x v="77"/>
    <x v="75"/>
    <x v="77"/>
    <x v="75"/>
    <x v="76"/>
    <x v="76"/>
    <x v="76"/>
    <n v="1.9"/>
    <x v="20"/>
    <s v="Transport, telecommunicatie en ov. infrastructuren"/>
    <s v="NWO"/>
    <s v="Inst."/>
  </r>
  <r>
    <x v="6"/>
    <s v="1219U02010001"/>
    <s v="Aandeel Kennisvragen in opdracht - RIVM"/>
    <x v="63"/>
    <x v="62"/>
    <x v="63"/>
    <x v="61"/>
    <x v="62"/>
    <x v="62"/>
    <x v="62"/>
    <n v="1.4"/>
    <x v="21"/>
    <s v="Milieubeheer en milieuzorg"/>
    <s v="RIVM"/>
    <s v="Inst."/>
  </r>
  <r>
    <x v="6"/>
    <s v="1217U01020004"/>
    <s v="Mainports en logistiek (proj.)"/>
    <x v="78"/>
    <x v="76"/>
    <x v="78"/>
    <x v="76"/>
    <x v="77"/>
    <x v="77"/>
    <x v="77"/>
    <n v="0.2"/>
    <x v="20"/>
    <s v="Transport, telecommunicatie en ov. infrastructuren"/>
    <s v="KDC"/>
    <s v="Inst."/>
  </r>
  <r>
    <x v="6"/>
    <s v="1297U01010009"/>
    <s v="KIRE (CPB)"/>
    <x v="79"/>
    <x v="77"/>
    <x v="79"/>
    <x v="77"/>
    <x v="78"/>
    <x v="78"/>
    <x v="78"/>
    <n v="0.6"/>
    <x v="20"/>
    <s v="Transport, telecommunicatie en ov. infrastructuren"/>
    <s v="KiM "/>
    <s v="Inst."/>
  </r>
  <r>
    <x v="6"/>
    <s v="1214U02010001"/>
    <s v="Veiligheid en mobiliteit Universiteit Utrecht Rijvaardiheid cat III medicijnen"/>
    <x v="46"/>
    <x v="46"/>
    <x v="46"/>
    <x v="46"/>
    <x v="46"/>
    <x v="46"/>
    <x v="46"/>
    <n v="0"/>
    <x v="20"/>
    <s v="Transport, telecommunicatie en ov. infrastructuren"/>
    <s v="U"/>
    <s v="Inst."/>
  </r>
  <r>
    <x v="6"/>
    <s v="IF 12.06.02"/>
    <s v="Doorontwikkeling kennismanagement HWN"/>
    <x v="80"/>
    <x v="78"/>
    <x v="80"/>
    <x v="78"/>
    <x v="79"/>
    <x v="79"/>
    <x v="79"/>
    <n v="0"/>
    <x v="20"/>
    <s v="Transport, telecommunicatie en ov. infrastructuren"/>
    <s v="SO"/>
    <s v="Proj."/>
  </r>
  <r>
    <x v="6"/>
    <s v="IF 12.06.02"/>
    <s v="Traffic Quest"/>
    <x v="81"/>
    <x v="67"/>
    <x v="69"/>
    <x v="67"/>
    <x v="68"/>
    <x v="68"/>
    <x v="68"/>
    <n v="7.0458260526464089E-2"/>
    <x v="20"/>
    <s v="Transport, telecommunicatie en ov. infrastructuren"/>
    <s v="TNO/TUD"/>
    <s v="Proj."/>
  </r>
  <r>
    <x v="6"/>
    <s v="1211U0101"/>
    <s v="Algemeen waterbeleid opdrachten"/>
    <x v="82"/>
    <x v="79"/>
    <x v="81"/>
    <x v="79"/>
    <x v="80"/>
    <x v="80"/>
    <x v="80"/>
    <n v="0.9"/>
    <x v="20"/>
    <s v="Transport, telecommunicatie en ov. infrastructuren"/>
    <s v="Deltares/WUR/U"/>
    <s v="Proj."/>
  </r>
  <r>
    <x v="6"/>
    <s v="1211U0103"/>
    <s v="Algemeen waterbeleid bijdrage KNMI"/>
    <x v="83"/>
    <x v="80"/>
    <x v="82"/>
    <x v="80"/>
    <x v="81"/>
    <x v="81"/>
    <x v="81"/>
    <n v="0.9"/>
    <x v="20"/>
    <s v="Transport, telecommunicatie en ov. infrastructuren"/>
    <s v="KNMI"/>
    <s v="Proj."/>
  </r>
  <r>
    <x v="6"/>
    <s v="1211U0201"/>
    <s v="Waterveiligheid opdrachten"/>
    <x v="84"/>
    <x v="81"/>
    <x v="83"/>
    <x v="81"/>
    <x v="82"/>
    <x v="82"/>
    <x v="82"/>
    <n v="0.9"/>
    <x v="20"/>
    <s v="Transport, telecommunicatie en ov. infrastructuren"/>
    <s v="Deltares/U"/>
    <s v="Proj."/>
  </r>
  <r>
    <x v="6"/>
    <s v="1211U0301"/>
    <s v="Grote oppervlaktewateren opdrachte"/>
    <x v="85"/>
    <x v="82"/>
    <x v="84"/>
    <x v="82"/>
    <x v="83"/>
    <x v="83"/>
    <x v="83"/>
    <n v="0.9"/>
    <x v="20"/>
    <s v="Transport, telecommunicatie en ov. infrastructuren"/>
    <s v="Deltares/WUR"/>
    <s v="Proj."/>
  </r>
  <r>
    <x v="6"/>
    <s v="1211U0401"/>
    <s v="Waterkwaliteit opdrachten"/>
    <x v="86"/>
    <x v="83"/>
    <x v="85"/>
    <x v="83"/>
    <x v="84"/>
    <x v="84"/>
    <x v="84"/>
    <n v="0.9"/>
    <x v="20"/>
    <s v="Transport, telecommunicatie en ov. infrastructuren"/>
    <s v="Deltares/WUR "/>
    <s v="Proj."/>
  </r>
  <r>
    <x v="6"/>
    <s v="1211U0402"/>
    <s v="Waterkwaliteit subsidies"/>
    <x v="87"/>
    <x v="71"/>
    <x v="73"/>
    <x v="71"/>
    <x v="46"/>
    <x v="46"/>
    <x v="46"/>
    <n v="0.9"/>
    <x v="20"/>
    <s v="Transport, telecommunicatie en ov. infrastructuren"/>
    <s v="U"/>
    <s v="Proj."/>
  </r>
  <r>
    <x v="6"/>
    <s v="1211U0405"/>
    <s v="Waterkwaliteit bijdrage int. organisaties"/>
    <x v="88"/>
    <x v="84"/>
    <x v="86"/>
    <x v="84"/>
    <x v="85"/>
    <x v="85"/>
    <x v="85"/>
    <n v="0.9"/>
    <x v="20"/>
    <s v="Transport, telecommunicatie en ov. infrastructuren"/>
    <s v="IO"/>
    <s v="Proj."/>
  </r>
  <r>
    <x v="6"/>
    <s v="1213U0401"/>
    <s v="Ruimtegebruik bodem"/>
    <x v="89"/>
    <x v="85"/>
    <x v="87"/>
    <x v="85"/>
    <x v="86"/>
    <x v="86"/>
    <x v="86"/>
    <n v="13.6"/>
    <x v="20"/>
    <s v="Transport, telecommunicatie en ov. infrastructuren"/>
    <s v="Deltares"/>
    <s v="Proj."/>
  </r>
  <r>
    <x v="6"/>
    <s v="6501u0301"/>
    <s v="Studiekosten waterveiligheid"/>
    <x v="90"/>
    <x v="86"/>
    <x v="88"/>
    <x v="86"/>
    <x v="87"/>
    <x v="87"/>
    <x v="87"/>
    <n v="0.5"/>
    <x v="20"/>
    <s v="Transport, telecommunicatie en ov. infrastructuren"/>
    <s v="Proj."/>
    <s v="Proj."/>
  </r>
  <r>
    <x v="6"/>
    <s v="6502u0301"/>
    <s v="Studiekosten zoetwatervoorziening"/>
    <x v="91"/>
    <x v="87"/>
    <x v="89"/>
    <x v="87"/>
    <x v="88"/>
    <x v="88"/>
    <x v="88"/>
    <n v="0.3"/>
    <x v="20"/>
    <s v="Transport, telecommunicatie en ov. infrastructuren"/>
    <s v="Proj."/>
    <s v="Proj."/>
  </r>
  <r>
    <x v="6"/>
    <s v="DF 07"/>
    <s v="HWS - Waterkwaliteit (studiekosten &amp; overleg aanleg projecten"/>
    <x v="92"/>
    <x v="88"/>
    <x v="90"/>
    <x v="88"/>
    <x v="89"/>
    <x v="89"/>
    <x v="89"/>
    <n v="1.6"/>
    <x v="20"/>
    <s v="Transport, telecommunicatie en ov. infrastructuren"/>
    <s v="Deltares"/>
    <s v="Proj."/>
  </r>
  <r>
    <x v="7"/>
    <s v="11.06"/>
    <s v="Onderzoek &amp; opdrachten"/>
    <x v="93"/>
    <x v="89"/>
    <x v="91"/>
    <x v="89"/>
    <x v="90"/>
    <x v="90"/>
    <x v="90"/>
    <n v="100"/>
    <x v="22"/>
    <s v="Industriële productie en technologie"/>
    <s v="R/O"/>
    <s v="Proj."/>
  </r>
  <r>
    <x v="7"/>
    <s v="11.06"/>
    <s v="Beleidsvoorbereiding en evaluaties Veiligheid en Frequenties: frequenties"/>
    <x v="94"/>
    <x v="90"/>
    <x v="92"/>
    <x v="90"/>
    <x v="91"/>
    <x v="91"/>
    <x v="91"/>
    <n v="20"/>
    <x v="20"/>
    <s v="Transport, telecommunicatie en ov. infrastructuren"/>
    <s v="R/SO/O"/>
    <s v="Inst."/>
  </r>
  <r>
    <x v="7"/>
    <s v="11.06"/>
    <s v="Beleidsvoorbereiding en evaluaties Veiligheid en Frequenties:bemiddelingsdienst voor doven en slechtzienden"/>
    <x v="95"/>
    <x v="91"/>
    <x v="93"/>
    <x v="91"/>
    <x v="92"/>
    <x v="92"/>
    <x v="92"/>
    <n v="20"/>
    <x v="20"/>
    <s v="Transport, telecommunicatie en ov. infrastructuren"/>
    <s v="SO"/>
    <s v="Inst."/>
  </r>
  <r>
    <x v="7"/>
    <s v="11.06"/>
    <s v="Versterking aanpak cybersecurity"/>
    <x v="46"/>
    <x v="92"/>
    <x v="94"/>
    <x v="92"/>
    <x v="93"/>
    <x v="93"/>
    <x v="93"/>
    <n v="95"/>
    <x v="19"/>
    <s v="Defensie"/>
    <s v="U/NWO/TNO/So/O"/>
    <s v="Proj."/>
  </r>
  <r>
    <x v="7"/>
    <s v="11.06"/>
    <s v="Cyber KI (alleen budget)"/>
    <x v="46"/>
    <x v="46"/>
    <x v="95"/>
    <x v="93"/>
    <x v="94"/>
    <x v="94"/>
    <x v="94"/>
    <n v="95"/>
    <x v="22"/>
    <s v="Industriële productie en technologie"/>
    <s v="U/NWO/TNO/So/O"/>
    <s v="Proj."/>
  </r>
  <r>
    <x v="7"/>
    <s v="11.08"/>
    <s v="Bijdrage Metrologie (Nmi)"/>
    <x v="96"/>
    <x v="93"/>
    <x v="96"/>
    <x v="94"/>
    <x v="95"/>
    <x v="95"/>
    <x v="95"/>
    <n v="25"/>
    <x v="22"/>
    <s v="Industriële productie en technologie"/>
    <s v="SO"/>
    <s v="Inst."/>
  </r>
  <r>
    <x v="7"/>
    <s v="11.08"/>
    <s v="Bijdrage aan het CBS"/>
    <x v="97"/>
    <x v="94"/>
    <x v="97"/>
    <x v="95"/>
    <x v="96"/>
    <x v="96"/>
    <x v="96"/>
    <n v="3.5"/>
    <x v="0"/>
    <s v="Politieke en soc. systemen, structuren/processen"/>
    <s v="R"/>
    <s v="Inst."/>
  </r>
  <r>
    <x v="7"/>
    <s v="?"/>
    <s v="Digitale innovatie voor bedrijven (PPS) (alleen budget)"/>
    <x v="46"/>
    <x v="46"/>
    <x v="98"/>
    <x v="96"/>
    <x v="97"/>
    <x v="97"/>
    <x v="97"/>
    <n v="30"/>
    <x v="20"/>
    <s v="Transport, telecommunicatie en ov. infrastructuren"/>
    <s v="SO/O"/>
    <s v="Proj."/>
  </r>
  <r>
    <x v="7"/>
    <s v="U12,10"/>
    <s v="Lucht- en Ruimtevaart: Ruimtevaart subsidieregelingen"/>
    <x v="46"/>
    <x v="46"/>
    <x v="46"/>
    <x v="46"/>
    <x v="46"/>
    <x v="46"/>
    <x v="46"/>
    <n v="100"/>
    <x v="2"/>
    <s v="Exploratie en exploitatie van de ruimte"/>
    <s v="IO"/>
    <s v="Proj."/>
  </r>
  <r>
    <x v="7"/>
    <s v="U12,10"/>
    <s v="Lucht- en Ruimtevaart: nat. Prog. luchtvaart"/>
    <x v="98"/>
    <x v="46"/>
    <x v="46"/>
    <x v="46"/>
    <x v="46"/>
    <x v="46"/>
    <x v="46"/>
    <n v="100"/>
    <x v="22"/>
    <s v="Industriële productie en technologie"/>
    <s v="O"/>
    <s v="Proj."/>
  </r>
  <r>
    <x v="7"/>
    <s v="12.01.02"/>
    <s v="MKB-Innovatiestimulering Topsectoren (MIT)"/>
    <x v="99"/>
    <x v="95"/>
    <x v="99"/>
    <x v="97"/>
    <x v="98"/>
    <x v="98"/>
    <x v="98"/>
    <n v="90"/>
    <x v="22"/>
    <s v="Industriële productie en technologie"/>
    <s v="U/TNO/DLO/SO/O"/>
    <s v="Proj."/>
  </r>
  <r>
    <x v="7"/>
    <s v="12.01.05"/>
    <s v="Eurostars: Eurostars"/>
    <x v="100"/>
    <x v="96"/>
    <x v="100"/>
    <x v="98"/>
    <x v="99"/>
    <x v="99"/>
    <x v="99"/>
    <n v="100"/>
    <x v="22"/>
    <s v="Industriële productie en technologie"/>
    <s v="U/TNO/DLO/SO/O"/>
    <s v="Proj."/>
  </r>
  <r>
    <x v="7"/>
    <s v="12.01.06"/>
    <s v="Overig: bijdrage aan NML"/>
    <x v="101"/>
    <x v="97"/>
    <x v="101"/>
    <x v="99"/>
    <x v="100"/>
    <x v="100"/>
    <x v="100"/>
    <n v="100"/>
    <x v="20"/>
    <s v="Transport, telecommunicatie en ov. infrastructuren"/>
    <s v="SO"/>
    <s v="Inst."/>
  </r>
  <r>
    <x v="7"/>
    <s v="12.01.06"/>
    <s v="Overig: innovatieve onderzoeksprogramma's"/>
    <x v="102"/>
    <x v="98"/>
    <x v="102"/>
    <x v="100"/>
    <x v="101"/>
    <x v="101"/>
    <x v="101"/>
    <n v="100"/>
    <x v="22"/>
    <s v="Industriële productie en technologie"/>
    <s v="SO/O"/>
    <s v="Proj."/>
  </r>
  <r>
    <x v="7"/>
    <s v="12.01.06"/>
    <s v="Overig: bijdrage aan overige instituten"/>
    <x v="103"/>
    <x v="99"/>
    <x v="103"/>
    <x v="101"/>
    <x v="102"/>
    <x v="102"/>
    <x v="102"/>
    <n v="100"/>
    <x v="0"/>
    <s v="Politieke en soc. systemen, structuren/processen"/>
    <s v="SO"/>
    <s v="Inst."/>
  </r>
  <r>
    <x v="7"/>
    <s v="12.01.06"/>
    <s v="Overig: Innovatieprogramma diensten"/>
    <x v="46"/>
    <x v="46"/>
    <x v="46"/>
    <x v="46"/>
    <x v="46"/>
    <x v="46"/>
    <x v="46"/>
    <n v="100"/>
    <x v="22"/>
    <s v="Industriële productie en technologie"/>
    <s v="O"/>
    <s v="Proj."/>
  </r>
  <r>
    <x v="7"/>
    <s v="12.01.06"/>
    <s v="Overig: smartmix"/>
    <x v="104"/>
    <x v="46"/>
    <x v="46"/>
    <x v="46"/>
    <x v="46"/>
    <x v="46"/>
    <x v="46"/>
    <n v="100"/>
    <x v="22"/>
    <s v="Industriële productie en technologie"/>
    <s v="SO/O"/>
    <s v="Proj."/>
  </r>
  <r>
    <x v="7"/>
    <s v="12.01.06"/>
    <s v="Overig: Eureka/GL RVO"/>
    <x v="46"/>
    <x v="46"/>
    <x v="46"/>
    <x v="46"/>
    <x v="46"/>
    <x v="46"/>
    <x v="46"/>
    <n v="100"/>
    <x v="22"/>
    <s v="Industriële productie en technologie"/>
    <s v="U/TNO/DLO/SO/O"/>
    <s v="Proj."/>
  </r>
  <r>
    <x v="7"/>
    <s v="12.01.06"/>
    <s v="Overig: opkomende markten HGIS"/>
    <x v="46"/>
    <x v="46"/>
    <x v="46"/>
    <x v="46"/>
    <x v="46"/>
    <x v="46"/>
    <x v="46"/>
    <n v="100"/>
    <x v="22"/>
    <s v="Industriële productie en technologie"/>
    <s v="U/TNO/DLO/SO/O"/>
    <s v="Proj."/>
  </r>
  <r>
    <x v="7"/>
    <s v="12.01.06"/>
    <s v="Innovatie prestatie contracten"/>
    <x v="105"/>
    <x v="46"/>
    <x v="46"/>
    <x v="46"/>
    <x v="46"/>
    <x v="46"/>
    <x v="46"/>
    <n v="80"/>
    <x v="22"/>
    <s v="Industriële productie en technologie"/>
    <s v="O"/>
    <s v="Proj."/>
  </r>
  <r>
    <x v="7"/>
    <s v="12.01.06"/>
    <s v="Bijdrage TNO: NABS 1"/>
    <x v="106"/>
    <x v="100"/>
    <x v="104"/>
    <x v="102"/>
    <x v="103"/>
    <x v="103"/>
    <x v="103"/>
    <n v="100"/>
    <x v="1"/>
    <s v="Exploratie en exploitatie van het aards milieu"/>
    <s v="TNO"/>
    <s v="Inst."/>
  </r>
  <r>
    <x v="7"/>
    <s v="12.01.06"/>
    <s v="Bijdrage TNO: NABS 4"/>
    <x v="106"/>
    <x v="100"/>
    <x v="104"/>
    <x v="102"/>
    <x v="103"/>
    <x v="103"/>
    <x v="103"/>
    <n v="100"/>
    <x v="20"/>
    <s v="Transport, telecommunicatie en ov. infrastructuren"/>
    <s v="TNO"/>
    <s v="Inst."/>
  </r>
  <r>
    <x v="7"/>
    <s v="12.01.06"/>
    <s v="Bijdrage TNO: NABS 5"/>
    <x v="107"/>
    <x v="101"/>
    <x v="105"/>
    <x v="103"/>
    <x v="104"/>
    <x v="104"/>
    <x v="104"/>
    <n v="100"/>
    <x v="3"/>
    <s v="Energie"/>
    <s v="TNO"/>
    <s v="Inst."/>
  </r>
  <r>
    <x v="7"/>
    <s v="12.01.06"/>
    <s v="Bijdrage TNO: NABS 6"/>
    <x v="108"/>
    <x v="102"/>
    <x v="106"/>
    <x v="104"/>
    <x v="105"/>
    <x v="105"/>
    <x v="105"/>
    <n v="100"/>
    <x v="22"/>
    <s v="Industriële productie en technologie"/>
    <s v="TNO"/>
    <s v="Inst."/>
  </r>
  <r>
    <x v="7"/>
    <s v="12.01.06"/>
    <s v="Bijdrage TNO: NABS 7"/>
    <x v="109"/>
    <x v="103"/>
    <x v="107"/>
    <x v="105"/>
    <x v="106"/>
    <x v="106"/>
    <x v="106"/>
    <n v="100"/>
    <x v="18"/>
    <s v="Gezondheid"/>
    <s v="TNO"/>
    <s v="Inst."/>
  </r>
  <r>
    <x v="7"/>
    <s v="12.10.01"/>
    <s v="Internationaal Innoveren"/>
    <x v="110"/>
    <x v="104"/>
    <x v="108"/>
    <x v="106"/>
    <x v="107"/>
    <x v="107"/>
    <x v="107"/>
    <n v="100"/>
    <x v="22"/>
    <s v="Industriële productie en technologie"/>
    <s v="U/TNO/DLO/SO/O"/>
    <s v="Proj."/>
  </r>
  <r>
    <x v="7"/>
    <s v="12.10.01"/>
    <s v="TKI-toeslag: NABS 1"/>
    <x v="111"/>
    <x v="105"/>
    <x v="109"/>
    <x v="107"/>
    <x v="108"/>
    <x v="108"/>
    <x v="108"/>
    <n v="100"/>
    <x v="1"/>
    <s v="Exploratie en exploitatie van het aards milieu"/>
    <s v="U/TNO/DLO/SO/O"/>
    <s v="Proj."/>
  </r>
  <r>
    <x v="7"/>
    <s v="12.10.01"/>
    <s v="TKI-toeslag: NABS 4"/>
    <x v="112"/>
    <x v="106"/>
    <x v="110"/>
    <x v="108"/>
    <x v="109"/>
    <x v="109"/>
    <x v="109"/>
    <n v="100"/>
    <x v="20"/>
    <s v="Transport, telecommunicatie en ov. infrastructuren"/>
    <s v="U/TNO/DLO/SO/O"/>
    <s v="Proj."/>
  </r>
  <r>
    <x v="7"/>
    <s v="12.10.01"/>
    <s v="TKI-toeslag: NABS 5"/>
    <x v="113"/>
    <x v="107"/>
    <x v="111"/>
    <x v="109"/>
    <x v="110"/>
    <x v="110"/>
    <x v="110"/>
    <n v="100"/>
    <x v="3"/>
    <s v="Energie"/>
    <s v="U/TNO/DLO/SO/O"/>
    <s v="Proj."/>
  </r>
  <r>
    <x v="7"/>
    <s v="12.10.01"/>
    <s v="TKI-toeslag: NABS 6"/>
    <x v="114"/>
    <x v="108"/>
    <x v="112"/>
    <x v="110"/>
    <x v="111"/>
    <x v="111"/>
    <x v="111"/>
    <n v="100"/>
    <x v="22"/>
    <s v="Industriële productie en technologie"/>
    <s v="U/TNO/DLO/SO/O"/>
    <s v="Proj."/>
  </r>
  <r>
    <x v="7"/>
    <s v="12.10.01"/>
    <s v="TKI-toeslag: NABS 7"/>
    <x v="115"/>
    <x v="109"/>
    <x v="113"/>
    <x v="111"/>
    <x v="112"/>
    <x v="112"/>
    <x v="112"/>
    <n v="100"/>
    <x v="18"/>
    <s v="Gezondheid"/>
    <s v="U/TNO/DLO/SO/O"/>
    <s v="Proj."/>
  </r>
  <r>
    <x v="7"/>
    <s v="12.10.01"/>
    <s v="TKI-toeslag: NABS 8"/>
    <x v="116"/>
    <x v="110"/>
    <x v="114"/>
    <x v="112"/>
    <x v="113"/>
    <x v="113"/>
    <x v="113"/>
    <n v="100"/>
    <x v="23"/>
    <s v="Landbouw"/>
    <s v="U/TNO/DLO/SO/O"/>
    <s v="Proj."/>
  </r>
  <r>
    <x v="7"/>
    <s v="12.10.02"/>
    <s v="Grote Technologische Instituten (MARIN)"/>
    <x v="117"/>
    <x v="7"/>
    <x v="115"/>
    <x v="113"/>
    <x v="114"/>
    <x v="114"/>
    <x v="114"/>
    <n v="100"/>
    <x v="20"/>
    <s v="Transport, telecommunicatie en ov. infrastructuren"/>
    <s v="SO"/>
    <s v="Inst."/>
  </r>
  <r>
    <x v="7"/>
    <s v="12.10.02"/>
    <s v="Grote Technologische Instituten (Deltares)"/>
    <x v="118"/>
    <x v="111"/>
    <x v="116"/>
    <x v="114"/>
    <x v="115"/>
    <x v="115"/>
    <x v="115"/>
    <n v="100"/>
    <x v="20"/>
    <s v="Transport, telecommunicatie en ov. infrastructuren"/>
    <s v="SO"/>
    <s v="Inst."/>
  </r>
  <r>
    <x v="7"/>
    <s v="12.10.02"/>
    <s v="Grote Technologische Instituten (NLR)"/>
    <x v="119"/>
    <x v="112"/>
    <x v="117"/>
    <x v="115"/>
    <x v="116"/>
    <x v="116"/>
    <x v="116"/>
    <n v="100"/>
    <x v="2"/>
    <s v="Exploratie en exploitatie van de ruimte"/>
    <s v="SO"/>
    <s v="Inst."/>
  </r>
  <r>
    <x v="7"/>
    <m/>
    <s v="Economische ontwikkeling en technologie"/>
    <x v="12"/>
    <x v="113"/>
    <x v="118"/>
    <x v="116"/>
    <x v="117"/>
    <x v="117"/>
    <x v="117"/>
    <n v="100"/>
    <x v="22"/>
    <s v="Industriële productie en technologie"/>
    <s v="U/TNO/DLO/SO/O"/>
    <s v="Proj."/>
  </r>
  <r>
    <x v="7"/>
    <s v="12.10.03"/>
    <s v="Topsectoren overig (NWO-TTW)"/>
    <x v="120"/>
    <x v="114"/>
    <x v="119"/>
    <x v="117"/>
    <x v="118"/>
    <x v="118"/>
    <x v="118"/>
    <n v="100"/>
    <x v="22"/>
    <s v="Industriële productie en technologie"/>
    <s v="NWO"/>
    <s v="Inst."/>
  </r>
  <r>
    <x v="7"/>
    <s v="12.10.03"/>
    <s v="Topsectoren overig (Innovatieprogramma's algemeen)"/>
    <x v="60"/>
    <x v="115"/>
    <x v="120"/>
    <x v="118"/>
    <x v="119"/>
    <x v="119"/>
    <x v="119"/>
    <n v="100"/>
    <x v="22"/>
    <s v="Industriële productie en technologie"/>
    <s v="TNO/DLO/SO/NWO"/>
    <s v="Inst."/>
  </r>
  <r>
    <x v="7"/>
    <s v="12.10.04"/>
    <s v="Topsectoren overig (Innovatieprogramma's algemeen)"/>
    <x v="60"/>
    <x v="115"/>
    <x v="120"/>
    <x v="118"/>
    <x v="119"/>
    <x v="119"/>
    <x v="119"/>
    <n v="100"/>
    <x v="15"/>
    <s v="Algemene kennisopbouw: Onderzoek gefinancierd uit andere bronnen dan hoofdstuk 12"/>
    <s v="TNO/DLO/SO/NWO"/>
    <s v="Inst."/>
  </r>
  <r>
    <x v="7"/>
    <s v="12.10.03"/>
    <s v="TTI Water"/>
    <x v="121"/>
    <x v="46"/>
    <x v="46"/>
    <x v="46"/>
    <x v="46"/>
    <x v="46"/>
    <x v="46"/>
    <n v="100"/>
    <x v="22"/>
    <s v="Industriële productie en technologie"/>
    <s v="SO"/>
    <s v="Proj."/>
  </r>
  <r>
    <x v="7"/>
    <s v="12.10.03"/>
    <s v="Topsectoren overig (Innowator)"/>
    <x v="46"/>
    <x v="46"/>
    <x v="46"/>
    <x v="46"/>
    <x v="46"/>
    <x v="46"/>
    <x v="46"/>
    <n v="100"/>
    <x v="22"/>
    <s v="Industriële productie en technologie"/>
    <s v="SO/O"/>
    <s v="Proj."/>
  </r>
  <r>
    <x v="7"/>
    <s v="12.10.03"/>
    <s v="Topsectoren overig (TIFN)"/>
    <x v="46"/>
    <x v="46"/>
    <x v="46"/>
    <x v="46"/>
    <x v="46"/>
    <x v="46"/>
    <x v="46"/>
    <n v="100"/>
    <x v="22"/>
    <s v="Industriële productie en technologie"/>
    <s v="SO"/>
    <s v="Inst."/>
  </r>
  <r>
    <x v="7"/>
    <s v="12.10.03"/>
    <s v="Topsectoren overig (Food and nutrition delta)"/>
    <x v="46"/>
    <x v="46"/>
    <x v="46"/>
    <x v="46"/>
    <x v="46"/>
    <x v="46"/>
    <x v="46"/>
    <n v="100"/>
    <x v="22"/>
    <s v="Industriële productie en technologie"/>
    <s v="O"/>
    <s v="Proj."/>
  </r>
  <r>
    <x v="7"/>
    <s v="12.10.03"/>
    <s v="Topsectoren overig (Innovatieprogramma Maritiem)"/>
    <x v="122"/>
    <x v="46"/>
    <x v="46"/>
    <x v="46"/>
    <x v="46"/>
    <x v="46"/>
    <x v="46"/>
    <n v="100"/>
    <x v="22"/>
    <s v="Industriële productie en technologie"/>
    <s v="SO"/>
    <s v="Proj."/>
  </r>
  <r>
    <x v="7"/>
    <s v="12.10.03"/>
    <s v="Topsectoren overig (HTSM)"/>
    <x v="46"/>
    <x v="46"/>
    <x v="46"/>
    <x v="46"/>
    <x v="46"/>
    <x v="46"/>
    <x v="46"/>
    <n v="100"/>
    <x v="22"/>
    <s v="Industriële productie en technologie"/>
    <s v="I/O/TNO"/>
    <s v="Proj."/>
  </r>
  <r>
    <x v="7"/>
    <s v="12.10.03"/>
    <s v="Topsectoren overig (Comict)"/>
    <x v="46"/>
    <x v="46"/>
    <x v="46"/>
    <x v="46"/>
    <x v="46"/>
    <x v="46"/>
    <x v="46"/>
    <n v="100"/>
    <x v="22"/>
    <s v="Industriële productie en technologie"/>
    <s v="I/O/TNO"/>
    <s v="Proj."/>
  </r>
  <r>
    <x v="7"/>
    <s v="12.10.03"/>
    <s v="Topsectoren overig (Holst centrum)"/>
    <x v="123"/>
    <x v="116"/>
    <x v="46"/>
    <x v="46"/>
    <x v="46"/>
    <x v="46"/>
    <x v="46"/>
    <n v="100"/>
    <x v="22"/>
    <s v="Industriële productie en technologie"/>
    <s v="SO"/>
    <s v="Proj."/>
  </r>
  <r>
    <x v="7"/>
    <s v="12.10.03"/>
    <s v="Topsectoren overig (phase 2)"/>
    <x v="124"/>
    <x v="46"/>
    <x v="46"/>
    <x v="46"/>
    <x v="46"/>
    <x v="46"/>
    <x v="46"/>
    <n v="100"/>
    <x v="22"/>
    <s v="Industriële productie en technologie"/>
    <s v="U/O/TNO"/>
    <s v="Proj."/>
  </r>
  <r>
    <x v="7"/>
    <s v="12.10.03"/>
    <s v="Topsectoren overig (innovatieprogramma life sciences and health)"/>
    <x v="125"/>
    <x v="46"/>
    <x v="46"/>
    <x v="46"/>
    <x v="46"/>
    <x v="46"/>
    <x v="46"/>
    <n v="100"/>
    <x v="22"/>
    <s v="Industriële productie en technologie"/>
    <s v="U/O/TNO"/>
    <s v="Proj."/>
  </r>
  <r>
    <x v="7"/>
    <s v="12.10.03"/>
    <s v="Topsectoren overig (BE basic)"/>
    <x v="126"/>
    <x v="117"/>
    <x v="121"/>
    <x v="119"/>
    <x v="120"/>
    <x v="120"/>
    <x v="120"/>
    <n v="100"/>
    <x v="22"/>
    <s v="Industriële productie en technologie"/>
    <s v="U/O"/>
    <s v="Proj."/>
  </r>
  <r>
    <x v="7"/>
    <s v="12.10.03"/>
    <s v="Topsectoren overig (innovatieprogramma logistiek)"/>
    <x v="46"/>
    <x v="46"/>
    <x v="46"/>
    <x v="46"/>
    <x v="46"/>
    <x v="46"/>
    <x v="46"/>
    <n v="100"/>
    <x v="20"/>
    <s v="Transport, telecommunicatie en ov. infrastructuren"/>
    <s v="SO"/>
    <s v="Proj."/>
  </r>
  <r>
    <x v="7"/>
    <s v="12.10.03"/>
    <s v="Topsectoren overig (innovatieprogramma materialen M2i)"/>
    <x v="46"/>
    <x v="46"/>
    <x v="46"/>
    <x v="46"/>
    <x v="46"/>
    <x v="46"/>
    <x v="46"/>
    <n v="100"/>
    <x v="22"/>
    <s v="Industriële productie en technologie"/>
    <s v="SO"/>
    <s v="Proj."/>
  </r>
  <r>
    <x v="7"/>
    <s v="12.10.03"/>
    <s v="Topsectoren overig (NWO)"/>
    <x v="127"/>
    <x v="118"/>
    <x v="122"/>
    <x v="120"/>
    <x v="121"/>
    <x v="121"/>
    <x v="121"/>
    <n v="100"/>
    <x v="22"/>
    <s v="Industriële productie en technologie"/>
    <s v="NWO"/>
    <s v="Proj."/>
  </r>
  <r>
    <x v="7"/>
    <s v="12.10.03"/>
    <s v="Topsectoren overig (TKI CLICK)"/>
    <x v="101"/>
    <x v="46"/>
    <x v="46"/>
    <x v="46"/>
    <x v="46"/>
    <x v="46"/>
    <x v="46"/>
    <n v="20"/>
    <x v="16"/>
    <s v="Cultuur, recreatie, religie en massamedia"/>
    <s v="U/O/TNO"/>
    <s v="Proj."/>
  </r>
  <r>
    <x v="7"/>
    <s v="12.10.05"/>
    <s v="Ruimtevaart (ESA): ruimtevaart"/>
    <x v="128"/>
    <x v="119"/>
    <x v="123"/>
    <x v="121"/>
    <x v="122"/>
    <x v="122"/>
    <x v="122"/>
    <n v="100"/>
    <x v="2"/>
    <s v="Exploratie en exploitatie van de ruimte"/>
    <s v="IO"/>
    <s v="Proj."/>
  </r>
  <r>
    <x v="7"/>
    <s v="12.10.05"/>
    <s v="Ruimtevaart (ESA): nationaal programma ruimtevaart"/>
    <x v="129"/>
    <x v="120"/>
    <x v="124"/>
    <x v="122"/>
    <x v="123"/>
    <x v="123"/>
    <x v="123"/>
    <n v="100"/>
    <x v="2"/>
    <s v="Exploratie en exploitatie van de ruimte"/>
    <s v="IO"/>
    <s v="Proj."/>
  </r>
  <r>
    <x v="7"/>
    <s v="12.10.05"/>
    <s v="Ruimtevaart (ESA): ESA programma NSO"/>
    <x v="130"/>
    <x v="121"/>
    <x v="125"/>
    <x v="123"/>
    <x v="124"/>
    <x v="124"/>
    <x v="124"/>
    <n v="100"/>
    <x v="2"/>
    <s v="Exploratie en exploitatie van de ruimte"/>
    <s v="IO"/>
    <s v="Proj."/>
  </r>
  <r>
    <x v="7"/>
    <s v="12.10"/>
    <s v="Onderzoek: innovatie DG B&amp;I"/>
    <x v="131"/>
    <x v="122"/>
    <x v="126"/>
    <x v="124"/>
    <x v="125"/>
    <x v="125"/>
    <x v="125"/>
    <n v="100"/>
    <x v="22"/>
    <s v="Industriële productie en technologie"/>
    <s v="U/R/SO/O"/>
    <s v="Proj."/>
  </r>
  <r>
    <x v="7"/>
    <s v="12.10"/>
    <s v="Onderzoek: vernieuwingsprogramma's DGB&amp;I"/>
    <x v="132"/>
    <x v="123"/>
    <x v="127"/>
    <x v="125"/>
    <x v="126"/>
    <x v="126"/>
    <x v="126"/>
    <n v="100"/>
    <x v="22"/>
    <s v="Industriële productie en technologie"/>
    <s v="U/R/SO/O"/>
    <s v="Proj."/>
  </r>
  <r>
    <x v="7"/>
    <s v="13.10"/>
    <s v="Onderzoek: ondernemingsklimaat"/>
    <x v="133"/>
    <x v="46"/>
    <x v="46"/>
    <x v="46"/>
    <x v="46"/>
    <x v="46"/>
    <x v="46"/>
    <n v="100"/>
    <x v="22"/>
    <s v="Industriële productie en technologie"/>
    <s v="U/R/SO/O"/>
    <s v="Proj."/>
  </r>
  <r>
    <x v="7"/>
    <s v="13.10"/>
    <s v="Onderzoek: vernieuwingsprogramma's DGB&amp;I"/>
    <x v="134"/>
    <x v="124"/>
    <x v="46"/>
    <x v="46"/>
    <x v="46"/>
    <x v="46"/>
    <x v="46"/>
    <n v="100"/>
    <x v="22"/>
    <s v="Industriële productie en technologie"/>
    <s v="U/R/SO/O"/>
    <s v="Proj."/>
  </r>
  <r>
    <x v="7"/>
    <s v="18.10"/>
    <s v="Onderzoek: onderzoeksbudget regio"/>
    <x v="46"/>
    <x v="46"/>
    <x v="46"/>
    <x v="46"/>
    <x v="46"/>
    <x v="46"/>
    <x v="46"/>
    <n v="100"/>
    <x v="22"/>
    <s v="Industriële productie en technologie"/>
    <s v="U/R/SO/O"/>
    <s v="Proj."/>
  </r>
  <r>
    <x v="7"/>
    <s v="12.10"/>
    <s v="Small Business Innovation Research"/>
    <x v="135"/>
    <x v="125"/>
    <x v="43"/>
    <x v="2"/>
    <x v="44"/>
    <x v="127"/>
    <x v="46"/>
    <n v="100"/>
    <x v="22"/>
    <s v="Industriële productie en technologie"/>
    <s v="O"/>
    <s v="Proj."/>
  </r>
  <r>
    <x v="7"/>
    <s v="13.20"/>
    <s v="Uitfinanciering subsidies (ICT beleid; prima RVO)"/>
    <x v="46"/>
    <x v="46"/>
    <x v="46"/>
    <x v="46"/>
    <x v="46"/>
    <x v="46"/>
    <x v="46"/>
    <n v="70"/>
    <x v="20"/>
    <s v="Transport, telecommunicatie en ov. infrastructuren"/>
    <s v="R/O"/>
    <s v="Proj."/>
  </r>
  <r>
    <x v="7"/>
    <s v="13.20"/>
    <s v="Uitfinanciering subsidies (ICT beleid; flankerend beleid en adm. lasten)"/>
    <x v="136"/>
    <x v="126"/>
    <x v="46"/>
    <x v="46"/>
    <x v="46"/>
    <x v="46"/>
    <x v="46"/>
    <n v="30"/>
    <x v="20"/>
    <s v="Transport, telecommunicatie en ov. infrastructuren"/>
    <s v="SO/O"/>
    <s v="Proj."/>
  </r>
  <r>
    <x v="7"/>
    <s v="U02"/>
    <s v="Cyber KI"/>
    <x v="46"/>
    <x v="127"/>
    <x v="46"/>
    <x v="46"/>
    <x v="46"/>
    <x v="46"/>
    <x v="46"/>
    <n v="95"/>
    <x v="22"/>
    <s v="Industriële productie en technologie"/>
    <s v="U/NWO/TNO/SO/O "/>
    <s v="Proj."/>
  </r>
  <r>
    <x v="7"/>
    <s v="18.10"/>
    <s v="Co-financiering EFRO en Interreg"/>
    <x v="137"/>
    <x v="128"/>
    <x v="128"/>
    <x v="126"/>
    <x v="127"/>
    <x v="128"/>
    <x v="127"/>
    <n v="30"/>
    <x v="3"/>
    <s v="Energie"/>
    <s v="O"/>
    <s v="Proj."/>
  </r>
  <r>
    <x v="7"/>
    <s v="18.10"/>
    <s v="Pieken in de Delta"/>
    <x v="46"/>
    <x v="46"/>
    <x v="46"/>
    <x v="46"/>
    <x v="46"/>
    <x v="46"/>
    <x v="46"/>
    <n v="35"/>
    <x v="22"/>
    <s v="Industriële productie en technologie"/>
    <s v="SO/O"/>
    <s v="Proj."/>
  </r>
  <r>
    <x v="7"/>
    <s v="UO2"/>
    <s v="Verduurzaming industrie KD"/>
    <x v="46"/>
    <x v="129"/>
    <x v="129"/>
    <x v="127"/>
    <x v="128"/>
    <x v="44"/>
    <x v="44"/>
    <n v="20"/>
    <x v="21"/>
    <s v="Milieubeheer en milieuzorg"/>
    <s v="O"/>
    <s v="Proj."/>
  </r>
  <r>
    <x v="7"/>
    <s v="UO2"/>
    <s v="Verduurzaming industrie KD"/>
    <x v="46"/>
    <x v="129"/>
    <x v="129"/>
    <x v="127"/>
    <x v="128"/>
    <x v="44"/>
    <x v="44"/>
    <n v="20"/>
    <x v="22"/>
    <s v="Industriële productie en technologie"/>
    <m/>
    <s v="Proj."/>
  </r>
  <r>
    <x v="7"/>
    <s v="UO2"/>
    <s v="Verduurzaming industrie  "/>
    <x v="138"/>
    <x v="130"/>
    <x v="2"/>
    <x v="128"/>
    <x v="129"/>
    <x v="129"/>
    <x v="128"/>
    <n v="20"/>
    <x v="21"/>
    <s v="Milieubeheer en milieuzorg"/>
    <s v="O"/>
    <s v="Proj."/>
  </r>
  <r>
    <x v="7"/>
    <s v="UO2"/>
    <s v="Verduurzaming industrie  "/>
    <x v="138"/>
    <x v="130"/>
    <x v="2"/>
    <x v="128"/>
    <x v="129"/>
    <x v="129"/>
    <x v="128"/>
    <n v="20"/>
    <x v="22"/>
    <s v="Industriële productie en technologie"/>
    <m/>
    <s v="Proj."/>
  </r>
  <r>
    <x v="7"/>
    <s v="12.01.02"/>
    <s v="Innovatiefonds: Innovatiekrediet technische ontwikkeling"/>
    <x v="139"/>
    <x v="131"/>
    <x v="130"/>
    <x v="129"/>
    <x v="130"/>
    <x v="130"/>
    <x v="129"/>
    <n v="100"/>
    <x v="22"/>
    <s v="Industriële productie en technologie"/>
    <s v="O"/>
    <s v="Proj."/>
  </r>
  <r>
    <x v="7"/>
    <s v="12.01.02"/>
    <s v="Innovatiefonds: Innovatiekrediet klinische ontwikkeling"/>
    <x v="140"/>
    <x v="132"/>
    <x v="131"/>
    <x v="130"/>
    <x v="131"/>
    <x v="131"/>
    <x v="130"/>
    <n v="100"/>
    <x v="18"/>
    <s v="Gezondheid"/>
    <s v="O"/>
    <s v="Proj."/>
  </r>
  <r>
    <x v="7"/>
    <s v="12.01.03"/>
    <s v="Innovatiefonds: risicokapitaal Seed"/>
    <x v="141"/>
    <x v="133"/>
    <x v="132"/>
    <x v="131"/>
    <x v="132"/>
    <x v="132"/>
    <x v="131"/>
    <n v="70"/>
    <x v="22"/>
    <s v="Industriële productie en technologie"/>
    <s v="O"/>
    <s v="Proj."/>
  </r>
  <r>
    <x v="7"/>
    <s v="12.01.04"/>
    <s v="Innovatiefonds: Fund to Fund"/>
    <x v="142"/>
    <x v="134"/>
    <x v="133"/>
    <x v="132"/>
    <x v="133"/>
    <x v="133"/>
    <x v="132"/>
    <n v="50"/>
    <x v="22"/>
    <s v="Industriële productie en technologie"/>
    <s v="O"/>
    <s v="Proj."/>
  </r>
  <r>
    <x v="7"/>
    <n v="19"/>
    <s v="Innovatiefonds: Investeringen in fundamenteel en toegepast onderzoek (met vermogensbehoud)"/>
    <x v="46"/>
    <x v="135"/>
    <x v="43"/>
    <x v="43"/>
    <x v="43"/>
    <x v="43"/>
    <x v="43"/>
    <n v="100"/>
    <x v="15"/>
    <s v="Niet in te delen wetenschappen"/>
    <s v="U/HBO/TNO/SO/O"/>
    <s v="Proj."/>
  </r>
  <r>
    <x v="7"/>
    <n v="19"/>
    <s v="Innovatiefonds: Investeringen in fundamenteel en toegepast onderzoek (met vermogensbehoud) R"/>
    <x v="143"/>
    <x v="136"/>
    <x v="2"/>
    <x v="133"/>
    <x v="46"/>
    <x v="46"/>
    <x v="46"/>
    <n v="100"/>
    <x v="15"/>
    <s v="Niet in te delen wetenschappen"/>
    <s v="U/HBO/TNO/SO/O/GTI"/>
    <s v="Proj."/>
  </r>
  <r>
    <x v="7"/>
    <n v="19"/>
    <s v="Innovatiefonds: Investeringen in fundamenteel en toegepast onderzoek; Oncode"/>
    <x v="144"/>
    <x v="137"/>
    <x v="134"/>
    <x v="134"/>
    <x v="134"/>
    <x v="46"/>
    <x v="46"/>
    <n v="48"/>
    <x v="12"/>
    <s v="Medisch"/>
    <s v="U/UMC/NOW/KNAW/R/SO"/>
    <s v="Proj."/>
  </r>
  <r>
    <x v="7"/>
    <m/>
    <s v="Co-investment venture capital instrument/EIF"/>
    <x v="46"/>
    <x v="138"/>
    <x v="135"/>
    <x v="135"/>
    <x v="46"/>
    <x v="46"/>
    <x v="46"/>
    <n v="6"/>
    <x v="22"/>
    <s v="Industriële productie en technologie"/>
    <s v="O"/>
    <s v="Proj."/>
  </r>
  <r>
    <x v="7"/>
    <s v="12.01.07"/>
    <s v="Innovatiefonds: vroege fase / informal investors: RVO"/>
    <x v="145"/>
    <x v="139"/>
    <x v="136"/>
    <x v="136"/>
    <x v="135"/>
    <x v="134"/>
    <x v="133"/>
    <n v="50"/>
    <x v="22"/>
    <s v="Industriële productie en technologie"/>
    <s v="O"/>
    <s v="Proj."/>
  </r>
  <r>
    <x v="7"/>
    <s v="12.01.07"/>
    <s v="Innovatiefonds: vroege fase / informal investors: STW"/>
    <x v="146"/>
    <x v="140"/>
    <x v="137"/>
    <x v="137"/>
    <x v="136"/>
    <x v="135"/>
    <x v="134"/>
    <n v="50"/>
    <x v="22"/>
    <s v="Industriële productie en technologie"/>
    <s v="O"/>
    <s v="Proj."/>
  </r>
  <r>
    <x v="7"/>
    <s v="12.01.07"/>
    <s v="Innovatiefonds: vroege fase / informal investors: haalbaarheidsstudies STW"/>
    <x v="147"/>
    <x v="141"/>
    <x v="73"/>
    <x v="71"/>
    <x v="46"/>
    <x v="46"/>
    <x v="46"/>
    <n v="50"/>
    <x v="22"/>
    <s v="Industriële productie en technologie"/>
    <s v="O"/>
    <s v="Proj."/>
  </r>
  <r>
    <x v="7"/>
    <m/>
    <s v="Smart industry (subsidies)"/>
    <x v="148"/>
    <x v="142"/>
    <x v="138"/>
    <x v="138"/>
    <x v="137"/>
    <x v="136"/>
    <x v="46"/>
    <n v="100"/>
    <x v="22"/>
    <s v="Industriële productie en technologie"/>
    <s v="O"/>
    <s v="Proj."/>
  </r>
  <r>
    <x v="7"/>
    <m/>
    <s v="Smart industry (leningen)"/>
    <x v="149"/>
    <x v="143"/>
    <x v="139"/>
    <x v="139"/>
    <x v="138"/>
    <x v="46"/>
    <x v="46"/>
    <n v="100"/>
    <x v="22"/>
    <s v="Industriële productie en technologie"/>
    <s v="O"/>
    <s v="Proj."/>
  </r>
  <r>
    <x v="7"/>
    <m/>
    <s v="Thematische technology transfer (subsidiedeel)"/>
    <x v="46"/>
    <x v="144"/>
    <x v="46"/>
    <x v="46"/>
    <x v="46"/>
    <x v="46"/>
    <x v="46"/>
    <n v="20"/>
    <x v="22"/>
    <s v="Industriële productie en technologie"/>
    <s v="U/UMC/TNO"/>
    <s v="Proj."/>
  </r>
  <r>
    <x v="7"/>
    <s v="14.01"/>
    <s v="Topsectoren energie: energie-innovatie tenderregeling "/>
    <x v="150"/>
    <x v="145"/>
    <x v="140"/>
    <x v="140"/>
    <x v="139"/>
    <x v="137"/>
    <x v="135"/>
    <n v="25"/>
    <x v="3"/>
    <s v="Energie"/>
    <s v="O"/>
    <s v="Proj."/>
  </r>
  <r>
    <x v="7"/>
    <s v="14.01"/>
    <s v="Topsectoren energie: SDE+projecten topsectoren energie"/>
    <x v="151"/>
    <x v="146"/>
    <x v="141"/>
    <x v="141"/>
    <x v="140"/>
    <x v="138"/>
    <x v="136"/>
    <n v="25"/>
    <x v="3"/>
    <s v="Energie"/>
    <s v="O"/>
    <s v="Proj."/>
  </r>
  <r>
    <x v="7"/>
    <s v="14.01."/>
    <s v="Energie-Akkoord SER: RVO demonstratieregeling Energie innovatie DEI (E&amp;I)"/>
    <x v="152"/>
    <x v="147"/>
    <x v="142"/>
    <x v="142"/>
    <x v="141"/>
    <x v="139"/>
    <x v="137"/>
    <n v="30"/>
    <x v="3"/>
    <s v="Energie"/>
    <s v="O"/>
    <s v="Proj."/>
  </r>
  <r>
    <x v="7"/>
    <s v="14.01"/>
    <s v="Energie-Akkoord SER: RVO subsidieregeling duurzame scheepsbouw (SDS)"/>
    <x v="153"/>
    <x v="148"/>
    <x v="143"/>
    <x v="143"/>
    <x v="142"/>
    <x v="140"/>
    <x v="138"/>
    <n v="30"/>
    <x v="3"/>
    <s v="Energie"/>
    <s v="O"/>
    <s v="Proj."/>
  </r>
  <r>
    <x v="7"/>
    <s v="14.01"/>
    <s v="Energie-innovatie (IA) - O: meerjarenafspraken energie (MJA-E)"/>
    <x v="154"/>
    <x v="149"/>
    <x v="144"/>
    <x v="144"/>
    <x v="143"/>
    <x v="141"/>
    <x v="139"/>
    <n v="25"/>
    <x v="3"/>
    <s v="Energie"/>
    <s v="O"/>
    <s v="Proj."/>
  </r>
  <r>
    <x v="7"/>
    <s v="14.01"/>
    <s v="Energie-innovatie (IA) - O: RVO smart grids"/>
    <x v="133"/>
    <x v="46"/>
    <x v="46"/>
    <x v="46"/>
    <x v="46"/>
    <x v="46"/>
    <x v="46"/>
    <n v="25"/>
    <x v="3"/>
    <s v="Energie"/>
    <s v="O"/>
    <s v="Proj."/>
  </r>
  <r>
    <x v="7"/>
    <s v="14.01"/>
    <s v="Energie-innovatie (IA) - O: duurzame elektriciteitsvoorziening"/>
    <x v="46"/>
    <x v="46"/>
    <x v="46"/>
    <x v="46"/>
    <x v="46"/>
    <x v="46"/>
    <x v="46"/>
    <n v="25"/>
    <x v="3"/>
    <s v="Energie"/>
    <s v="O"/>
    <s v="Proj."/>
  </r>
  <r>
    <x v="7"/>
    <s v="14.01"/>
    <s v="Energie-innovatie (IA) - O: innovatieagenda wind op zee"/>
    <x v="46"/>
    <x v="46"/>
    <x v="46"/>
    <x v="46"/>
    <x v="46"/>
    <x v="46"/>
    <x v="46"/>
    <n v="25"/>
    <x v="3"/>
    <s v="Energie"/>
    <s v="O"/>
    <s v="Proj."/>
  </r>
  <r>
    <x v="7"/>
    <s v="14.01"/>
    <s v="Energie-innovatie (IA) - O: innovatieagenda nieuw gas"/>
    <x v="155"/>
    <x v="46"/>
    <x v="46"/>
    <x v="46"/>
    <x v="46"/>
    <x v="46"/>
    <x v="46"/>
    <n v="25"/>
    <x v="3"/>
    <s v="Energie"/>
    <s v="O"/>
    <s v="Proj."/>
  </r>
  <r>
    <x v="7"/>
    <s v="14.01"/>
    <s v="Energie-innovatie (IA) - O: duurzaamheid energiebesparing UKR"/>
    <x v="156"/>
    <x v="148"/>
    <x v="46"/>
    <x v="46"/>
    <x v="46"/>
    <x v="46"/>
    <x v="46"/>
    <n v="25"/>
    <x v="3"/>
    <s v="Energie"/>
    <s v="O"/>
    <s v="Proj."/>
  </r>
  <r>
    <x v="7"/>
    <s v="14.01"/>
    <s v="Overige subsidies: transitiemanagement"/>
    <x v="46"/>
    <x v="46"/>
    <x v="46"/>
    <x v="46"/>
    <x v="46"/>
    <x v="46"/>
    <x v="46"/>
    <n v="25"/>
    <x v="3"/>
    <s v="Energie"/>
    <s v="O"/>
    <s v="Proj."/>
  </r>
  <r>
    <x v="7"/>
    <s v="14.01"/>
    <s v="Carbon Capture and Storage"/>
    <x v="157"/>
    <x v="150"/>
    <x v="145"/>
    <x v="145"/>
    <x v="144"/>
    <x v="142"/>
    <x v="140"/>
    <n v="100"/>
    <x v="3"/>
    <s v="Energie"/>
    <s v="O"/>
    <s v="Proj."/>
  </r>
  <r>
    <x v="7"/>
    <s v="14.01"/>
    <s v="Hoge Flux Reactor"/>
    <x v="158"/>
    <x v="151"/>
    <x v="146"/>
    <x v="146"/>
    <x v="145"/>
    <x v="143"/>
    <x v="141"/>
    <n v="100"/>
    <x v="3"/>
    <s v="Energie"/>
    <s v="HFR/NRG"/>
    <s v="Inst."/>
  </r>
  <r>
    <x v="7"/>
    <s v="14.06"/>
    <s v="O&amp;O bodembeheer: projecten bodembeheer"/>
    <x v="159"/>
    <x v="60"/>
    <x v="46"/>
    <x v="46"/>
    <x v="46"/>
    <x v="46"/>
    <x v="46"/>
    <n v="100"/>
    <x v="3"/>
    <s v="Energie"/>
    <s v="Proj."/>
    <s v="Proj."/>
  </r>
  <r>
    <x v="7"/>
    <s v="14.06"/>
    <s v="O&amp;O bodembeheer: onderzoeksprojecten bodembeweging "/>
    <x v="160"/>
    <x v="152"/>
    <x v="147"/>
    <x v="147"/>
    <x v="146"/>
    <x v="144"/>
    <x v="142"/>
    <n v="100"/>
    <x v="3"/>
    <s v="Energie"/>
    <s v="Proj."/>
    <s v="Proj."/>
  </r>
  <r>
    <x v="7"/>
    <s v="14.06"/>
    <s v="O&amp;O bodembeheer: SodM onderzoeksbudget mijnbouw"/>
    <x v="161"/>
    <x v="153"/>
    <x v="148"/>
    <x v="148"/>
    <x v="147"/>
    <x v="43"/>
    <x v="43"/>
    <n v="100"/>
    <x v="3"/>
    <s v="Energie"/>
    <s v="Proj."/>
    <s v="Proj."/>
  </r>
  <r>
    <x v="7"/>
    <s v="14.06"/>
    <s v="O&amp;O bodembeheer: beleidsbudget secretariaten mijraad/TCBB"/>
    <x v="78"/>
    <x v="154"/>
    <x v="149"/>
    <x v="149"/>
    <x v="148"/>
    <x v="145"/>
    <x v="143"/>
    <n v="100"/>
    <x v="3"/>
    <s v="Energie"/>
    <s v="Proj."/>
    <s v="Proj."/>
  </r>
  <r>
    <x v="7"/>
    <s v="14.06"/>
    <s v="Pallas"/>
    <x v="162"/>
    <x v="46"/>
    <x v="46"/>
    <x v="46"/>
    <x v="46"/>
    <x v="46"/>
    <x v="46"/>
    <n v="60"/>
    <x v="3"/>
    <s v="Energie"/>
    <s v="Proj."/>
    <s v="Proj."/>
  </r>
  <r>
    <x v="7"/>
    <s v="14.10"/>
    <s v="Bijdrage aan ECN"/>
    <x v="163"/>
    <x v="155"/>
    <x v="150"/>
    <x v="150"/>
    <x v="149"/>
    <x v="146"/>
    <x v="144"/>
    <n v="100"/>
    <x v="3"/>
    <s v="Energie"/>
    <s v="ECN"/>
    <s v="Inst."/>
  </r>
  <r>
    <x v="7"/>
    <s v="14.06"/>
    <s v="Onderzoek &amp; opdrachten: onderzoeksprojecten ETM algemeen"/>
    <x v="101"/>
    <x v="156"/>
    <x v="46"/>
    <x v="46"/>
    <x v="46"/>
    <x v="46"/>
    <x v="46"/>
    <n v="100"/>
    <x v="3"/>
    <s v="Energie"/>
    <s v="Proj."/>
    <s v="Proj."/>
  </r>
  <r>
    <x v="7"/>
    <s v="14.06"/>
    <s v="Onderzoek &amp; opdrachten: onderzoeksprojecten ETM (E&amp;I)"/>
    <x v="164"/>
    <x v="157"/>
    <x v="151"/>
    <x v="151"/>
    <x v="150"/>
    <x v="147"/>
    <x v="145"/>
    <n v="100"/>
    <x v="3"/>
    <s v="Energie"/>
    <s v="Proj."/>
    <s v="Proj."/>
  </r>
  <r>
    <x v="7"/>
    <s v="14.08"/>
    <s v="Bijdrage TNO-AGE bodembeheer"/>
    <x v="165"/>
    <x v="158"/>
    <x v="152"/>
    <x v="152"/>
    <x v="151"/>
    <x v="148"/>
    <x v="146"/>
    <n v="100"/>
    <x v="3"/>
    <s v="Energie"/>
    <s v="TNO"/>
    <s v="Inst."/>
  </r>
  <r>
    <x v="7"/>
    <s v="14.08"/>
    <s v="Bijdrage ECN-TNO (E&amp;I)"/>
    <x v="166"/>
    <x v="159"/>
    <x v="153"/>
    <x v="153"/>
    <x v="152"/>
    <x v="149"/>
    <x v="147"/>
    <n v="100"/>
    <x v="3"/>
    <s v="Energie"/>
    <s v="TNO"/>
    <s v="Inst."/>
  </r>
  <r>
    <x v="7"/>
    <s v="15.08"/>
    <s v="SodM onderzoek TNO-AGE"/>
    <x v="167"/>
    <x v="160"/>
    <x v="154"/>
    <x v="154"/>
    <x v="153"/>
    <x v="150"/>
    <x v="148"/>
    <n v="100"/>
    <x v="3"/>
    <s v="Energie"/>
    <s v="TNO"/>
    <s v="Inst."/>
  </r>
  <r>
    <x v="7"/>
    <s v="15.06"/>
    <s v="Onderzoek NCG"/>
    <x v="168"/>
    <x v="161"/>
    <x v="155"/>
    <x v="155"/>
    <x v="154"/>
    <x v="151"/>
    <x v="149"/>
    <n v="100"/>
    <x v="3"/>
    <s v="Energie"/>
    <s v="Proj."/>
    <s v="Proj."/>
  </r>
  <r>
    <x v="8"/>
    <s v="16.06"/>
    <s v="Plantaardige productie: project energietransitie"/>
    <x v="46"/>
    <x v="46"/>
    <x v="46"/>
    <x v="46"/>
    <x v="46"/>
    <x v="46"/>
    <x v="46"/>
    <n v="100"/>
    <x v="23"/>
    <s v="Landbouw "/>
    <s v="SO"/>
    <s v="Proj."/>
  </r>
  <r>
    <x v="8"/>
    <s v="16.06"/>
    <s v="Plantaardige productie: FES innovatieprogramma energie"/>
    <x v="169"/>
    <x v="162"/>
    <x v="156"/>
    <x v="156"/>
    <x v="155"/>
    <x v="152"/>
    <x v="150"/>
    <n v="100"/>
    <x v="22"/>
    <s v="Industriële productie en technologie"/>
    <s v="SO"/>
    <s v="Proj."/>
  </r>
  <r>
    <x v="8"/>
    <s v="16.06"/>
    <s v="Dierenwelzijn: dierproeven (opdrachten)"/>
    <x v="170"/>
    <x v="163"/>
    <x v="157"/>
    <x v="157"/>
    <x v="156"/>
    <x v="153"/>
    <x v="151"/>
    <n v="100"/>
    <x v="22"/>
    <s v="Industriële productie en technologie"/>
    <s v="SO"/>
    <s v="Proj."/>
  </r>
  <r>
    <x v="8"/>
    <s v="16.06"/>
    <s v="Dierenwelzijn: project dierenwelzijn landbouwhuisd."/>
    <x v="171"/>
    <x v="164"/>
    <x v="158"/>
    <x v="158"/>
    <x v="157"/>
    <x v="154"/>
    <x v="152"/>
    <n v="100"/>
    <x v="22"/>
    <s v="Industriële productie en technologie"/>
    <s v="SO"/>
    <s v="Proj."/>
  </r>
  <r>
    <x v="8"/>
    <s v="16.02"/>
    <s v="Div. proj. duurz. Landbouw"/>
    <x v="46"/>
    <x v="165"/>
    <x v="159"/>
    <x v="46"/>
    <x v="46"/>
    <x v="46"/>
    <x v="46"/>
    <n v="50"/>
    <x v="23"/>
    <s v="Landbouw "/>
    <s v="SO"/>
    <s v="Proj."/>
  </r>
  <r>
    <x v="8"/>
    <s v="16.02"/>
    <s v="Innovatieprogramma visserij"/>
    <x v="46"/>
    <x v="113"/>
    <x v="160"/>
    <x v="159"/>
    <x v="46"/>
    <x v="46"/>
    <x v="46"/>
    <n v="100"/>
    <x v="23"/>
    <s v="Landbouw"/>
    <s v="SO"/>
    <s v="Proj."/>
  </r>
  <r>
    <x v="8"/>
    <s v="16.02"/>
    <s v="Europees fonds voor maritieme zaken en visserij"/>
    <x v="46"/>
    <x v="166"/>
    <x v="161"/>
    <x v="160"/>
    <x v="158"/>
    <x v="155"/>
    <x v="46"/>
    <n v="100"/>
    <x v="23"/>
    <s v="Landbouw"/>
    <s v="SO"/>
    <s v="Proj."/>
  </r>
  <r>
    <x v="8"/>
    <s v="16.40"/>
    <s v="Kennisbasis: kennisbasis"/>
    <x v="172"/>
    <x v="167"/>
    <x v="162"/>
    <x v="161"/>
    <x v="159"/>
    <x v="156"/>
    <x v="153"/>
    <n v="100"/>
    <x v="24"/>
    <s v="Landbouw"/>
    <s v="DLO"/>
    <s v="Inst."/>
  </r>
  <r>
    <x v="8"/>
    <s v="16.40"/>
    <s v="Kennisbasis: autonome bijdragen"/>
    <x v="173"/>
    <x v="168"/>
    <x v="163"/>
    <x v="162"/>
    <x v="160"/>
    <x v="157"/>
    <x v="154"/>
    <n v="100"/>
    <x v="24"/>
    <s v="Landbouw"/>
    <s v="DLO"/>
    <s v="Inst."/>
  </r>
  <r>
    <x v="8"/>
    <s v="16.40"/>
    <s v="Wettelijke onderzoekstaken"/>
    <x v="174"/>
    <x v="169"/>
    <x v="164"/>
    <x v="163"/>
    <x v="161"/>
    <x v="158"/>
    <x v="155"/>
    <n v="100"/>
    <x v="24"/>
    <s v="Landbouw"/>
    <s v="DLO"/>
    <s v="Proj."/>
  </r>
  <r>
    <x v="8"/>
    <s v="16.40"/>
    <s v="Onderzoeksprogrammering"/>
    <x v="175"/>
    <x v="170"/>
    <x v="165"/>
    <x v="164"/>
    <x v="162"/>
    <x v="159"/>
    <x v="156"/>
    <n v="100"/>
    <x v="23"/>
    <s v="Landbouw "/>
    <s v="DLO"/>
    <s v="Proj."/>
  </r>
  <r>
    <x v="8"/>
    <s v="16.40"/>
    <s v="Topsectoren"/>
    <x v="176"/>
    <x v="171"/>
    <x v="166"/>
    <x v="165"/>
    <x v="163"/>
    <x v="160"/>
    <x v="157"/>
    <n v="100"/>
    <x v="23"/>
    <s v="Landbouw "/>
    <s v="DLO"/>
    <s v="Proj."/>
  </r>
  <r>
    <x v="8"/>
    <s v="16.40"/>
    <s v="Bijdrage aan ZonMw voor dierproeven"/>
    <x v="46"/>
    <x v="172"/>
    <x v="167"/>
    <x v="71"/>
    <x v="164"/>
    <x v="161"/>
    <x v="158"/>
    <n v="100"/>
    <x v="23"/>
    <s v="Landbouw "/>
    <s v="ZonMW"/>
    <s v="Proj."/>
  </r>
  <r>
    <x v="8"/>
    <s v="16.40"/>
    <s v="Agrokennis: onderzoeksprojecten"/>
    <x v="177"/>
    <x v="173"/>
    <x v="168"/>
    <x v="166"/>
    <x v="165"/>
    <x v="162"/>
    <x v="159"/>
    <n v="100"/>
    <x v="23"/>
    <s v="Landbouw "/>
    <s v="O"/>
    <s v="Proj."/>
  </r>
  <r>
    <x v="8"/>
    <s v="16.40"/>
    <s v="Agrokennis: Onderzoeksprojecten RVO"/>
    <x v="178"/>
    <x v="174"/>
    <x v="169"/>
    <x v="46"/>
    <x v="46"/>
    <x v="46"/>
    <x v="46"/>
    <n v="100"/>
    <x v="23"/>
    <s v="Landbouw"/>
    <s v="O"/>
    <s v="Proj."/>
  </r>
  <r>
    <x v="8"/>
    <s v="16.40"/>
    <s v="Agrokennis: innovatieprojecten"/>
    <x v="179"/>
    <x v="175"/>
    <x v="170"/>
    <x v="167"/>
    <x v="166"/>
    <x v="163"/>
    <x v="160"/>
    <n v="100"/>
    <x v="23"/>
    <s v="Landbouw "/>
    <s v="O"/>
    <s v="Proj."/>
  </r>
  <r>
    <x v="8"/>
    <s v="16.40"/>
    <s v="Agrokennis: basisfinanciering overige kennisinstellingen"/>
    <x v="46"/>
    <x v="176"/>
    <x v="171"/>
    <x v="168"/>
    <x v="167"/>
    <x v="164"/>
    <x v="161"/>
    <n v="100"/>
    <x v="23"/>
    <s v="Landbouw "/>
    <s v="O"/>
    <s v="Proj."/>
  </r>
  <r>
    <x v="8"/>
    <s v="16.40"/>
    <s v="Agrokennis: vernieuwen onderzoeksinfrastructuur"/>
    <x v="180"/>
    <x v="177"/>
    <x v="172"/>
    <x v="169"/>
    <x v="168"/>
    <x v="165"/>
    <x v="162"/>
    <n v="100"/>
    <x v="23"/>
    <s v="Landbouw "/>
    <s v="O"/>
    <s v="Proj."/>
  </r>
  <r>
    <x v="8"/>
    <s v="16.40"/>
    <s v="Agrokennis: RVO vernieuwen onderzoeksinfrastructuur"/>
    <x v="181"/>
    <x v="46"/>
    <x v="46"/>
    <x v="46"/>
    <x v="46"/>
    <x v="46"/>
    <x v="46"/>
    <n v="100"/>
    <x v="23"/>
    <s v="Landbouw "/>
    <s v="O"/>
    <s v="Proj."/>
  </r>
  <r>
    <x v="8"/>
    <s v="16.40"/>
    <s v="Agrokennis: ontwikkelen kennisbeleid"/>
    <x v="182"/>
    <x v="178"/>
    <x v="173"/>
    <x v="170"/>
    <x v="169"/>
    <x v="166"/>
    <x v="163"/>
    <n v="100"/>
    <x v="23"/>
    <s v="Landbouw "/>
    <s v="O"/>
    <s v="Proj."/>
  </r>
  <r>
    <x v="8"/>
    <s v="16.40"/>
    <s v="Agrokennis: innovatienetwerk kpl. 290100"/>
    <x v="46"/>
    <x v="46"/>
    <x v="46"/>
    <x v="46"/>
    <x v="46"/>
    <x v="46"/>
    <x v="46"/>
    <n v="100"/>
    <x v="23"/>
    <s v="Landbouw "/>
    <s v="O"/>
    <s v="Proj."/>
  </r>
  <r>
    <x v="8"/>
    <s v="16.40"/>
    <s v="Opdrachtverlening via RIVM"/>
    <x v="183"/>
    <x v="179"/>
    <x v="174"/>
    <x v="171"/>
    <x v="170"/>
    <x v="167"/>
    <x v="164"/>
    <n v="100"/>
    <x v="23"/>
    <s v="Landbouw "/>
    <s v="O"/>
    <s v="Proj."/>
  </r>
  <r>
    <x v="8"/>
    <n v="40"/>
    <s v="Centraal Plan Bureau"/>
    <x v="46"/>
    <x v="46"/>
    <x v="46"/>
    <x v="46"/>
    <x v="46"/>
    <x v="46"/>
    <x v="46"/>
    <n v="0"/>
    <x v="0"/>
    <s v="Politieke en soc. systemen, structuren/processen"/>
    <s v="R"/>
    <s v="Inst."/>
  </r>
  <r>
    <x v="9"/>
    <n v="1"/>
    <s v="Arbeidsmarkt"/>
    <x v="184"/>
    <x v="180"/>
    <x v="175"/>
    <x v="172"/>
    <x v="171"/>
    <x v="168"/>
    <x v="165"/>
    <n v="100"/>
    <x v="18"/>
    <s v="Gezondheid"/>
    <s v="TNO/RIVM"/>
    <s v="Inst."/>
  </r>
  <r>
    <x v="9"/>
    <n v="1"/>
    <s v="Arbeidsmarkt"/>
    <x v="185"/>
    <x v="181"/>
    <x v="176"/>
    <x v="173"/>
    <x v="172"/>
    <x v="169"/>
    <x v="166"/>
    <n v="100"/>
    <x v="0"/>
    <s v="Politieke en soc. systemen, structuren/processen"/>
    <s v="Proj."/>
    <s v="Proj."/>
  </r>
  <r>
    <x v="9"/>
    <n v="1"/>
    <s v="Arbeidsmarkt"/>
    <x v="186"/>
    <x v="182"/>
    <x v="177"/>
    <x v="174"/>
    <x v="173"/>
    <x v="46"/>
    <x v="46"/>
    <n v="100"/>
    <x v="0"/>
    <s v="Politieke en soc. systemen, structuren/processen"/>
    <s v="Netspar"/>
    <s v="Proj."/>
  </r>
  <r>
    <x v="9"/>
    <n v="3"/>
    <s v="Arbeidsongeschiktheid"/>
    <x v="46"/>
    <x v="46"/>
    <x v="2"/>
    <x v="116"/>
    <x v="117"/>
    <x v="170"/>
    <x v="46"/>
    <n v="100"/>
    <x v="0"/>
    <s v="Politieke en soc. systemen, structuren/processen"/>
    <s v="Proj."/>
    <s v="Proj."/>
  </r>
  <r>
    <x v="9"/>
    <n v="13"/>
    <s v="Integratie en maatschappelijke samenhang"/>
    <x v="187"/>
    <x v="183"/>
    <x v="178"/>
    <x v="175"/>
    <x v="174"/>
    <x v="171"/>
    <x v="167"/>
    <n v="100"/>
    <x v="0"/>
    <s v="Politieke en soc. systemen, structuren/processen"/>
    <s v="Proj."/>
    <s v="Proj."/>
  </r>
  <r>
    <x v="9"/>
    <n v="98"/>
    <s v="Algemeen"/>
    <x v="188"/>
    <x v="184"/>
    <x v="179"/>
    <x v="176"/>
    <x v="175"/>
    <x v="172"/>
    <x v="168"/>
    <n v="100"/>
    <x v="0"/>
    <s v="Politieke en soc. systemen, structuren/processen"/>
    <s v="Proj."/>
    <s v="Proj."/>
  </r>
  <r>
    <x v="10"/>
    <s v="BKZ"/>
    <s v="Beschikbaarheidsbijdrage academische zorg"/>
    <x v="189"/>
    <x v="185"/>
    <x v="180"/>
    <x v="177"/>
    <x v="176"/>
    <x v="173"/>
    <x v="169"/>
    <n v="3.1"/>
    <x v="12"/>
    <s v="Medische wetenschappen"/>
    <s v="UMC"/>
    <s v="Inst."/>
  </r>
  <r>
    <x v="10"/>
    <s v="1.1"/>
    <s v="Nationaal programma preventie"/>
    <x v="190"/>
    <x v="186"/>
    <x v="181"/>
    <x v="178"/>
    <x v="177"/>
    <x v="174"/>
    <x v="170"/>
    <n v="27.9"/>
    <x v="18"/>
    <s v="Gezondheid"/>
    <s v="SO"/>
    <s v="Proj."/>
  </r>
  <r>
    <x v="10"/>
    <s v="1.2"/>
    <s v="Ziektepreventie (FES RSV)"/>
    <x v="46"/>
    <x v="46"/>
    <x v="46"/>
    <x v="46"/>
    <x v="46"/>
    <x v="46"/>
    <x v="46"/>
    <n v="0"/>
    <x v="18"/>
    <s v="Gezondheid"/>
    <s v="SO"/>
    <s v="Proj."/>
  </r>
  <r>
    <x v="10"/>
    <s v="1.2"/>
    <s v="Ziektepreventie (vaccinonderzoek RIVM en InTraVacc)"/>
    <x v="191"/>
    <x v="187"/>
    <x v="182"/>
    <x v="179"/>
    <x v="178"/>
    <x v="175"/>
    <x v="171"/>
    <n v="7.5"/>
    <x v="12"/>
    <s v="Medische wetenschappen"/>
    <s v="RIVM"/>
    <s v="Inst."/>
  </r>
  <r>
    <x v="10"/>
    <s v="1.4.1"/>
    <s v="Ethiek"/>
    <x v="192"/>
    <x v="188"/>
    <x v="183"/>
    <x v="180"/>
    <x v="179"/>
    <x v="176"/>
    <x v="172"/>
    <n v="11.4"/>
    <x v="18"/>
    <s v="Gezondheid"/>
    <s v="Proj."/>
    <s v="Proj."/>
  </r>
  <r>
    <x v="10"/>
    <s v="2.1"/>
    <s v="Kwaliteit en veiligheid (NKI)"/>
    <x v="193"/>
    <x v="189"/>
    <x v="184"/>
    <x v="181"/>
    <x v="180"/>
    <x v="177"/>
    <x v="173"/>
    <n v="12.3"/>
    <x v="18"/>
    <s v="Gezondheid"/>
    <s v="SO"/>
    <s v="Inst."/>
  </r>
  <r>
    <x v="10"/>
    <s v="2.1"/>
    <s v="Kwaliteit en veiligheid (FES Lifelines)"/>
    <x v="46"/>
    <x v="46"/>
    <x v="46"/>
    <x v="46"/>
    <x v="46"/>
    <x v="46"/>
    <x v="46"/>
    <n v="0"/>
    <x v="18"/>
    <s v="Gezondheid"/>
    <s v="SO"/>
    <s v="Proj."/>
  </r>
  <r>
    <x v="10"/>
    <s v="2.1"/>
    <s v="Kwaliteit en veiligheid (FES LSH)"/>
    <x v="194"/>
    <x v="190"/>
    <x v="46"/>
    <x v="46"/>
    <x v="46"/>
    <x v="46"/>
    <x v="46"/>
    <n v="0"/>
    <x v="18"/>
    <s v="Gezondheid"/>
    <s v="SO"/>
    <s v="Proj."/>
  </r>
  <r>
    <x v="10"/>
    <s v="2.1"/>
    <s v="Kwaliteit en Veiligheid / Instellingssubsidie Nictiz"/>
    <x v="126"/>
    <x v="191"/>
    <x v="185"/>
    <x v="182"/>
    <x v="181"/>
    <x v="178"/>
    <x v="174"/>
    <n v="27.6"/>
    <x v="18"/>
    <s v="Gezondheid"/>
    <s v="SO"/>
    <s v="Inst."/>
  </r>
  <r>
    <x v="10"/>
    <s v="4.3"/>
    <s v="Kwaliteit, transparantie en kennisontwikkeling (ZonMw: programmering)"/>
    <x v="195"/>
    <x v="192"/>
    <x v="186"/>
    <x v="183"/>
    <x v="182"/>
    <x v="179"/>
    <x v="175"/>
    <n v="58.6"/>
    <x v="18"/>
    <s v="Gezondheid"/>
    <s v="ZonMw"/>
    <s v="Proj."/>
  </r>
  <r>
    <x v="10"/>
    <s v="4.3"/>
    <s v="Kwaliteit, transparantie en kennisontwikkeling (NIVEL)"/>
    <x v="196"/>
    <x v="193"/>
    <x v="187"/>
    <x v="184"/>
    <x v="183"/>
    <x v="180"/>
    <x v="176"/>
    <n v="13.8"/>
    <x v="18"/>
    <s v="Gezondheid"/>
    <s v="NIVEL"/>
    <s v="Inst."/>
  </r>
  <r>
    <x v="10"/>
    <s v="4.3"/>
    <s v="ZonMW: Kwaliteit, transparantie en kennisontwikkeling"/>
    <x v="197"/>
    <x v="194"/>
    <x v="188"/>
    <x v="185"/>
    <x v="184"/>
    <x v="181"/>
    <x v="177"/>
    <n v="5.9"/>
    <x v="18"/>
    <s v="Gezondheid"/>
    <s v="ZonMw"/>
    <s v="Proj."/>
  </r>
  <r>
    <x v="10"/>
    <s v="4.3"/>
    <s v="Fast track: kwaliteit, transparantie en kennisontwikkeling"/>
    <x v="198"/>
    <x v="46"/>
    <x v="46"/>
    <x v="46"/>
    <x v="46"/>
    <x v="46"/>
    <x v="46"/>
    <n v="0"/>
    <x v="18"/>
    <s v="Gezondheid"/>
    <s v="SO"/>
    <s v="Proj."/>
  </r>
  <r>
    <x v="10"/>
    <s v="6.4"/>
    <s v="Sport verenigt Nederland"/>
    <x v="46"/>
    <x v="46"/>
    <x v="46"/>
    <x v="186"/>
    <x v="185"/>
    <x v="182"/>
    <x v="178"/>
    <n v="0"/>
    <x v="18"/>
    <s v="Gezondheid"/>
    <s v="Proj."/>
    <s v="Proj."/>
  </r>
  <r>
    <x v="10"/>
    <s v="9.3"/>
    <s v="Strategisch onderzoek RIVM"/>
    <x v="199"/>
    <x v="195"/>
    <x v="189"/>
    <x v="187"/>
    <x v="186"/>
    <x v="183"/>
    <x v="179"/>
    <n v="69.400000000000006"/>
    <x v="12"/>
    <s v="Medische wetenschappen"/>
    <s v="RIVM"/>
    <s v="Inst."/>
  </r>
  <r>
    <x v="10"/>
    <s v="10.2"/>
    <s v="Personele en materiële uitgaven SCP en raden (was: SCP (eigen onderzoek))"/>
    <x v="200"/>
    <x v="196"/>
    <x v="190"/>
    <x v="188"/>
    <x v="187"/>
    <x v="184"/>
    <x v="180"/>
    <n v="28.4"/>
    <x v="0"/>
    <s v="Politieke en soc. systemen, structuren/processen"/>
    <s v="SCP"/>
    <s v="Inst."/>
  </r>
  <r>
    <x v="10"/>
    <s v="10.2"/>
    <s v="Personele en materiële uitgaven SCP en raden (was:SCP (uitbesteding))"/>
    <x v="201"/>
    <x v="197"/>
    <x v="191"/>
    <x v="189"/>
    <x v="188"/>
    <x v="185"/>
    <x v="181"/>
    <n v="14.3"/>
    <x v="0"/>
    <s v="Politieke en soc. systemen, structuren/processen"/>
    <s v="SO"/>
    <s v="Proj."/>
  </r>
  <r>
    <x v="10"/>
    <s v="10.2"/>
    <s v="Personele en materiële uitgaven SCP en raden (was:SCP (uitbesteding))"/>
    <x v="159"/>
    <x v="198"/>
    <x v="192"/>
    <x v="190"/>
    <x v="189"/>
    <x v="186"/>
    <x v="182"/>
    <n v="0.4"/>
    <x v="0"/>
    <s v="Politieke en soc. systemen, structuren/processen"/>
    <s v="O"/>
    <s v="Proj."/>
  </r>
  <r>
    <x v="10"/>
    <s v="10.2"/>
    <s v="Personele en materiële uitgaven SCP en raden (was:SCP (uitbesteding))"/>
    <x v="202"/>
    <x v="199"/>
    <x v="193"/>
    <x v="191"/>
    <x v="190"/>
    <x v="187"/>
    <x v="183"/>
    <n v="0.3"/>
    <x v="0"/>
    <s v="Politieke en soc. systemen, structuren/processen"/>
    <s v="U"/>
    <s v="Proj."/>
  </r>
</pivotCacheRecords>
</file>

<file path=xl/pivotCache/pivotCacheRecords2.xml><?xml version="1.0" encoding="utf-8"?>
<pivotCacheRecords xmlns="http://schemas.openxmlformats.org/spreadsheetml/2006/main" xmlns:r="http://schemas.openxmlformats.org/officeDocument/2006/relationships" count="281">
  <r>
    <s v="AZ"/>
    <s v="1-2"/>
    <s v="Eenheid van het algemeen regeringsbeleid"/>
    <n v="0.625"/>
    <n v="0.59399999999999997"/>
    <n v="0.59399999999999997"/>
    <n v="0.59399999999999997"/>
    <n v="0.59399999999999997"/>
    <n v="0.59399999999999997"/>
    <n v="0.59399999999999997"/>
    <n v="80"/>
    <x v="0"/>
    <s v="Politieke en soc. systemen, structuren/processen"/>
    <s v="R"/>
    <s v="Proj."/>
  </r>
  <r>
    <s v="BuZa"/>
    <n v="5"/>
    <s v="Stichting Instituut Clingendael"/>
    <n v="0.31"/>
    <n v="0.34"/>
    <n v="0.24199999999999999"/>
    <n v="0.24199999999999999"/>
    <n v="0.24199999999999999"/>
    <n v="0.24199999999999999"/>
    <n v="0.24199999999999999"/>
    <n v="10"/>
    <x v="0"/>
    <s v="Politieke en soc. systemen, structuren/processen"/>
    <s v="SO"/>
    <s v="Inst."/>
  </r>
  <r>
    <s v="BuZa"/>
    <n v="17"/>
    <s v="Onderzoeksprogramma"/>
    <n v="1.454"/>
    <n v="1.425"/>
    <n v="3"/>
    <n v="3"/>
    <n v="3"/>
    <n v="3"/>
    <n v="3"/>
    <n v="100"/>
    <x v="0"/>
    <s v="Politieke en soc. systemen, structuren/processen"/>
    <s v="IO"/>
    <s v="Proj."/>
  </r>
  <r>
    <s v="BuZa"/>
    <n v="17"/>
    <s v="Landenspecifieke sectorale samenwerking"/>
    <n v="23.565000000000001"/>
    <n v="25.038"/>
    <n v="25.088249999999999"/>
    <n v="24.434999999999999"/>
    <n v="24.21"/>
    <n v="24.192499999999999"/>
    <n v="24.192499999999999"/>
    <n v="5"/>
    <x v="0"/>
    <s v="Politieke en soc. systemen, structuren/processen"/>
    <s v="IO"/>
    <s v="Proj."/>
  </r>
  <r>
    <s v="BuZa"/>
    <n v="17"/>
    <s v="Thematische samenwerking"/>
    <n v="4.9779999999999998"/>
    <n v="5.9790000000000001"/>
    <n v="4.9172500000000001"/>
    <n v="4.8903500000000006"/>
    <n v="4.8778500000000005"/>
    <n v="4.8778500000000005"/>
    <n v="4.8778500000000005"/>
    <n v="5"/>
    <x v="0"/>
    <s v="Politieke en soc. systemen, structuren/processen"/>
    <s v="IO"/>
    <s v="Proj."/>
  </r>
  <r>
    <s v="BuZa"/>
    <s v="5 en 17"/>
    <s v="COVID-aanvulling"/>
    <n v="12.688844048"/>
    <n v="6.5243712225000001"/>
    <n v="3.7508499999999998"/>
    <n v="0.16"/>
    <n v="0.05"/>
    <n v="0"/>
    <n v="0"/>
    <n v="5"/>
    <x v="0"/>
    <s v="Politieke en soc. systemen, structuren/processen"/>
    <m/>
    <s v="Proj."/>
  </r>
  <r>
    <s v="BuZa"/>
    <n v="17"/>
    <s v="Speciale activiteiten"/>
    <n v="7.0259999999999998"/>
    <n v="8.8390000000000004"/>
    <n v="7.9914499999999995"/>
    <n v="8.0878499999999995"/>
    <n v="7.8378500000000004"/>
    <n v="7.8378500000000004"/>
    <n v="7.8378500000000004"/>
    <n v="5"/>
    <x v="0"/>
    <s v="Politieke en soc. systemen, structuren/processen"/>
    <s v="IO"/>
    <s v="Proj."/>
  </r>
  <r>
    <s v="J&amp;V"/>
    <m/>
    <s v="uitgevoerd door universiteiten"/>
    <n v="2.4729999999999999"/>
    <n v="2.492"/>
    <n v="2.694"/>
    <n v="2.7069999999999999"/>
    <n v="2.7069999999999999"/>
    <n v="2.6789999999999998"/>
    <n v="2.6789999999999998"/>
    <n v="10"/>
    <x v="0"/>
    <s v="Politieke en soc. systemen, structuren/processen"/>
    <s v="U"/>
    <s v="Proj."/>
  </r>
  <r>
    <s v="J&amp;V"/>
    <m/>
    <s v="uitgevoerd door onderzoeksinstituten"/>
    <n v="2.4729999999999999"/>
    <n v="2.4929999999999999"/>
    <n v="2.6949999999999998"/>
    <n v="2.7069999999999999"/>
    <n v="2.7080000000000002"/>
    <n v="2.68"/>
    <n v="2.68"/>
    <n v="10"/>
    <x v="0"/>
    <s v="Politieke en soc. systemen, structuren/processen"/>
    <s v="SO"/>
    <s v="Proj."/>
  </r>
  <r>
    <s v="J&amp;V"/>
    <m/>
    <s v="Uitgevoerd door eigen diensten/kenniscentra (WODC)"/>
    <n v="7.0970000000000004"/>
    <n v="7"/>
    <n v="7"/>
    <n v="7"/>
    <n v="7"/>
    <n v="7"/>
    <n v="7"/>
    <n v="15"/>
    <x v="0"/>
    <s v="Politieke en soc. systemen, structuren/processen"/>
    <s v="R"/>
    <s v="Proj."/>
  </r>
  <r>
    <s v="J&amp;V"/>
    <s v="33.3"/>
    <s v="Nederlands Forensisch Instituut (opsporing en vervolging)"/>
    <n v="11.365"/>
    <n v="11.51"/>
    <n v="11.303000000000001"/>
    <n v="11.308"/>
    <n v="11.315"/>
    <n v="11.315"/>
    <n v="11.315"/>
    <n v="15"/>
    <x v="0"/>
    <s v="Politieke en soc. systemen, structuren/processen"/>
    <s v="R"/>
    <s v="Proj."/>
  </r>
  <r>
    <s v="BZK"/>
    <s v="H7: artikel 3.1, 4.1 en 4.2"/>
    <s v="Woningmarkt/Energietransitie en duurzaamheid/Bouwregelgeving en bouwkwaliteit"/>
    <n v="0.88400000000000001"/>
    <n v="1.012"/>
    <n v="1.0193333333333332"/>
    <n v="0.91133333333333333"/>
    <n v="0.91066666666666674"/>
    <n v="0.91066666666666674"/>
    <n v="0.92099999999999993"/>
    <n v="80"/>
    <x v="1"/>
    <m/>
    <s v="R/SO"/>
    <s v="Proj."/>
  </r>
  <r>
    <s v="BZK"/>
    <s v="H7: artikel 3.1, 4.1 en 4.2"/>
    <s v="Woningmarkt/Energietransitie en duurzaamheid/Bouwregelgeving en bouwkwaliteit"/>
    <n v="0.88400000000000001"/>
    <n v="1.012"/>
    <n v="1.0193333333333332"/>
    <n v="0.91133333333333333"/>
    <n v="0.91066666666666674"/>
    <n v="0.91066666666666674"/>
    <n v="0.92099999999999993"/>
    <n v="80"/>
    <x v="2"/>
    <m/>
    <s v="R/SO"/>
    <s v="Proj."/>
  </r>
  <r>
    <s v="BZK"/>
    <s v="H7: artikel 3.1, 4.1 en 4.2"/>
    <s v="Woningmarkt/Energietransitie en duurzaamheid/Bouwregelgeving en bouwkwaliteit"/>
    <n v="0.88400000000000001"/>
    <n v="1.012"/>
    <n v="1.0193333333333332"/>
    <n v="0.91133333333333333"/>
    <n v="0.91066666666666674"/>
    <n v="0.91066666666666674"/>
    <n v="0.92099999999999993"/>
    <n v="80"/>
    <x v="3"/>
    <m/>
    <s v="R/SO"/>
    <s v="Proj."/>
  </r>
  <r>
    <s v="BZK"/>
    <s v="H7: artikel 3.1, 4.1 en 4.2"/>
    <s v="Woningmarkt/Energietransitie en duurzaamheid/Bouwregelgeving en bouwkwaliteit"/>
    <n v="6.3E-2"/>
    <n v="7.2333333333333333E-2"/>
    <n v="7.2666666666666671E-2"/>
    <n v="6.5000000000000002E-2"/>
    <n v="6.5000000000000002E-2"/>
    <n v="6.5000000000000002E-2"/>
    <n v="6.5666666666666665E-2"/>
    <n v="80"/>
    <x v="1"/>
    <m/>
    <s v="U"/>
    <s v="Proj."/>
  </r>
  <r>
    <s v="BZK"/>
    <s v="H7: artikel 3.1, 4.1 en 4.2"/>
    <s v="Woningmarkt/Energietransitie en duurzaamheid/Bouwregelgeving en bouwkwaliteit"/>
    <n v="6.3E-2"/>
    <n v="7.2333333333333333E-2"/>
    <n v="7.2666666666666671E-2"/>
    <n v="6.5000000000000002E-2"/>
    <n v="6.5000000000000002E-2"/>
    <n v="6.5000000000000002E-2"/>
    <n v="6.5666666666666665E-2"/>
    <n v="80"/>
    <x v="2"/>
    <m/>
    <s v="U"/>
    <s v="Proj."/>
  </r>
  <r>
    <s v="BZK"/>
    <s v="H7: artikel 3.1, 4.1 en 4.2"/>
    <s v="Woningmarkt/Energietransitie en duurzaamheid/Bouwregelgeving en bouwkwaliteit"/>
    <n v="6.3E-2"/>
    <n v="7.2333333333333333E-2"/>
    <n v="7.2666666666666671E-2"/>
    <n v="6.5000000000000002E-2"/>
    <n v="6.5000000000000002E-2"/>
    <n v="6.5000000000000002E-2"/>
    <n v="6.5666666666666665E-2"/>
    <n v="80"/>
    <x v="3"/>
    <m/>
    <s v="U"/>
    <s v="Proj."/>
  </r>
  <r>
    <s v="BZK"/>
    <s v="H7: artikel 3.1, 4.1 en 4.2"/>
    <s v="Woningmarkt/Energietransitie en duurzaamheid/Bouwregelgeving en bouwkwaliteit"/>
    <n v="2.21"/>
    <n v="2.5303333333333335"/>
    <n v="2.5486666666666666"/>
    <n v="2.2786666666666666"/>
    <n v="2.2763333333333331"/>
    <n v="2.2766666666666668"/>
    <n v="2.3023333333333333"/>
    <n v="80"/>
    <x v="1"/>
    <m/>
    <s v="O"/>
    <s v="Proj."/>
  </r>
  <r>
    <s v="BZK"/>
    <s v="H7: artikel 3.1, 4.1 en 4.2"/>
    <s v="Woningmarkt/Energietransitie en duurzaamheid/Bouwregelgeving en bouwkwaliteit"/>
    <n v="2.21"/>
    <n v="2.5303333333333335"/>
    <n v="2.5486666666666666"/>
    <n v="2.2786666666666666"/>
    <n v="2.2763333333333331"/>
    <n v="2.2766666666666668"/>
    <n v="2.3023333333333333"/>
    <n v="80"/>
    <x v="2"/>
    <m/>
    <s v="O"/>
    <s v="Proj."/>
  </r>
  <r>
    <s v="BZK"/>
    <s v="H7: artikel 3.1, 4.1 en 4.2"/>
    <s v="Woningmarkt/Energietransitie en duurzaamheid/Bouwregelgeving en bouwkwaliteit"/>
    <n v="2.21"/>
    <n v="2.5303333333333335"/>
    <n v="2.5486666666666666"/>
    <n v="2.2786666666666666"/>
    <n v="2.2763333333333331"/>
    <n v="2.2766666666666668"/>
    <n v="2.3023333333333333"/>
    <n v="80"/>
    <x v="3"/>
    <m/>
    <s v="O"/>
    <s v="Proj."/>
  </r>
  <r>
    <s v="OCW"/>
    <n v="7"/>
    <s v="Wetenschappelijk HO - natuurwetenschappen"/>
    <n v="526.74569904467785"/>
    <n v="591.98315548522726"/>
    <n v="615.43580152595302"/>
    <n v="594.81999396870174"/>
    <n v="606.55540815048073"/>
    <n v="616.2546694191401"/>
    <n v="622.10457313381016"/>
    <n v="100"/>
    <x v="4"/>
    <s v="Natuurwetenschappen"/>
    <s v="U"/>
    <s v="Inst."/>
  </r>
  <r>
    <s v="OCW"/>
    <n v="7"/>
    <s v="Wetenschappelijk HO - technische wetenschappen"/>
    <n v="543.10703724989378"/>
    <n v="610.37084547728773"/>
    <n v="634.55195816591493"/>
    <n v="613.29579948585501"/>
    <n v="625.39572937370349"/>
    <n v="635.39626105471768"/>
    <n v="641.42786962871037"/>
    <n v="100"/>
    <x v="5"/>
    <s v="Technische wetenschappen"/>
    <s v="U"/>
    <s v="Inst."/>
  </r>
  <r>
    <s v="OCW"/>
    <n v="7"/>
    <s v="Wetenschappelijk HO - medische wetenschappen (incl. umc)"/>
    <n v="1131.8434107264875"/>
    <n v="1259.9233129225713"/>
    <n v="1300.9471661428206"/>
    <n v="1254.9113988061181"/>
    <n v="1275.5756627757282"/>
    <n v="1292.728696146808"/>
    <n v="1303.2509365785409"/>
    <n v="100"/>
    <x v="6"/>
    <s v="Medische wetenschappen"/>
    <s v="U"/>
    <s v="Inst."/>
  </r>
  <r>
    <s v="OCW"/>
    <n v="7"/>
    <s v="Wetenschappelijk HO - landbouwwetenschappen"/>
    <n v="138.10771583403323"/>
    <n v="155.21235686321859"/>
    <n v="161.36141774937877"/>
    <n v="155.95614895084893"/>
    <n v="159.03306301004534"/>
    <n v="161.57611712804098"/>
    <n v="163.10990628160667"/>
    <n v="100"/>
    <x v="7"/>
    <s v="landbouwwetenschappen"/>
    <s v="U"/>
    <s v="Inst."/>
  </r>
  <r>
    <s v="OCW"/>
    <n v="7"/>
    <s v="Wetenschappelijk HO - sociale wetenschappen"/>
    <n v="603.13280738511025"/>
    <n v="677.83080742766015"/>
    <n v="704.68448705486207"/>
    <n v="681.07903586453062"/>
    <n v="694.5162852129738"/>
    <n v="705.62210475575853"/>
    <n v="712.32034426062887"/>
    <n v="100"/>
    <x v="8"/>
    <s v="Sociale wetenschappen"/>
    <s v="U"/>
    <s v="Inst."/>
  </r>
  <r>
    <s v="OCW"/>
    <n v="7"/>
    <s v="Wetenschappelijk HO - geesteswetenschappen"/>
    <n v="267.69299193023056"/>
    <n v="300.8467698009589"/>
    <n v="312.76544137000775"/>
    <n v="302.28845557578603"/>
    <n v="308.25241150282704"/>
    <n v="313.18159132001284"/>
    <n v="316.15452157976421"/>
    <n v="100"/>
    <x v="9"/>
    <s v="Geesteswetenschappen"/>
    <s v="U"/>
    <s v="Inst."/>
  </r>
  <r>
    <s v="OCW"/>
    <n v="6"/>
    <s v="Onderzoekscomponent hogescholen (HBO Bekostiging Deel ontwerp en ontwikkeling)(incl. groen)"/>
    <n v="13.645332628080499"/>
    <n v="13.960693359842002"/>
    <n v="13.966596664180395"/>
    <n v="13.966596664180395"/>
    <n v="13.966596664180395"/>
    <n v="13.966596664180395"/>
    <n v="13.966596664180395"/>
    <n v="100"/>
    <x v="4"/>
    <s v="Onderzoek uit algemene universitaire fondsen"/>
    <m/>
    <s v="Inst."/>
  </r>
  <r>
    <s v="OCW"/>
    <n v="6"/>
    <s v="Onderzoekscomponent hogescholen (HBO Bekostiging Deel ontwerp en ontwikkeling)(incl. groen)"/>
    <n v="13.645332628080499"/>
    <n v="13.960693359842002"/>
    <n v="13.966596664180395"/>
    <n v="13.966596664180395"/>
    <n v="13.966596664180395"/>
    <n v="13.966596664180395"/>
    <n v="13.966596664180395"/>
    <n v="100"/>
    <x v="5"/>
    <s v="Onderzoek uit algemene universitaire fondsen"/>
    <m/>
    <s v="Inst."/>
  </r>
  <r>
    <s v="OCW"/>
    <n v="6"/>
    <s v="Onderzoekscomponent hogescholen (HBO Bekostiging Deel ontwerp en ontwikkeling)(incl. groen)"/>
    <n v="16.12473374342343"/>
    <n v="16.497396541127671"/>
    <n v="16.504372494976323"/>
    <n v="16.504372494976323"/>
    <n v="16.504372494976323"/>
    <n v="16.504372494976323"/>
    <n v="16.504372494976323"/>
    <n v="100"/>
    <x v="6"/>
    <s v="Onderzoek uit algemene universitaire fondsen"/>
    <m/>
    <s v="Inst."/>
  </r>
  <r>
    <s v="OCW"/>
    <n v="6"/>
    <s v="Onderzoekscomponent hogescholen (HBO Bekostiging Deel ontwerp en ontwikkeling)(incl. groen)"/>
    <n v="11.671413322170821"/>
    <n v="11.941154305867787"/>
    <n v="11.946203644478864"/>
    <n v="11.946203644478864"/>
    <n v="11.946203644478864"/>
    <n v="11.946203644478864"/>
    <n v="11.946203644478864"/>
    <n v="100"/>
    <x v="7"/>
    <s v="Onderzoek uit algemene universitaire fondsen"/>
    <m/>
    <s v="Inst."/>
  </r>
  <r>
    <s v="OCW"/>
    <n v="6"/>
    <s v="Onderzoekscomponent hogescholen (HBO Bekostiging Deel ontwerp en ontwikkeling)(incl. groen)"/>
    <n v="29.470149824305196"/>
    <n v="30.15124190663294"/>
    <n v="30.163991413592768"/>
    <n v="30.163991413592768"/>
    <n v="30.163991413592768"/>
    <n v="30.163991413592768"/>
    <n v="30.163991413592768"/>
    <n v="100"/>
    <x v="8"/>
    <s v="Onderzoek uit algemene universitaire fondsen"/>
    <m/>
    <s v="Inst."/>
  </r>
  <r>
    <s v="OCW"/>
    <n v="6"/>
    <s v="Onderzoekscomponent hogescholen (HBO Bekostiging Deel ontwerp en ontwikkeling)(incl. groen)"/>
    <n v="3.2790378539395602"/>
    <n v="3.3548205266876052"/>
    <n v="3.356239118591263"/>
    <n v="3.356239118591263"/>
    <n v="3.356239118591263"/>
    <n v="3.356239118591263"/>
    <n v="3.356239118591263"/>
    <n v="100"/>
    <x v="9"/>
    <s v="Onderzoek uit algemene universitaire fondsen"/>
    <m/>
    <s v="Inst."/>
  </r>
  <r>
    <s v="OCW"/>
    <n v="6"/>
    <s v="NWO: Praktijkgericht onderzoek hbo"/>
    <n v="9.4010121588903335"/>
    <n v="9.1462379716544397"/>
    <n v="8.8981438393277799"/>
    <n v="8.5798314553970787"/>
    <n v="8.5798314553970787"/>
    <n v="8.2691312270606225"/>
    <n v="8.2691312270606225"/>
    <n v="100"/>
    <x v="4"/>
    <s v="Onderzoek uit algemene universitaire fondsen"/>
    <m/>
    <s v="Proj."/>
  </r>
  <r>
    <s v="OCW"/>
    <n v="6"/>
    <s v="NWO: Praktijkgericht onderzoek hbo"/>
    <n v="9.4010121588903335"/>
    <n v="9.1462379716544397"/>
    <n v="8.8981438393277799"/>
    <n v="8.5798314553970787"/>
    <n v="8.5798314553970787"/>
    <n v="8.2691312270606225"/>
    <n v="8.2691312270606225"/>
    <n v="100"/>
    <x v="5"/>
    <s v="Onderzoek uit algemene universitaire fondsen"/>
    <m/>
    <s v="Proj."/>
  </r>
  <r>
    <s v="OCW"/>
    <n v="6"/>
    <s v="NWO: Praktijkgericht onderzoek hbo"/>
    <n v="11.109206503976377"/>
    <n v="10.808139022087238"/>
    <n v="10.514965382711045"/>
    <n v="10.13881460808248"/>
    <n v="10.13881460808248"/>
    <n v="9.7716591423640171"/>
    <n v="9.7716591423640171"/>
    <n v="100"/>
    <x v="6"/>
    <s v="Onderzoek uit algemene universitaire fondsen"/>
    <m/>
    <s v="Proj."/>
  </r>
  <r>
    <s v="OCW"/>
    <n v="6"/>
    <s v="NWO: Praktijkgericht onderzoek hbo"/>
    <n v="8.0410717381388856"/>
    <n v="7.823152913871386"/>
    <n v="7.6109478148743142"/>
    <n v="7.3386821618718097"/>
    <n v="7.3386821618718097"/>
    <n v="7.0729274981309551"/>
    <n v="7.0729274981309551"/>
    <n v="100"/>
    <x v="7"/>
    <s v="Onderzoek uit algemene universitaire fondsen"/>
    <m/>
    <s v="Proj."/>
  </r>
  <r>
    <s v="OCW"/>
    <n v="6"/>
    <s v="NWO: Praktijkgericht onderzoek hbo"/>
    <n v="20.303589833528722"/>
    <n v="19.753347954209758"/>
    <n v="19.217533148555866"/>
    <n v="18.530066312748207"/>
    <n v="18.530066312748207"/>
    <n v="17.85903963065191"/>
    <n v="17.85903963065191"/>
    <n v="100"/>
    <x v="8"/>
    <s v="Onderzoek uit algemene universitaire fondsen"/>
    <m/>
    <s v="Proj."/>
  </r>
  <r>
    <s v="OCW"/>
    <n v="6"/>
    <s v="NWO: Praktijkgericht onderzoek hbo"/>
    <n v="2.2591076065753506"/>
    <n v="2.1978841665227424"/>
    <n v="2.1382659752032209"/>
    <n v="2.0617740065033465"/>
    <n v="2.0617740065033465"/>
    <n v="1.9871112747318735"/>
    <n v="1.9871112747318735"/>
    <n v="100"/>
    <x v="9"/>
    <s v="Onderzoek uit algemene universitaire fondsen"/>
    <m/>
    <s v="Proj."/>
  </r>
  <r>
    <s v="OCW"/>
    <n v="7"/>
    <s v="NUFFIC"/>
    <n v="2.3397000000000001"/>
    <n v="2.1352499999999996"/>
    <n v="2.17605"/>
    <n v="2.1683999999999997"/>
    <n v="2.1683999999999997"/>
    <n v="2.1683999999999997"/>
    <n v="2.1683999999999997"/>
    <n v="15"/>
    <x v="0"/>
    <s v="Politieke en soc. systemen, structuren/processen"/>
    <s v="SO"/>
    <s v="Inst."/>
  </r>
  <r>
    <s v="OCW"/>
    <n v="7"/>
    <s v="UNU-MERIT"/>
    <n v="0.75750000000000006"/>
    <n v="0.77400000000000002"/>
    <n v="0.77400000000000002"/>
    <n v="0.77400000000000002"/>
    <n v="0.77400000000000002"/>
    <n v="0.77400000000000002"/>
    <n v="0.77400000000000002"/>
    <n v="75"/>
    <x v="10"/>
    <s v="Sociale wetenschappen"/>
    <s v="SO"/>
    <s v="Inst."/>
  </r>
  <r>
    <s v="OCW"/>
    <n v="16"/>
    <s v="KNAW"/>
    <n v="10.882700528853178"/>
    <n v="10.924502299488676"/>
    <n v="10.745459338170603"/>
    <n v="10.431521825825824"/>
    <n v="10.657068243681518"/>
    <n v="10.592541357617076"/>
    <n v="10.60658982095609"/>
    <n v="75"/>
    <x v="10"/>
    <s v="Niet in te delen wetenschappen"/>
    <s v="KNAW"/>
    <s v="Inst."/>
  </r>
  <r>
    <s v="OCW"/>
    <n v="16"/>
    <s v="KNAW"/>
    <n v="31.177736717311905"/>
    <n v="31.297494179693203"/>
    <n v="30.78455584290236"/>
    <n v="29.88515949549549"/>
    <n v="30.531325106208907"/>
    <n v="30.346462694570246"/>
    <n v="30.38670999257365"/>
    <n v="75"/>
    <x v="11"/>
    <s v="Niet in te delen wetenschappen"/>
    <s v="KNAW"/>
    <s v="Inst."/>
  </r>
  <r>
    <s v="OCW"/>
    <n v="16"/>
    <s v="KNAW"/>
    <n v="10.977429918188459"/>
    <n v="11.019595555880205"/>
    <n v="10.838994099926955"/>
    <n v="10.522323891891892"/>
    <n v="10.749833597662528"/>
    <n v="10.684745031848065"/>
    <n v="10.698915781227173"/>
    <n v="75"/>
    <x v="12"/>
    <s v="Niet in te delen wetenschappen"/>
    <s v="KNAW"/>
    <s v="Inst."/>
  </r>
  <r>
    <s v="OCW"/>
    <n v="16"/>
    <s v="KNAW"/>
    <n v="19.456592835646457"/>
    <n v="19.531327964937912"/>
    <n v="19.211226719000081"/>
    <n v="18.649954786786786"/>
    <n v="19.05319705244704"/>
    <n v="18.937832915964613"/>
    <n v="18.96294940524308"/>
    <n v="75"/>
    <x v="13"/>
    <s v="Niet in te delen wetenschappen"/>
    <s v="KNAW"/>
    <s v="Inst."/>
  </r>
  <r>
    <s v="OCW"/>
    <n v="16"/>
    <s v="NWO CWI"/>
    <n v="11.190443605299597"/>
    <n v="11.441665185081828"/>
    <n v="11.677185416127667"/>
    <n v="11.677185416127667"/>
    <n v="11.677185416127667"/>
    <n v="11.677185416127667"/>
    <n v="11.677185416127667"/>
    <n v="89"/>
    <x v="11"/>
    <s v="Niet in te delen wetenschappen"/>
    <s v="NWO"/>
    <s v="Inst."/>
  </r>
  <r>
    <s v="OCW"/>
    <n v="16"/>
    <s v="NWO FOM-instituten"/>
    <n v="61.219558723182011"/>
    <n v="50.561113757421253"/>
    <n v="54.358069325379873"/>
    <n v="54.358069325379873"/>
    <n v="54.358069325379873"/>
    <n v="54.358069325379873"/>
    <n v="54.358069325379873"/>
    <n v="89"/>
    <x v="11"/>
    <s v="Niet in te delen wetenschappen"/>
    <s v="NWO"/>
    <s v="Inst."/>
  </r>
  <r>
    <s v="OCW"/>
    <n v="16"/>
    <s v="NWO Ruimte-onderzoek (SRON)"/>
    <n v="15.611758687716993"/>
    <n v="17.626149369720824"/>
    <n v="18.392744631556305"/>
    <n v="18.392744631556305"/>
    <n v="18.392744631556305"/>
    <n v="18.392744631556305"/>
    <n v="18.392744631556305"/>
    <n v="89"/>
    <x v="11"/>
    <s v="Niet in te delen wetenschappen"/>
    <s v="NWO"/>
    <s v="Inst."/>
  </r>
  <r>
    <s v="OCW"/>
    <n v="16"/>
    <s v="NWO Sterrenkundig onderzoek (ASTRON)"/>
    <n v="10.780361320655077"/>
    <n v="14.596712672346884"/>
    <n v="25.057505365778976"/>
    <n v="25.057505365778976"/>
    <n v="25.057505365778976"/>
    <n v="25.057505365778976"/>
    <n v="25.057505365778976"/>
    <n v="89"/>
    <x v="11"/>
    <s v="Niet in te delen wetenschappen"/>
    <s v="NWO"/>
    <s v="Inst."/>
  </r>
  <r>
    <s v="OCW"/>
    <n v="16"/>
    <s v="NWO Zee-onderzoek (NIOZ/SOZ)"/>
    <n v="20.694377634561139"/>
    <n v="21.320584366518315"/>
    <n v="22.720775230304564"/>
    <n v="22.720775230304564"/>
    <n v="22.720775230304564"/>
    <n v="22.720775230304564"/>
    <n v="22.720775230304564"/>
    <n v="89"/>
    <x v="11"/>
    <s v="Niet in te delen wetenschappen"/>
    <s v="NWO"/>
    <s v="Inst."/>
  </r>
  <r>
    <s v="OCW"/>
    <n v="16"/>
    <s v="NWO Rechtswetenschappen (NSCR)"/>
    <n v="2.0735016419525913"/>
    <n v="1.9395783733186824"/>
    <n v="1.9515852870582742"/>
    <n v="1.9515852870582742"/>
    <n v="1.9515852870582742"/>
    <n v="1.9515852870582742"/>
    <n v="1.9515852870582742"/>
    <n v="89"/>
    <x v="10"/>
    <s v="Niet in te delen wetenschappen"/>
    <s v="NWO"/>
    <s v="Inst."/>
  </r>
  <r>
    <s v="OCW"/>
    <n v="16"/>
    <s v="NWO natuurwetenschappen"/>
    <n v="147.59008061188263"/>
    <n v="164.80984761674787"/>
    <n v="156.93644696202156"/>
    <n v="155.36293907191137"/>
    <n v="155.31740202408866"/>
    <n v="155.76059923210536"/>
    <n v="155.60685533797144"/>
    <n v="89"/>
    <x v="11"/>
    <s v="Niet in te delen wetenschappen"/>
    <s v="NWO"/>
    <s v="Proj."/>
  </r>
  <r>
    <s v="OCW"/>
    <n v="16"/>
    <s v="NWO technische wetenschappen"/>
    <n v="62.730214834703077"/>
    <n v="70.049132739892968"/>
    <n v="66.70270110639126"/>
    <n v="66.033913017235847"/>
    <n v="66.014558404913586"/>
    <n v="66.202930522861934"/>
    <n v="66.137584752546189"/>
    <n v="89"/>
    <x v="14"/>
    <s v="Niet in te delen wetenschappen"/>
    <s v="NWO"/>
    <s v="Proj."/>
  </r>
  <r>
    <s v="OCW"/>
    <n v="16"/>
    <s v="NWO medische wetenschappen"/>
    <n v="30.377853161923209"/>
    <n v="33.922126268812555"/>
    <n v="32.301576920355807"/>
    <n v="31.977708328125718"/>
    <n v="31.968335626745993"/>
    <n v="32.059557066907068"/>
    <n v="32.027912599872565"/>
    <n v="89"/>
    <x v="12"/>
    <s v="Niet in te delen wetenschappen"/>
    <s v="NWO"/>
    <s v="Proj."/>
  </r>
  <r>
    <s v="OCW"/>
    <n v="16"/>
    <s v="NWO sociale wetenschappen"/>
    <n v="36.024422829525264"/>
    <n v="40.227497758662672"/>
    <n v="38.305724201007436"/>
    <n v="37.921655615070499"/>
    <n v="37.910540736222465"/>
    <n v="38.018718220456272"/>
    <n v="37.981191748305996"/>
    <n v="89"/>
    <x v="10"/>
    <s v="Niet in te delen wetenschappen"/>
    <s v="NWO"/>
    <s v="Proj."/>
  </r>
  <r>
    <s v="OCW"/>
    <n v="16"/>
    <s v="NWO geesteswetenschappen"/>
    <n v="25.621676221129611"/>
    <n v="28.611032233219401"/>
    <n v="27.244207840290752"/>
    <n v="26.971046463017604"/>
    <n v="26.963141219721159"/>
    <n v="27.040080369824164"/>
    <n v="27.013390389981723"/>
    <n v="89"/>
    <x v="13"/>
    <s v="Niet in te delen wetenschappen"/>
    <s v="NWO"/>
    <s v="Proj."/>
  </r>
  <r>
    <s v="OCW"/>
    <n v="17"/>
    <s v="NWO NWA natuurwetenschappen"/>
    <n v="66.252473118279568"/>
    <n v="60.265150537634412"/>
    <n v="59.79254838709678"/>
    <n v="59.872784946236557"/>
    <n v="58.726548387096777"/>
    <n v="58.626913978494628"/>
    <n v="58.582827956989249"/>
    <n v="100"/>
    <x v="11"/>
    <s v="Niet in te delen wetenschappen"/>
    <s v="NWO"/>
    <s v="Proj."/>
  </r>
  <r>
    <s v="OCW"/>
    <n v="18"/>
    <s v="NWO NWA technische wetenschappen"/>
    <n v="12.604129032258065"/>
    <n v="11.46507741935484"/>
    <n v="11.375167741935485"/>
    <n v="11.390432258064516"/>
    <n v="11.172367741935485"/>
    <n v="11.153412903225808"/>
    <n v="11.145025806451615"/>
    <n v="100"/>
    <x v="14"/>
    <s v="Niet in te delen wetenschappen"/>
    <s v="NWO"/>
    <s v="Proj."/>
  </r>
  <r>
    <s v="OCW"/>
    <n v="19"/>
    <s v="NWO NWA medische wetenschappen"/>
    <n v="11.634580645161291"/>
    <n v="10.583148387096776"/>
    <n v="10.500154838709678"/>
    <n v="10.514245161290322"/>
    <n v="10.312954838709679"/>
    <n v="10.295458064516129"/>
    <n v="10.28771612903226"/>
    <n v="100"/>
    <x v="12"/>
    <s v="Niet in te delen wetenschappen"/>
    <s v="NWO"/>
    <s v="Proj."/>
  </r>
  <r>
    <s v="OCW"/>
    <n v="20"/>
    <s v="NWO NWA sociale wetenschappen"/>
    <n v="45.891956989247312"/>
    <n v="41.744640860215057"/>
    <n v="41.417277419354839"/>
    <n v="41.472855913978492"/>
    <n v="40.678877419354841"/>
    <n v="40.609862365591397"/>
    <n v="40.579324731182794"/>
    <n v="100"/>
    <x v="10"/>
    <s v="Niet in te delen wetenschappen"/>
    <s v="NWO"/>
    <s v="Proj."/>
  </r>
  <r>
    <s v="OCW"/>
    <n v="21"/>
    <s v="NWO NWA geesteswetenschappen"/>
    <n v="13.896860215053763"/>
    <n v="12.640982795698925"/>
    <n v="12.541851612903226"/>
    <n v="12.558681720430107"/>
    <n v="12.318251612903225"/>
    <n v="12.297352688172042"/>
    <n v="12.288105376344086"/>
    <n v="100"/>
    <x v="13"/>
    <s v="Niet in te delen wetenschappen"/>
    <s v="NWO"/>
    <s v="Proj."/>
  </r>
  <r>
    <s v="OCW"/>
    <n v="16"/>
    <s v="Koninklijke Bibliotheek (hoofdbekostiging, zie ook art. 14)"/>
    <n v="5.1595000000000004"/>
    <n v="5.0899000000000001"/>
    <n v="5.0335000000000001"/>
    <n v="5.0979999999999999"/>
    <n v="5.0979999999999999"/>
    <n v="5.0354000000000001"/>
    <n v="5.0354000000000001"/>
    <n v="10"/>
    <x v="15"/>
    <s v="Cultuur, recreatie, religie en massamedia"/>
    <s v="R"/>
    <s v="Inst."/>
  </r>
  <r>
    <s v="OCW"/>
    <n v="16"/>
    <s v="NWO VI Exacte en Natuurwetenschappen"/>
    <n v="60.573758949880663"/>
    <n v="61.916069212410498"/>
    <n v="61.916069212410498"/>
    <n v="61.916069212410498"/>
    <n v="61.916069212410498"/>
    <n v="61.916069212410498"/>
    <n v="61.916069212410498"/>
    <n v="100"/>
    <x v="11"/>
    <s v="Niet in te delen wetenschappen"/>
    <s v="NWO"/>
    <s v="Proj."/>
  </r>
  <r>
    <s v="OCW"/>
    <n v="16"/>
    <s v="NWO VI Technische wetenschappen"/>
    <n v="16.232183770883054"/>
    <n v="16.591887828162292"/>
    <n v="16.591887828162292"/>
    <n v="16.591887828162292"/>
    <n v="16.591887828162292"/>
    <n v="16.591887828162292"/>
    <n v="16.591887828162292"/>
    <n v="100"/>
    <x v="14"/>
    <s v="Niet in te delen wetenschappen"/>
    <s v="NWO"/>
    <s v="Proj."/>
  </r>
  <r>
    <s v="OCW"/>
    <n v="16"/>
    <s v="NWO VI Medische wetenschappen"/>
    <n v="27.555121718377087"/>
    <n v="28.165741288782815"/>
    <n v="28.165741288782815"/>
    <n v="28.165741288782815"/>
    <n v="28.165741288782815"/>
    <n v="28.165741288782815"/>
    <n v="28.165741288782815"/>
    <n v="100"/>
    <x v="12"/>
    <s v="Niet in te delen wetenschappen"/>
    <s v="NWO"/>
    <s v="Proj."/>
  </r>
  <r>
    <s v="OCW"/>
    <n v="16"/>
    <s v="NWO VI Sociale wetenschappen"/>
    <n v="38.416017900414282"/>
    <n v="39.267314170733627"/>
    <n v="39.267314170733627"/>
    <n v="39.267314170733627"/>
    <n v="39.267314170733627"/>
    <n v="39.267314170733627"/>
    <n v="39.267314170733627"/>
    <n v="100"/>
    <x v="10"/>
    <s v="Niet in te delen wetenschappen"/>
    <s v="NWO"/>
    <s v="Proj."/>
  </r>
  <r>
    <s v="OCW"/>
    <n v="16"/>
    <s v="NWO VI Geesteswetenschappen"/>
    <n v="23.107917660444897"/>
    <n v="23.619987499910771"/>
    <n v="23.619987499910771"/>
    <n v="23.619987499910771"/>
    <n v="23.619987499910771"/>
    <n v="23.619987499910771"/>
    <n v="23.619987499910771"/>
    <n v="100"/>
    <x v="13"/>
    <s v="Niet in te delen wetenschappen"/>
    <s v="NWO"/>
    <s v="Proj."/>
  </r>
  <r>
    <s v="OCW"/>
    <n v="16"/>
    <s v="NWO STW"/>
    <n v="8"/>
    <n v="8.1769999999999996"/>
    <n v="8.1769999999999996"/>
    <n v="8.1769999999999996"/>
    <n v="8.1769999999999996"/>
    <n v="8.1769999999999996"/>
    <n v="8.1769999999999996"/>
    <n v="100"/>
    <x v="14"/>
    <s v="Technische wetenschappen"/>
    <s v="STW"/>
    <s v="Proj."/>
  </r>
  <r>
    <s v="OCW"/>
    <n v="16"/>
    <s v="NWO Grootschalige researchinfrastructuur"/>
    <n v="55.38"/>
    <n v="56.607999999999997"/>
    <n v="56.607999999999997"/>
    <n v="56.607999999999997"/>
    <n v="56.607999999999997"/>
    <n v="56.607999999999997"/>
    <n v="56.607999999999997"/>
    <n v="100"/>
    <x v="16"/>
    <s v="Niet in te delen wetenschappen"/>
    <s v="NWO"/>
    <s v="Proj."/>
  </r>
  <r>
    <s v="OCW"/>
    <n v="16"/>
    <s v="NWO Regieorgaan onderwijsonderzoek"/>
    <n v="33.869"/>
    <n v="33.392000000000003"/>
    <n v="30.834"/>
    <n v="21.375"/>
    <n v="20.353999999999999"/>
    <n v="18.922000000000001"/>
    <n v="16.439"/>
    <n v="100"/>
    <x v="17"/>
    <s v="Onderwijs"/>
    <s v="NWO"/>
    <s v="Proj."/>
  </r>
  <r>
    <s v="OCW"/>
    <n v="16"/>
    <s v="Naturalis - Biodiversity center"/>
    <n v="6.1587299999999994"/>
    <n v="6.2901000000000007"/>
    <n v="6.2901000000000007"/>
    <n v="6.2901000000000007"/>
    <n v="6.2901000000000007"/>
    <n v="6.2901000000000007"/>
    <n v="6.2901000000000007"/>
    <n v="87"/>
    <x v="11"/>
    <s v="Natuurwetenschappen"/>
    <s v="Naturalis"/>
    <s v="Inst."/>
  </r>
  <r>
    <s v="OCW"/>
    <n v="16"/>
    <s v="Primatencentrum (BPRC)"/>
    <n v="11.17788"/>
    <n v="10.699639999999999"/>
    <n v="10.699639999999999"/>
    <n v="10.699639999999999"/>
    <n v="10.699639999999999"/>
    <n v="10.699639999999999"/>
    <n v="10.699639999999999"/>
    <n v="98"/>
    <x v="18"/>
    <s v="Gezondheid"/>
    <s v="SO"/>
    <s v="Inst."/>
  </r>
  <r>
    <s v="OCW"/>
    <n v="16"/>
    <s v="STT"/>
    <n v="0.221"/>
    <n v="0.23100000000000001"/>
    <n v="0.23100000000000001"/>
    <n v="0.23100000000000001"/>
    <n v="0.23100000000000001"/>
    <n v="0.23100000000000001"/>
    <n v="0.23100000000000001"/>
    <n v="100"/>
    <x v="14"/>
    <s v="Technische wetenschappen"/>
    <s v="SO"/>
    <s v="Inst."/>
  </r>
  <r>
    <s v="OCW"/>
    <n v="16"/>
    <s v="Caribisch Nederland "/>
    <n v="2.5"/>
    <n v="2.5550000000000002"/>
    <n v="2.5550000000000002"/>
    <n v="2.5550000000000002"/>
    <n v="2.5550000000000002"/>
    <n v="2.5550000000000002"/>
    <n v="2.5550000000000002"/>
    <n v="100"/>
    <x v="1"/>
    <s v="Exploratie en exploitatie van het aards milieu"/>
    <s v="NWO"/>
    <s v="Proj."/>
  </r>
  <r>
    <s v="OCW"/>
    <n v="16"/>
    <s v="Poolonderzoek"/>
    <n v="3.1469999999999998"/>
    <n v="3.2170000000000001"/>
    <n v="3.181"/>
    <n v="1.534"/>
    <n v="1.534"/>
    <n v="1.534"/>
    <n v="1.534"/>
    <n v="100"/>
    <x v="11"/>
    <s v="Natuurwetenschappen"/>
    <s v="NWO"/>
    <s v="Proj."/>
  </r>
  <r>
    <s v="OCW"/>
    <n v="16"/>
    <s v="Nationale coördinatie"/>
    <n v="0.1885"/>
    <n v="1.9095"/>
    <n v="2.3929999999999998"/>
    <n v="2.5145"/>
    <n v="2.5145"/>
    <n v="2.4860000000000002"/>
    <n v="2.7509999999999999"/>
    <n v="50"/>
    <x v="16"/>
    <s v="Niet in te delen wetenschappen"/>
    <s v="Proj."/>
    <s v="Proj."/>
  </r>
  <r>
    <s v="OCW"/>
    <n v="16"/>
    <s v="EMBC"/>
    <n v="1.228"/>
    <n v="1.357"/>
    <n v="1.264"/>
    <n v="1.2649999999999999"/>
    <n v="1.3420000000000001"/>
    <n v="0.95899999999999996"/>
    <n v="0.95899999999999996"/>
    <n v="100"/>
    <x v="11"/>
    <s v="Natuurwetenschappen"/>
    <s v="IO"/>
    <s v="Inst."/>
  </r>
  <r>
    <s v="OCW"/>
    <n v="16"/>
    <s v="EMBL"/>
    <n v="5.2409999999999997"/>
    <n v="5.3289999999999997"/>
    <n v="5.3289999999999997"/>
    <n v="5.3289999999999997"/>
    <n v="5.3289999999999997"/>
    <n v="5.3289999999999997"/>
    <n v="5.3289999999999997"/>
    <n v="100"/>
    <x v="11"/>
    <s v="Natuurwetenschappen"/>
    <s v="IO"/>
    <s v="Inst."/>
  </r>
  <r>
    <s v="OCW"/>
    <n v="16"/>
    <s v="ESA"/>
    <n v="31.146000000000001"/>
    <n v="33.387"/>
    <n v="33.387"/>
    <n v="33.387"/>
    <n v="33.387"/>
    <n v="33.387"/>
    <n v="33.387"/>
    <n v="100"/>
    <x v="2"/>
    <s v="Exploratie en exploitatie van de ruimte"/>
    <s v="IO"/>
    <s v="Proj."/>
  </r>
  <r>
    <s v="OCW"/>
    <n v="16"/>
    <s v="CERN"/>
    <n v="50.530999999999999"/>
    <n v="51.636000000000003"/>
    <n v="51.417000000000002"/>
    <n v="47.116"/>
    <n v="47.072000000000003"/>
    <n v="47.072000000000003"/>
    <n v="47.072000000000003"/>
    <n v="100"/>
    <x v="11"/>
    <s v="Natuurwetenschappen"/>
    <s v="IO"/>
    <s v="Inst."/>
  </r>
  <r>
    <s v="OCW"/>
    <n v="16"/>
    <s v="ESO"/>
    <n v="9.0809999999999995"/>
    <n v="9.4420000000000002"/>
    <n v="15.869"/>
    <n v="9.6310000000000002"/>
    <n v="9.6310000000000002"/>
    <n v="10.096"/>
    <n v="10.096"/>
    <n v="100"/>
    <x v="11"/>
    <s v="Natuurwetenschappen"/>
    <s v="IO"/>
    <s v="Inst."/>
  </r>
  <r>
    <s v="OCW"/>
    <s v="14.4"/>
    <s v="Rijksdienst voor het Cultureel Erfgoed (RCE)"/>
    <n v="11.27115"/>
    <n v="10.103670000000001"/>
    <n v="9.7216200000000015"/>
    <n v="9.7119"/>
    <n v="9.7075800000000001"/>
    <n v="10.313460000000001"/>
    <n v="10.308870000000001"/>
    <n v="27"/>
    <x v="15"/>
    <s v="Cultuur, recreatie, religie en massamedia"/>
    <s v="R"/>
    <s v="Inst."/>
  </r>
  <r>
    <s v="OCW"/>
    <s v="14.4"/>
    <s v="Rijksbureau voor Kunsthistorisch onderzoek (RKD)"/>
    <n v="0.35705999999999999"/>
    <n v="0.36443999999999999"/>
    <n v="0.36443999999999999"/>
    <n v="0.36443999999999999"/>
    <n v="0.36443999999999999"/>
    <n v="0.36443999999999999"/>
    <n v="0.36443999999999999"/>
    <n v="6"/>
    <x v="15"/>
    <s v="Cultuur, recreatie, religie en massamedia"/>
    <s v="R"/>
    <s v="Inst."/>
  </r>
  <r>
    <s v="OCW"/>
    <s v="14.4"/>
    <s v="Culturele zaken: onderzoek"/>
    <n v="1.3420000000000001"/>
    <n v="1.6339999999999999"/>
    <n v="2.0680000000000001"/>
    <n v="1.94"/>
    <n v="1.94"/>
    <n v="1.94"/>
    <n v="1.94"/>
    <n v="100"/>
    <x v="15"/>
    <s v="Cultuur, recreatie, religie en massamedia"/>
    <s v="Proj."/>
    <s v="Proj."/>
  </r>
  <r>
    <s v="OCW"/>
    <s v="14.4"/>
    <s v="Subsidie Boekmanstichting"/>
    <n v="0.80500000000000005"/>
    <n v="1.361"/>
    <n v="1.361"/>
    <n v="1.361"/>
    <n v="1.361"/>
    <n v="1.361"/>
    <n v="1.361"/>
    <n v="100"/>
    <x v="15"/>
    <s v="Cultuur, recreatie, religie en massamedia"/>
    <s v="SO"/>
    <s v="Inst."/>
  </r>
  <r>
    <s v="OCW"/>
    <s v="div."/>
    <s v="Onderwijsonderzoek"/>
    <n v="7.2"/>
    <n v="7.4"/>
    <n v="8.1"/>
    <n v="7"/>
    <n v="6.9"/>
    <n v="5.2"/>
    <n v="4.9000000000000004"/>
    <s v="div."/>
    <x v="17"/>
    <s v="Onderwijs"/>
    <s v="U/HBO/NWO/SO"/>
    <s v="Proj."/>
  </r>
  <r>
    <s v="Def"/>
    <s v="U0945"/>
    <s v="Programmafinanciering TNO (zie verdeling onder EZK)"/>
    <m/>
    <m/>
    <m/>
    <m/>
    <m/>
    <m/>
    <m/>
    <n v="100"/>
    <x v="19"/>
    <s v="Defensie"/>
    <s v="TNO"/>
    <s v="Inst."/>
  </r>
  <r>
    <s v="Def"/>
    <s v="U0945"/>
    <s v="Programmafinanciering NLR"/>
    <n v="0.53400000000000003"/>
    <n v="0.6"/>
    <n v="0.6"/>
    <n v="0.6"/>
    <n v="0.6"/>
    <n v="0.6"/>
    <n v="0.6"/>
    <n v="100"/>
    <x v="19"/>
    <s v="Defensie"/>
    <s v="TO2"/>
    <s v="Inst."/>
  </r>
  <r>
    <s v="Def"/>
    <s v="U0945"/>
    <s v="Programmafinanciering MARIN"/>
    <n v="1.9"/>
    <n v="2"/>
    <n v="2"/>
    <n v="2"/>
    <n v="2"/>
    <n v="2"/>
    <n v="2"/>
    <n v="100"/>
    <x v="19"/>
    <s v="Defensie"/>
    <s v="TO2"/>
    <s v="Inst."/>
  </r>
  <r>
    <s v="Def"/>
    <s v="U0604"/>
    <s v="Technologie en kennistoepassing"/>
    <n v="31.812000000000001"/>
    <n v="25.349"/>
    <n v="24.128"/>
    <n v="24.128"/>
    <n v="24.128"/>
    <n v="24.128"/>
    <n v="24.128"/>
    <n v="100"/>
    <x v="19"/>
    <s v="Defensie"/>
    <s v="TNO/GTI/DGI"/>
    <s v="Proj."/>
  </r>
  <r>
    <s v="Def"/>
    <s v="U0604"/>
    <s v="Technologie en kennistoepassing"/>
    <n v="0.37"/>
    <m/>
    <m/>
    <m/>
    <m/>
    <m/>
    <m/>
    <n v="100"/>
    <x v="19"/>
    <s v="Defensie"/>
    <s v="U"/>
    <s v="Proj."/>
  </r>
  <r>
    <s v="Def"/>
    <s v="U0604"/>
    <s v="Contractonderzoek en kennistoepassing"/>
    <n v="9.8780000000000001"/>
    <n v="6.1070000000000002"/>
    <n v="5.1820000000000004"/>
    <n v="5.0970000000000004"/>
    <n v="5.1230000000000002"/>
    <n v="5.22"/>
    <n v="5.2220000000000004"/>
    <n v="100"/>
    <x v="19"/>
    <s v="Defensie"/>
    <s v="O"/>
    <s v="Proj."/>
  </r>
  <r>
    <s v="I&amp;W"/>
    <s v="IF 12.06.02"/>
    <s v="InfraQuest"/>
    <n v="3.3000000000000002E-2"/>
    <n v="0"/>
    <n v="0"/>
    <n v="0"/>
    <n v="0"/>
    <n v="0"/>
    <n v="0"/>
    <n v="4.7715787418937403E-3"/>
    <x v="20"/>
    <s v="Transport, telecommunicatie en ov. infrastructuren"/>
    <s v="TNO/TUD"/>
    <s v="Inst."/>
  </r>
  <r>
    <s v="I&amp;W"/>
    <s v="IF 12.06.02"/>
    <s v="Afdrachten CROW"/>
    <n v="0.09"/>
    <n v="0.09"/>
    <n v="0.09"/>
    <n v="0.09"/>
    <n v="0.09"/>
    <n v="0.09"/>
    <n v="0.09"/>
    <n v="1.30133965688011E-2"/>
    <x v="20"/>
    <s v="Transport, telecommunicatie en ov. infrastructuren"/>
    <s v="CROW"/>
    <s v="Inst."/>
  </r>
  <r>
    <s v="I&amp;W"/>
    <s v="IF 12.06.02"/>
    <s v="Basisfinanciering CUR"/>
    <n v="0.45"/>
    <n v="0.45"/>
    <n v="0.45"/>
    <n v="0.45"/>
    <n v="0.45"/>
    <n v="0.45"/>
    <n v="0.45"/>
    <n v="6.5066982844005528E-2"/>
    <x v="20"/>
    <s v="Transport, telecommunicatie en ov. infrastructuren"/>
    <s v="CUR"/>
    <s v="Inst."/>
  </r>
  <r>
    <s v="I&amp;W"/>
    <s v="IF 12.06.02"/>
    <s v="Vernieuwing bouw (exclusief bouwcampus)"/>
    <n v="0.36299999999999999"/>
    <n v="0.36299999999999999"/>
    <n v="0.36299999999999999"/>
    <n v="0.36299999999999999"/>
    <n v="0.36299999999999999"/>
    <n v="0.36299999999999999"/>
    <n v="0.36299999999999999"/>
    <n v="5.2487366160831113E-2"/>
    <x v="20"/>
    <s v="Transport, telecommunicatie en ov. infrastructuren"/>
    <s v="Vern.Bouw"/>
    <s v="Inst."/>
  </r>
  <r>
    <s v="I&amp;W"/>
    <s v="IF 12.06.02"/>
    <s v="PianOo"/>
    <n v="0.13"/>
    <n v="0.06"/>
    <n v="2.3E-2"/>
    <n v="0"/>
    <n v="0"/>
    <n v="0"/>
    <n v="0"/>
    <n v="1.8797128377157149E-2"/>
    <x v="20"/>
    <s v="Transport, telecommunicatie en ov. infrastructuren"/>
    <s v="PianOo"/>
    <s v="Inst."/>
  </r>
  <r>
    <s v="I&amp;W"/>
    <s v="IF 12.06.02"/>
    <s v="Centrum Ondergronds Bouwen"/>
    <n v="0.45"/>
    <n v="0.45"/>
    <n v="0.45"/>
    <n v="0.45"/>
    <n v="0.6"/>
    <n v="0.2"/>
    <n v="0.2"/>
    <n v="6.5066982844005528E-2"/>
    <x v="20"/>
    <s v="Transport, telecommunicatie en ov. infrastructuren"/>
    <s v="COB"/>
    <s v="Inst."/>
  </r>
  <r>
    <s v="I&amp;W"/>
    <s v="IF 12.06.02"/>
    <s v="NEN "/>
    <n v="0.7"/>
    <n v="0.69"/>
    <n v="0.67500000000000004"/>
    <n v="0.7"/>
    <n v="0"/>
    <n v="0"/>
    <n v="0"/>
    <n v="0.10121530664623081"/>
    <x v="20"/>
    <s v="Transport, telecommunicatie en ov. infrastructuren"/>
    <s v="NNI"/>
    <s v="Inst."/>
  </r>
  <r>
    <s v="I&amp;W"/>
    <s v="IF 12.06.02"/>
    <s v="Kennisontwikkeling (allianties) universiteiten"/>
    <n v="1.1639999999999999"/>
    <n v="0.96399999999999997"/>
    <n v="1.1659999999999999"/>
    <n v="1.1659999999999999"/>
    <n v="0"/>
    <n v="0"/>
    <n v="0"/>
    <n v="0.16859578221357874"/>
    <x v="20"/>
    <s v="Transport, telecommunicatie en ov. infrastructuren"/>
    <s v="TUD/TUE e.a."/>
    <s v="Inst."/>
  </r>
  <r>
    <s v="I&amp;W"/>
    <s v="DF 65.05.01"/>
    <s v="Kennisontwikkeling (allianties) universiteiten (HWS)"/>
    <n v="0.35"/>
    <n v="0.35"/>
    <n v="0.35"/>
    <n v="0.35"/>
    <n v="0"/>
    <n v="0"/>
    <n v="0"/>
    <n v="0.13542218834517952"/>
    <x v="20"/>
    <s v="Transport, telecommunicatie en ov. infrastructuren"/>
    <s v="TUD/TUE e.a."/>
    <s v="Inst."/>
  </r>
  <r>
    <s v="I&amp;W"/>
    <s v="98.02.18"/>
    <s v="Apparaat Planbureau Leefomgeving (PBL)"/>
    <n v="30.574999999999999"/>
    <n v="31.266999999999999"/>
    <n v="27.088000000000001"/>
    <n v="27.585000000000001"/>
    <n v="25.773"/>
    <n v="25.776"/>
    <n v="25.776"/>
    <n v="30.2"/>
    <x v="21"/>
    <s v="Milieubeheer en milieuzorg"/>
    <s v="PBL"/>
    <s v="Inst."/>
  </r>
  <r>
    <s v="I&amp;W"/>
    <s v="12.23U.01"/>
    <s v="Meteorologie, seismologie en Aardobservatie"/>
    <n v="5.008"/>
    <n v="8.1050210000000007"/>
    <n v="29.852"/>
    <n v="28.635999999999999"/>
    <n v="28.861000000000001"/>
    <n v="28.949000000000002"/>
    <n v="28.023"/>
    <n v="70.900000000000006"/>
    <x v="1"/>
    <s v="Exploratie en exploitatie van het aards milieu"/>
    <s v="KNMI"/>
    <s v="Inst."/>
  </r>
  <r>
    <s v="I&amp;W"/>
    <s v="1297U0101"/>
    <s v="Programma Planbureau Leefomgeving (PBL)"/>
    <n v="6.1180000000000003"/>
    <n v="6.7380000000000004"/>
    <n v="2.488"/>
    <n v="2.4260000000000002"/>
    <n v="2.4009999999999998"/>
    <n v="2.4009999999999998"/>
    <n v="2.4009999999999998"/>
    <n v="5.5"/>
    <x v="21"/>
    <s v="Milieubeheer en milieuzorg"/>
    <s v="PBL"/>
    <s v="Inst."/>
  </r>
  <r>
    <s v="I&amp;W"/>
    <s v="1297U01010005"/>
    <s v="Onderzoek / Kennis (KIS)"/>
    <n v="0.4"/>
    <n v="0.4"/>
    <n v="0.4"/>
    <n v="0.4"/>
    <n v="0.4"/>
    <n v="0.4"/>
    <n v="0.4"/>
    <n v="0.9"/>
    <x v="20"/>
    <s v="Transport, telecommunicatie en ov. infrastructuren"/>
    <s v="KIS"/>
    <s v="Inst."/>
  </r>
  <r>
    <s v="I&amp;W"/>
    <s v="1297U01010009"/>
    <s v="Onderzoek / Kennis (KiM)"/>
    <n v="0.77700000000000002"/>
    <n v="1.7"/>
    <n v="1.4590000000000001"/>
    <n v="1.679"/>
    <n v="1.6839999999999999"/>
    <n v="1.6910000000000001"/>
    <n v="1.6919999999999999"/>
    <n v="3.2"/>
    <x v="20"/>
    <s v="Transport, telecommunicatie en ov. infrastructuren"/>
    <s v="KiM"/>
    <s v="Inst."/>
  </r>
  <r>
    <s v="I&amp;W"/>
    <s v="1214U02020003"/>
    <s v="Veiligheid en mobiliteit (SWOV)"/>
    <n v="4.0339999999999998"/>
    <n v="4.1769999999999996"/>
    <n v="4.1310000000000002"/>
    <n v="4.1310000000000002"/>
    <n v="4.1310000000000002"/>
    <n v="4.1319999999999997"/>
    <n v="4.3650000000000002"/>
    <n v="25.178915925073124"/>
    <x v="20"/>
    <s v="Transport, telecommunicatie en ov. infrastructuren"/>
    <s v="SWOV"/>
    <s v="Inst."/>
  </r>
  <r>
    <s v="I&amp;W"/>
    <s v="1220u01070001"/>
    <s v="Beperken van verzuring en grootschalige luchtverontreiniging"/>
    <n v="0.35199999999999998"/>
    <n v="0.45700000000000002"/>
    <n v="0.46100000000000002"/>
    <n v="0.46300000000000002"/>
    <n v="0.46300000000000002"/>
    <n v="0.46300000000000002"/>
    <n v="0.46300000000000002"/>
    <n v="1.6"/>
    <x v="21"/>
    <s v="Milieubeheer en milieuzorg"/>
    <s v="ECN"/>
    <s v="Inst."/>
  </r>
  <r>
    <s v="I&amp;W"/>
    <s v="1297U01020003"/>
    <s v="Subsidies ASA"/>
    <n v="1"/>
    <n v="0.26200000000000001"/>
    <n v="0.39500000000000002"/>
    <n v="0.39500000000000002"/>
    <n v="0.377"/>
    <n v="0.377"/>
    <n v="0.377"/>
    <n v="0.9"/>
    <x v="20"/>
    <s v="Transport, telecommunicatie en ov. infrastructuren"/>
    <s v="NWO"/>
    <s v="Inst."/>
  </r>
  <r>
    <s v="I&amp;W"/>
    <s v="1219U02010001"/>
    <s v="Aandeel Kennisvragen in opdracht - RIVM"/>
    <n v="0.6"/>
    <n v="0.6"/>
    <n v="0.6"/>
    <n v="0.6"/>
    <n v="0.6"/>
    <n v="0.6"/>
    <n v="0.6"/>
    <n v="1.3"/>
    <x v="21"/>
    <s v="Milieubeheer en milieuzorg"/>
    <s v="RIVM"/>
    <s v="Inst."/>
  </r>
  <r>
    <s v="I&amp;W"/>
    <s v="1217U01020004"/>
    <s v="Mainports en logistiek (proj.)"/>
    <n v="3.6999999999999998E-2"/>
    <n v="3.9E-2"/>
    <n v="0.04"/>
    <n v="0.04"/>
    <n v="0.04"/>
    <n v="0.04"/>
    <n v="0.04"/>
    <n v="0.14031978139655107"/>
    <x v="20"/>
    <s v="Transport, telecommunicatie en ov. infrastructuren"/>
    <s v="KDC"/>
    <s v="Inst."/>
  </r>
  <r>
    <s v="I&amp;W"/>
    <s v="1297U01010009"/>
    <s v="KIRE (CPB)"/>
    <n v="0.1"/>
    <n v="0.1"/>
    <n v="0.1"/>
    <n v="0.1"/>
    <n v="0.1"/>
    <n v="0.1"/>
    <n v="0"/>
    <n v="0.17560804284836246"/>
    <x v="20"/>
    <s v="Transport, telecommunicatie en ov. infrastructuren"/>
    <s v="KIS"/>
    <s v="Inst."/>
  </r>
  <r>
    <s v="I&amp;W"/>
    <s v="1214U02010001"/>
    <s v="Veiligheid en mobiliteit Universiteit Utrecht Rijvaardiheid cat III medicijnen"/>
    <n v="0"/>
    <n v="0"/>
    <n v="0"/>
    <n v="0"/>
    <n v="0"/>
    <n v="0"/>
    <n v="0"/>
    <n v="0"/>
    <x v="20"/>
    <s v="Transport, telecommunicatie en ov. infrastructuren"/>
    <s v="U"/>
    <s v="Inst."/>
  </r>
  <r>
    <s v="I&amp;W"/>
    <s v="IF 12.06.02"/>
    <s v="Doorontwikkeling kennismanagement HWN"/>
    <n v="0.22500000000000001"/>
    <n v="0"/>
    <n v="0"/>
    <n v="0"/>
    <n v="0"/>
    <n v="0"/>
    <n v="0"/>
    <n v="3.2533491422002764E-2"/>
    <x v="20"/>
    <s v="Transport, telecommunicatie en ov. infrastructuren"/>
    <s v="SO"/>
    <s v="Proj."/>
  </r>
  <r>
    <s v="I&amp;W"/>
    <s v="IF 12.06.02"/>
    <s v="Traffic Quest"/>
    <n v="0"/>
    <n v="1.3"/>
    <n v="1.5"/>
    <n v="1.5"/>
    <n v="1.5"/>
    <n v="1.5"/>
    <n v="1.5"/>
    <n v="0.2"/>
    <x v="20"/>
    <s v="Transport, telecommunicatie en ov. infrastructuren"/>
    <s v="TNO/TUD"/>
    <s v="Proj."/>
  </r>
  <r>
    <s v="I&amp;W"/>
    <s v="1211U"/>
    <s v="Totaal integraal waterbeleid"/>
    <n v="7.9180000000000001"/>
    <n v="16.353000000000002"/>
    <n v="15.63"/>
    <n v="12.268000000000001"/>
    <n v="12.189"/>
    <n v="11.855"/>
    <n v="9.84"/>
    <n v="2.4"/>
    <x v="20"/>
    <s v="Transport, telecommunicatie en ov. infrastructuren"/>
    <s v="Deltares/WUR/U/KNMI/IO"/>
    <s v="Proj."/>
  </r>
  <r>
    <s v="I&amp;W"/>
    <s v="1213U0401"/>
    <s v="Ruimtegebruik bodem"/>
    <n v="2.3010000000000002"/>
    <n v="3.3780000000000001"/>
    <n v="3.1890000000000001"/>
    <n v="1.137"/>
    <n v="1.133"/>
    <n v="1.133"/>
    <n v="1.133"/>
    <n v="2.4"/>
    <x v="20"/>
    <s v="Transport, telecommunicatie en ov. infrastructuren"/>
    <s v="Deltares"/>
    <s v="Proj."/>
  </r>
  <r>
    <s v="I&amp;W"/>
    <s v="6501u0301"/>
    <s v="Studiekosten waterveiligheid"/>
    <n v="1.288"/>
    <n v="3.5419999999999998"/>
    <n v="2.0310000000000001"/>
    <n v="2.39"/>
    <n v="2.1139999999999999"/>
    <n v="1.9370000000000001"/>
    <n v="1.651"/>
    <n v="19"/>
    <x v="20"/>
    <s v="Transport, telecommunicatie en ov. infrastructuren"/>
    <s v="Proj."/>
    <s v="Proj."/>
  </r>
  <r>
    <s v="I&amp;W"/>
    <s v="6502u0301"/>
    <s v="Studiekosten zoetwatervoorziening"/>
    <n v="0.53800000000000003"/>
    <n v="1.776"/>
    <n v="1.774"/>
    <n v="1.9570000000000001"/>
    <n v="1.82"/>
    <n v="1.3819999999999999"/>
    <n v="0.83599999999999997"/>
    <n v="38"/>
    <x v="20"/>
    <s v="Transport, telecommunicatie en ov. infrastructuren"/>
    <s v="Proj."/>
    <s v="Proj."/>
  </r>
  <r>
    <s v="I&amp;W"/>
    <s v="DF 07"/>
    <s v="HWS - Waterkwaliteit (studiekosten &amp; overleg aanleg projecten"/>
    <n v="3.0979999999999999"/>
    <n v="7.8410000000000002"/>
    <n v="3.5979999999999999"/>
    <n v="2.7029999999999998"/>
    <n v="4.8079999999999998"/>
    <n v="4.2190000000000003"/>
    <n v="0"/>
    <n v="3.5"/>
    <x v="20"/>
    <s v="Transport, telecommunicatie en ov. infrastructuren"/>
    <s v="Deltares"/>
    <s v="Proj."/>
  </r>
  <r>
    <s v="EZK"/>
    <s v="11.06"/>
    <s v="Onderzoek &amp; opdrachten"/>
    <n v="1.681"/>
    <n v="1.9259999999999999"/>
    <n v="2.1219999999999999"/>
    <n v="2.0539999999999998"/>
    <n v="2.0979999999999999"/>
    <n v="1.5349999999999999"/>
    <n v="1.5349999999999999"/>
    <n v="100"/>
    <x v="22"/>
    <s v="Industriële productie en technologie"/>
    <s v="R/O"/>
    <s v="Proj."/>
  </r>
  <r>
    <s v="EZK"/>
    <s v="11.06"/>
    <s v="Beleidsvoorbereiding en evaluaties Veiligheid en Frequenties"/>
    <n v="1.5056"/>
    <n v="1.1552"/>
    <n v="0.88160000000000005"/>
    <n v="0.85260000000000014"/>
    <n v="0.90680000000000005"/>
    <n v="0.88880000000000003"/>
    <n v="0.90100000000000013"/>
    <n v="20"/>
    <x v="20"/>
    <s v="Transport, telecommunicatie en ov. infrastructuren"/>
    <s v="R/SO/O"/>
    <s v="Inst."/>
  </r>
  <r>
    <s v="EZK"/>
    <s v="11.06"/>
    <s v="Versterking aanpak cybersecurity"/>
    <n v="1.3176499999999998"/>
    <n v="3.7344499999999998"/>
    <n v="5.4539499999999999"/>
    <n v="7.4489499999999991"/>
    <n v="7.4726999999999988"/>
    <n v="7.8051999999999992"/>
    <n v="7.9144499999999987"/>
    <n v="95"/>
    <x v="19"/>
    <s v="Defensie"/>
    <s v="U/NWO/TNO/SO/O"/>
    <s v="Proj."/>
  </r>
  <r>
    <s v="EZK"/>
    <s v="11.08"/>
    <s v="Bijdrage Metrologie"/>
    <n v="2.6764999999999999"/>
    <n v="4.0365000000000002"/>
    <n v="2.7865000000000002"/>
    <n v="2.7865000000000002"/>
    <n v="2.7865000000000002"/>
    <n v="2.7865000000000002"/>
    <n v="2.7865000000000002"/>
    <n v="25"/>
    <x v="22"/>
    <s v="Industriële productie en technologie"/>
    <s v="SO"/>
    <s v="Inst."/>
  </r>
  <r>
    <s v="EZK"/>
    <s v="11.08"/>
    <s v="Bijdrage aan het CBS"/>
    <n v="5.3649050000000003"/>
    <n v="5.5674500000000009"/>
    <n v="5.5496350000000003"/>
    <n v="5.5430200000000003"/>
    <n v="5.5592600000000001"/>
    <n v="5.5441750000000001"/>
    <n v="5.5441750000000001"/>
    <n v="3.5"/>
    <x v="0"/>
    <s v="Politieke en soc. systemen, structuren/processen"/>
    <s v="R"/>
    <s v="Inst."/>
  </r>
  <r>
    <s v="EZK"/>
    <s v="04 EU-cofinanciering Digital Europe"/>
    <s v="Kennis en innovatie ICT"/>
    <n v="1.8888"/>
    <n v="2.0726999999999998"/>
    <n v="2.2134"/>
    <n v="2.4443999999999999"/>
    <n v="2.4443999999999999"/>
    <n v="2.4594"/>
    <n v="2.4594"/>
    <n v="30"/>
    <x v="20"/>
    <s v="Transport, telecommunicatie en ov. infrastructuren"/>
    <s v="SO/O"/>
    <s v="Proj."/>
  </r>
  <r>
    <s v="EZK"/>
    <s v="U12,10"/>
    <s v="Lucht- en Ruimtevaart"/>
    <n v="0"/>
    <n v="0"/>
    <n v="0"/>
    <n v="0"/>
    <n v="0"/>
    <n v="0"/>
    <n v="0"/>
    <n v="100"/>
    <x v="2"/>
    <m/>
    <s v="IO/O"/>
    <s v="Proj."/>
  </r>
  <r>
    <s v="EZK"/>
    <s v="12.01.02"/>
    <s v="MKB-Innovatiestimulering Topsectoren (MIT)"/>
    <n v="14.820300000000001"/>
    <n v="16.999200000000002"/>
    <n v="23.3172"/>
    <n v="27.355499999999999"/>
    <n v="37.009800000000006"/>
    <n v="37.009800000000006"/>
    <n v="37.009800000000006"/>
    <n v="90"/>
    <x v="22"/>
    <s v="Industriële productie en technologie"/>
    <s v="U/TNO/DLO/SO/O"/>
    <s v="Proj."/>
  </r>
  <r>
    <s v="EZK"/>
    <s v="12.01.05"/>
    <s v="Eurostars: Eurostars"/>
    <n v="16.960999999999999"/>
    <n v="18.734000000000002"/>
    <n v="19.582999999999998"/>
    <n v="19.048999999999999"/>
    <n v="18.649000000000001"/>
    <n v="18.382000000000001"/>
    <n v="18.132000000000001"/>
    <n v="100"/>
    <x v="22"/>
    <s v="Industriële productie en technologie"/>
    <s v="U/TNO/DLO/SO/O"/>
    <s v="Proj."/>
  </r>
  <r>
    <s v="EZK"/>
    <s v="12.01.06"/>
    <s v="Overig: bijdrage aan NML"/>
    <n v="0.25"/>
    <n v="0.26200000000000001"/>
    <n v="0.26200000000000001"/>
    <n v="0.26200000000000001"/>
    <n v="0.26200000000000001"/>
    <n v="0.26200000000000001"/>
    <n v="0.26200000000000001"/>
    <n v="100"/>
    <x v="20"/>
    <s v="Transport, telecommunicatie en ov. infrastructuren"/>
    <s v="SO"/>
    <s v="Inst."/>
  </r>
  <r>
    <s v="EZK"/>
    <s v="12.01.06"/>
    <s v="Overig: innovatieve onderzoeksprogramma's"/>
    <n v="0"/>
    <n v="0"/>
    <n v="0"/>
    <n v="0"/>
    <n v="0"/>
    <n v="0"/>
    <n v="0"/>
    <n v="100"/>
    <x v="22"/>
    <s v="Industriële productie en technologie"/>
    <s v="SO/O"/>
    <s v="Proj."/>
  </r>
  <r>
    <s v="EZK"/>
    <s v="12.01.06"/>
    <s v="Overig: bijdrage aan overige instituten"/>
    <n v="0.16300000000000001"/>
    <n v="0.16300000000000001"/>
    <n v="0.16300000000000001"/>
    <n v="0.16300000000000001"/>
    <n v="0.16300000000000001"/>
    <n v="0.16300000000000001"/>
    <n v="0.16300000000000001"/>
    <n v="100"/>
    <x v="0"/>
    <s v="Politieke en soc. systemen, structuren/processen"/>
    <s v="SO"/>
    <s v="Inst."/>
  </r>
  <r>
    <s v="EZK"/>
    <s v="12.01.06"/>
    <s v="Bijdrage aan TNO NABS 1"/>
    <n v="29.935345188126739"/>
    <n v="29.003645082793135"/>
    <n v="26.642019715268479"/>
    <n v="26.476102477517436"/>
    <n v="26.483894091535895"/>
    <n v="26.598222444104398"/>
    <n v="26.547463499121886"/>
    <n v="100"/>
    <x v="1"/>
    <m/>
    <s v="TNO"/>
    <s v="Inst."/>
  </r>
  <r>
    <s v="EZK"/>
    <s v="12.01.06"/>
    <s v="Bijdrage aan TNO NABS 2"/>
    <n v="6.304855049096731"/>
    <n v="6.1086243366582975"/>
    <n v="5.6112288488515141"/>
    <n v="5.5762840661007953"/>
    <n v="5.5779251026973729"/>
    <n v="5.6020044539263791"/>
    <n v="5.5913138208787689"/>
    <n v="100"/>
    <x v="21"/>
    <m/>
    <s v="TNO"/>
    <s v="Inst."/>
  </r>
  <r>
    <s v="EZK"/>
    <s v="12.01.06"/>
    <s v="Bijdrage aan TNO NABS 3"/>
    <n v="6.5349322693101719"/>
    <n v="6.331540691715162"/>
    <n v="5.8159942122852346"/>
    <n v="5.7797742220295634"/>
    <n v="5.7814751434506881"/>
    <n v="5.8064332000824619"/>
    <n v="5.795352443691054"/>
    <n v="100"/>
    <x v="2"/>
    <m/>
    <s v="TNO"/>
    <s v="Inst."/>
  </r>
  <r>
    <s v="EZK"/>
    <s v="12.01.06"/>
    <s v="Bijdrage aan TNO NABS 4"/>
    <n v="25.644708515328208"/>
    <n v="24.846549099599887"/>
    <n v="22.8234157837163"/>
    <n v="22.681279483865595"/>
    <n v="22.687954324897547"/>
    <n v="22.785895980763929"/>
    <n v="22.742412321549658"/>
    <n v="100"/>
    <x v="20"/>
    <m/>
    <s v="TNO"/>
    <s v="Inst."/>
  </r>
  <r>
    <s v="EZK"/>
    <s v="12.01.06"/>
    <s v="Bijdrage aan TNO NABS 5"/>
    <n v="40.679422712291057"/>
    <n v="39.413326658019251"/>
    <n v="36.204091688124556"/>
    <n v="35.978625189999541"/>
    <n v="35.98921328772402"/>
    <n v="36.144575163556958"/>
    <n v="36.07559835482477"/>
    <n v="100"/>
    <x v="3"/>
    <m/>
    <s v="TNO"/>
    <s v="Inst."/>
  </r>
  <r>
    <s v="EZK"/>
    <s v="12.01.06"/>
    <s v="Bijdrage aan TNO NABS 6"/>
    <n v="46.797825473339913"/>
    <n v="45.341301800441421"/>
    <n v="41.649380725595549"/>
    <n v="41.39000286018274"/>
    <n v="41.402183464438345"/>
    <n v="41.580912597392434"/>
    <n v="41.501561307685421"/>
    <n v="100"/>
    <x v="22"/>
    <m/>
    <s v="TNO"/>
    <s v="Inst."/>
  </r>
  <r>
    <s v="EZK"/>
    <s v="12.01.06"/>
    <s v="Bijdrage aan TNO NABS 7"/>
    <n v="28.889598833289831"/>
    <n v="27.990446272767578"/>
    <n v="25.711320742945105"/>
    <n v="25.551199574873309"/>
    <n v="25.558719000550298"/>
    <n v="25.669053463714764"/>
    <n v="25.620067706292218"/>
    <n v="100"/>
    <x v="18"/>
    <m/>
    <s v="TNO"/>
    <s v="Inst."/>
  </r>
  <r>
    <s v="EZK"/>
    <s v="12.01.06"/>
    <s v="Bijdrage aan TNO NABS 13"/>
    <n v="25.873524039352301"/>
    <n v="25.068243027180191"/>
    <n v="23.027058255981064"/>
    <n v="22.883653741601279"/>
    <n v="22.890388139061709"/>
    <n v="22.989203681691027"/>
    <n v="22.945332038489195"/>
    <n v="100"/>
    <x v="16"/>
    <m/>
    <s v="TNO"/>
    <s v="Inst."/>
  </r>
  <r>
    <s v="EZK"/>
    <s v="12.01.06"/>
    <s v="Bijdrage aan TNO NABS 14"/>
    <n v="71.337787919865136"/>
    <n v="69.117488668211038"/>
    <n v="63.489588653833756"/>
    <n v="63.094197565321167"/>
    <n v="63.112765465738185"/>
    <n v="63.385217034861704"/>
    <n v="63.264255314546055"/>
    <n v="100"/>
    <x v="19"/>
    <m/>
    <s v="TNO"/>
    <s v="Inst."/>
  </r>
  <r>
    <s v="EZK"/>
    <s v="12.10.01"/>
    <s v="Internationaal Innoveren"/>
    <n v="36.289000000000001"/>
    <n v="42.904000000000003"/>
    <n v="52.765999999999998"/>
    <n v="43.332000000000001"/>
    <n v="39.378999999999998"/>
    <n v="39.856999999999999"/>
    <n v="39.856999999999999"/>
    <n v="100"/>
    <x v="22"/>
    <s v="Industriële productie en technologie"/>
    <s v="U/TNO/DLO/SO/O"/>
    <s v="Proj."/>
  </r>
  <r>
    <s v="EZK"/>
    <s v="12.10.01"/>
    <s v="TKI-toeslag: NABS 1"/>
    <n v="11.248500927599409"/>
    <n v="16.03771145523708"/>
    <n v="18.433103793735157"/>
    <n v="19.298515552813704"/>
    <n v="18.062900903429565"/>
    <n v="16.857472882919765"/>
    <n v="16.857472882919765"/>
    <n v="100"/>
    <x v="1"/>
    <s v="Exploratie en exploitatie van het aards milieu"/>
    <s v="U/TNO/DLO/SO/O"/>
    <s v="Proj."/>
  </r>
  <r>
    <s v="EZK"/>
    <s v="12.10.01"/>
    <s v="TKI-toeslag: NABS 4"/>
    <n v="1.5632855027655042"/>
    <n v="2.2288767167181098"/>
    <n v="2.5617817091532902"/>
    <n v="2.6820542384083517"/>
    <n v="2.5103319368483747"/>
    <n v="2.3428048893582831"/>
    <n v="2.3428048893582831"/>
    <n v="100"/>
    <x v="20"/>
    <s v="Transport, telecommunicatie en overige infrastructuren"/>
    <s v="U/TNO/DLO/SO/O"/>
    <s v="Proj."/>
  </r>
  <r>
    <s v="EZK"/>
    <s v="12.10.01"/>
    <s v="TKI-toeslag: NABS 5"/>
    <n v="14.412785039449002"/>
    <n v="20.549234890659442"/>
    <n v="23.618468300704933"/>
    <n v="24.727326604090653"/>
    <n v="23.144124678092467"/>
    <n v="21.599601096509403"/>
    <n v="21.599601096509403"/>
    <n v="100"/>
    <x v="3"/>
    <s v="Energie"/>
    <s v="U/TNO/DLO/SO/O"/>
    <s v="Proj."/>
  </r>
  <r>
    <s v="EZK"/>
    <s v="12.10.01"/>
    <s v="TKI-toeslag: NABS 6"/>
    <n v="46.295813880303456"/>
    <n v="66.006920333349896"/>
    <n v="75.86571294822312"/>
    <n v="79.427515715187653"/>
    <n v="74.342057110182864"/>
    <n v="69.380838576013801"/>
    <n v="69.380838576013801"/>
    <n v="100"/>
    <x v="22"/>
    <s v="Industriële productie en technologie"/>
    <s v="U/TNO/DLO/SO/O"/>
    <s v="Proj."/>
  </r>
  <r>
    <s v="EZK"/>
    <s v="12.10.01"/>
    <s v="TKI-toeslag: NABS 7"/>
    <n v="30.474004723389086"/>
    <n v="43.448749107544302"/>
    <n v="49.938253611975981"/>
    <n v="52.282793760355069"/>
    <n v="48.935314224728003"/>
    <n v="45.669615139386799"/>
    <n v="45.669615139386799"/>
    <n v="100"/>
    <x v="18"/>
    <s v="Gezondheid"/>
    <s v="U/TNO/DLO/SO/O"/>
    <s v="Proj."/>
  </r>
  <r>
    <s v="EZK"/>
    <s v="12.10.01"/>
    <s v="TKI-toeslag: NABS 8"/>
    <n v="17.483610112247689"/>
    <n v="24.927507761332812"/>
    <n v="28.650679940605894"/>
    <n v="29.99579444783409"/>
    <n v="28.075271445003672"/>
    <n v="26.201667694190846"/>
    <n v="26.201667694190846"/>
    <n v="100"/>
    <x v="23"/>
    <s v="Landbouw"/>
    <s v="U/TNO/DLO/SO/O"/>
    <s v="Proj."/>
  </r>
  <r>
    <s v="EZK"/>
    <s v="12.10.02"/>
    <s v="Grote Technologische Instituten (MARIN)"/>
    <n v="7.2430000000000003"/>
    <n v="14.318"/>
    <n v="8.2810000000000006"/>
    <n v="7.2809999999999997"/>
    <n v="7.2809999999999997"/>
    <n v="6.7809999999999997"/>
    <n v="6.7809999999999997"/>
    <n v="100"/>
    <x v="20"/>
    <s v="Transport, telecommunicatie en ov. infrastructuren"/>
    <s v="SO"/>
    <s v="Inst."/>
  </r>
  <r>
    <s v="EZK"/>
    <s v="12.10.02"/>
    <s v="Grote Technologische Instituten (Deltares)"/>
    <n v="20.065000000000001"/>
    <n v="20.643999999999998"/>
    <n v="20.643999999999998"/>
    <n v="20.193000000000001"/>
    <n v="20.193000000000001"/>
    <n v="20.193000000000001"/>
    <n v="20.193000000000001"/>
    <n v="100"/>
    <x v="20"/>
    <s v="Transport, telecommunicatie en ov. infrastructuren"/>
    <s v="SO"/>
    <s v="Inst."/>
  </r>
  <r>
    <s v="EZK"/>
    <s v="12.10.02"/>
    <s v="Grote Technologische Instituten (NLR)"/>
    <n v="35.79"/>
    <n v="26.954999999999998"/>
    <n v="26.954999999999998"/>
    <n v="26.954999999999998"/>
    <n v="26.445"/>
    <n v="26.445"/>
    <n v="26.445"/>
    <n v="100"/>
    <x v="2"/>
    <s v="Exploratie en exploitatie van de ruimte"/>
    <s v="SO"/>
    <s v="Inst."/>
  </r>
  <r>
    <s v="EZK"/>
    <m/>
    <s v="Economische ontwikkeling en technologie"/>
    <n v="0"/>
    <n v="8.0500000000000007"/>
    <n v="10"/>
    <n v="8.3000000000000007"/>
    <n v="10"/>
    <n v="10"/>
    <n v="10"/>
    <n v="100"/>
    <x v="22"/>
    <m/>
    <s v="U/TNO/DLO/SO/O"/>
    <s v="Proj."/>
  </r>
  <r>
    <s v="EZK"/>
    <s v="12.10.03"/>
    <s v="Topsectoren overig bijdrage NWO-TTW"/>
    <n v="28.536000000000001"/>
    <n v="26.004999999999999"/>
    <n v="25.465"/>
    <n v="25.48"/>
    <n v="25.48"/>
    <n v="25.48"/>
    <n v="25.48"/>
    <n v="100"/>
    <x v="22"/>
    <s v="Industriële productie en technologie"/>
    <s v="NWO"/>
    <s v="Inst."/>
  </r>
  <r>
    <s v="EZK"/>
    <s v="12.10.03"/>
    <s v="Topsectoren overig (Innovatieprogramma's algemeen)"/>
    <n v="0"/>
    <n v="5.7869999999999999"/>
    <n v="4.3339999999999996"/>
    <n v="4.3170000000000002"/>
    <n v="5.0789999999999997"/>
    <n v="5.1760000000000002"/>
    <n v="8.0549999999999997"/>
    <n v="100"/>
    <x v="16"/>
    <s v="Transport, telecommunicatie en ov. infrastructuren"/>
    <s v="TNO/DLO/SO/NWO"/>
    <s v="Inst."/>
  </r>
  <r>
    <s v="EZK"/>
    <s v="12.10.03"/>
    <s v="Topsectoren overig: Wetsus"/>
    <n v="0"/>
    <n v="1.71"/>
    <n v="1.71"/>
    <n v="0.38"/>
    <n v="0"/>
    <n v="0"/>
    <n v="0"/>
    <n v="100"/>
    <x v="22"/>
    <s v="Industriële productie en technologie"/>
    <s v="SO"/>
    <s v="Proj."/>
  </r>
  <r>
    <s v="EZK"/>
    <s v="12.10.03"/>
    <s v="Topsectoren overig (Holst centrum)"/>
    <n v="3.6579999999999999"/>
    <n v="3.6579999999999999"/>
    <n v="0.40699999999999997"/>
    <n v="0"/>
    <n v="0"/>
    <n v="0"/>
    <n v="0"/>
    <n v="100"/>
    <x v="22"/>
    <s v="Industriële productie en technologie"/>
    <s v="SO"/>
    <s v="Proj."/>
  </r>
  <r>
    <s v="EZK"/>
    <s v="12.10.03"/>
    <s v="Topsectoren overig (phase 2)"/>
    <n v="0"/>
    <n v="0"/>
    <n v="0"/>
    <n v="0"/>
    <n v="0"/>
    <n v="0"/>
    <n v="0"/>
    <n v="100"/>
    <x v="22"/>
    <s v="Industriële productie en technologie"/>
    <s v="U/O/TNO"/>
    <s v="Proj."/>
  </r>
  <r>
    <s v="EZK"/>
    <s v="12.10.03"/>
    <s v="Topsectoren overig (innovatieprogramma life sciences and health)"/>
    <n v="0.106"/>
    <n v="0"/>
    <n v="0"/>
    <n v="0"/>
    <n v="0"/>
    <n v="0"/>
    <n v="0"/>
    <n v="100"/>
    <x v="22"/>
    <s v="Industriële productie en technologie"/>
    <s v="U/O/TNO"/>
    <s v="Proj."/>
  </r>
  <r>
    <s v="EZK"/>
    <s v="12.10.03"/>
    <s v="Topsectoren overig (BE basic)"/>
    <n v="0"/>
    <n v="0"/>
    <n v="0"/>
    <n v="0.01"/>
    <n v="0.01"/>
    <n v="0.01"/>
    <n v="0.01"/>
    <n v="100"/>
    <x v="22"/>
    <s v="Industriële productie en technologie"/>
    <s v="U/O"/>
    <s v="Proj."/>
  </r>
  <r>
    <s v="EZK"/>
    <s v="12.10.03"/>
    <s v="Topsectoren overig (NWO)"/>
    <n v="0.79"/>
    <n v="1.044"/>
    <n v="0.32600000000000001"/>
    <n v="0.495"/>
    <n v="0.495"/>
    <n v="0.495"/>
    <n v="0.495"/>
    <n v="100"/>
    <x v="22"/>
    <m/>
    <s v="NWO"/>
    <s v="Proj."/>
  </r>
  <r>
    <s v="EZK"/>
    <s v="12.10.03"/>
    <s v="Hyperloop"/>
    <n v="0"/>
    <n v="0.95550000000000002"/>
    <n v="1.1910000000000001"/>
    <n v="1.266"/>
    <n v="0"/>
    <n v="0"/>
    <n v="0"/>
    <n v="75"/>
    <x v="20"/>
    <m/>
    <s v="O"/>
    <s v="Proj."/>
  </r>
  <r>
    <s v="EZK"/>
    <s v="12.10.05"/>
    <s v="Ruimtevaart (ESA)"/>
    <n v="99.159000000000006"/>
    <n v="73.748999999999995"/>
    <n v="72.725999999999999"/>
    <n v="72.528999999999996"/>
    <n v="73.426000000000002"/>
    <n v="73.426000000000002"/>
    <n v="73.426000000000002"/>
    <n v="100"/>
    <x v="2"/>
    <s v="Exploratie en exploitatie van de ruimte"/>
    <s v="IO"/>
    <s v="Proj."/>
  </r>
  <r>
    <s v="EZK"/>
    <s v="12.10"/>
    <s v="Onderzoek"/>
    <n v="3.5009999999999999"/>
    <n v="3.524"/>
    <n v="3.552"/>
    <n v="3.552"/>
    <n v="3.552"/>
    <n v="3.552"/>
    <n v="3.552"/>
    <n v="100"/>
    <x v="22"/>
    <s v="Industriële productie en technologie"/>
    <s v="U/R/SO/O"/>
    <s v="Proj."/>
  </r>
  <r>
    <s v="EZK"/>
    <s v="12.10"/>
    <s v="Small Business Innovation Research"/>
    <n v="2.706"/>
    <n v="2.992"/>
    <n v="3.4"/>
    <n v="1.345"/>
    <n v="0.15"/>
    <n v="0"/>
    <n v="0"/>
    <n v="100"/>
    <x v="22"/>
    <m/>
    <s v="O"/>
    <s v="Proj."/>
  </r>
  <r>
    <s v="EZK"/>
    <s v="U02"/>
    <s v="Cyber KI"/>
    <n v="0"/>
    <n v="0"/>
    <n v="0"/>
    <n v="0"/>
    <n v="0"/>
    <n v="0"/>
    <n v="0"/>
    <n v="95"/>
    <x v="22"/>
    <m/>
    <s v="U/NWO/TNO/SO/O "/>
    <s v="Proj."/>
  </r>
  <r>
    <s v="EZK"/>
    <s v="18.10"/>
    <s v="Co-financiering EFRO en Interreg"/>
    <n v="4.0073999999999996"/>
    <n v="7.6688999999999998"/>
    <n v="11.500500000000001"/>
    <n v="7.9430999999999994"/>
    <n v="9.5930999999999997"/>
    <n v="9.6231000000000009"/>
    <n v="7.2230999999999996"/>
    <n v="30"/>
    <x v="3"/>
    <m/>
    <s v="O"/>
    <s v="Proj."/>
  </r>
  <r>
    <s v="EZK"/>
    <n v="20"/>
    <s v="Infrastructuur duurzame industrie (PIDI)"/>
    <n v="0"/>
    <n v="2.4406666666666665"/>
    <n v="3.15"/>
    <n v="3.15"/>
    <n v="3.15"/>
    <n v="3.15"/>
    <n v="0"/>
    <n v="70"/>
    <x v="21"/>
    <m/>
    <s v="O"/>
    <s v="Proj."/>
  </r>
  <r>
    <s v="EZK"/>
    <n v="20"/>
    <s v="Infrastructuur duurzame industrie (PIDI)"/>
    <n v="0"/>
    <n v="2.4406666666666665"/>
    <n v="3.15"/>
    <n v="3.15"/>
    <n v="3.15"/>
    <n v="3.15"/>
    <n v="0"/>
    <n v="70"/>
    <x v="3"/>
    <m/>
    <s v="O"/>
    <s v="Proj."/>
  </r>
  <r>
    <s v="EZK"/>
    <n v="20"/>
    <s v="Infrastructuur duurzame industrie (PIDI)"/>
    <n v="0"/>
    <n v="2.4406666666666665"/>
    <n v="3.15"/>
    <n v="3.15"/>
    <n v="3.15"/>
    <n v="3.15"/>
    <n v="0"/>
    <n v="70"/>
    <x v="22"/>
    <m/>
    <s v="O"/>
    <s v="Proj."/>
  </r>
  <r>
    <s v="EZK"/>
    <s v="UO2"/>
    <s v="Verduurzaming industrie KD"/>
    <n v="5.1299999999999998E-2"/>
    <n v="0.83199999999999996"/>
    <n v="0.53539999999999999"/>
    <n v="0.67120000000000002"/>
    <n v="0.7571"/>
    <n v="1"/>
    <n v="1.05"/>
    <n v="20"/>
    <x v="21"/>
    <m/>
    <s v="O"/>
    <s v="Proj."/>
  </r>
  <r>
    <s v="EZK"/>
    <s v="UO2"/>
    <s v="Verduurzaming industrie KD"/>
    <n v="5.1299999999999998E-2"/>
    <n v="0.83199999999999996"/>
    <n v="0.53539999999999999"/>
    <n v="0.67120000000000002"/>
    <n v="0.7571"/>
    <n v="1"/>
    <n v="1.05"/>
    <n v="20"/>
    <x v="22"/>
    <m/>
    <s v="O"/>
    <s v="Proj."/>
  </r>
  <r>
    <s v="EZK"/>
    <s v="UO2"/>
    <s v="Verduurzaming industrie  "/>
    <n v="8.8999999999999999E-3"/>
    <n v="1.1999999999999999E-3"/>
    <n v="1.0582"/>
    <n v="2.4632000000000001"/>
    <n v="3.8058000000000001"/>
    <n v="4.7725"/>
    <n v="5.32"/>
    <n v="20"/>
    <x v="21"/>
    <m/>
    <s v="O"/>
    <s v="Proj."/>
  </r>
  <r>
    <s v="EZK"/>
    <s v="UO2"/>
    <s v="Verduurzaming industrie  "/>
    <n v="8.8999999999999999E-3"/>
    <n v="1.1999999999999999E-3"/>
    <n v="1.0582"/>
    <n v="2.4632000000000001"/>
    <n v="3.8058000000000001"/>
    <n v="4.7725"/>
    <n v="5.32"/>
    <n v="20"/>
    <x v="22"/>
    <m/>
    <s v="O"/>
    <s v="Proj."/>
  </r>
  <r>
    <s v="EZK"/>
    <n v="22"/>
    <s v="R&amp;D mobiliteitssectoren"/>
    <n v="0"/>
    <n v="3.3333333333333335"/>
    <n v="12.5"/>
    <n v="12.5"/>
    <n v="12.5"/>
    <n v="4.166666666666667"/>
    <n v="5"/>
    <n v="100"/>
    <x v="20"/>
    <m/>
    <s v="U/HBO/O/TO2"/>
    <s v="Proj."/>
  </r>
  <r>
    <s v="EZK"/>
    <n v="22"/>
    <s v="R&amp;D mobiliteitssectoren"/>
    <n v="0"/>
    <n v="3.3333333333333335"/>
    <n v="12.5"/>
    <n v="12.5"/>
    <n v="12.5"/>
    <n v="4.166666666666667"/>
    <n v="5"/>
    <n v="100"/>
    <x v="3"/>
    <m/>
    <s v="U/HBO/O/TO2"/>
    <s v="Proj."/>
  </r>
  <r>
    <s v="EZK"/>
    <n v="22"/>
    <s v="R&amp;D mobiliteitssectoren"/>
    <n v="0"/>
    <n v="3.3333333333333335"/>
    <n v="12.5"/>
    <n v="12.5"/>
    <n v="12.5"/>
    <n v="4.166666666666667"/>
    <n v="5"/>
    <n v="100"/>
    <x v="22"/>
    <m/>
    <s v="U/HBO/O/TO2"/>
    <s v="Proj."/>
  </r>
  <r>
    <s v="EZK"/>
    <n v="17"/>
    <s v="Europees Defensie Fonds cofinanciering"/>
    <n v="0"/>
    <n v="0"/>
    <n v="4.5"/>
    <n v="9"/>
    <n v="4.5"/>
    <n v="0"/>
    <n v="0"/>
    <n v="90"/>
    <x v="19"/>
    <m/>
    <s v="O, TNO, GTI"/>
    <s v="Proj."/>
  </r>
  <r>
    <s v="EZK"/>
    <n v="24"/>
    <s v="NGF - project AINed"/>
    <n v="0"/>
    <n v="1.98"/>
    <n v="3.96"/>
    <n v="5.94"/>
    <n v="5.94"/>
    <n v="1.98"/>
    <n v="0"/>
    <n v="90"/>
    <x v="17"/>
    <m/>
    <s v="U/HBO/O/TO2"/>
    <s v="Proj."/>
  </r>
  <r>
    <s v="EZK"/>
    <n v="24"/>
    <s v="NGF - project AINed"/>
    <n v="0"/>
    <n v="1.98"/>
    <n v="3.96"/>
    <n v="5.94"/>
    <n v="5.94"/>
    <n v="1.98"/>
    <n v="0"/>
    <n v="90"/>
    <x v="10"/>
    <m/>
    <s v="U/HBO/O/TO2"/>
    <s v="Proj."/>
  </r>
  <r>
    <s v="EZK"/>
    <n v="25"/>
    <s v="NGF-project Groenvermogen"/>
    <n v="0"/>
    <n v="0.13333333333333333"/>
    <n v="3.5883333333333334"/>
    <n v="5.5566666666666675"/>
    <n v="1.7649999999999999"/>
    <n v="1.1233333333333333"/>
    <n v="0"/>
    <n v="50"/>
    <x v="3"/>
    <m/>
    <s v="U/HBO/O/TO2"/>
    <s v="Proj."/>
  </r>
  <r>
    <s v="EZK"/>
    <n v="25"/>
    <s v="NGF-project Groenvermogen"/>
    <n v="0"/>
    <n v="0.13333333333333333"/>
    <n v="3.5883333333333334"/>
    <n v="5.5566666666666675"/>
    <n v="1.7649999999999999"/>
    <n v="1.1233333333333333"/>
    <n v="0"/>
    <n v="50"/>
    <x v="22"/>
    <m/>
    <s v="U/HBO/O/TO2"/>
    <s v="Proj."/>
  </r>
  <r>
    <s v="EZK"/>
    <n v="25"/>
    <s v="NGF-project Groenvermogen"/>
    <n v="0"/>
    <n v="0.13333333333333333"/>
    <n v="3.5883333333333334"/>
    <n v="5.5566666666666675"/>
    <n v="1.7649999999999999"/>
    <n v="1.1233333333333333"/>
    <n v="0"/>
    <n v="50"/>
    <x v="14"/>
    <m/>
    <s v="U/HBO/O/TO2"/>
    <s v="Proj."/>
  </r>
  <r>
    <s v="EZK"/>
    <n v="26"/>
    <s v="NGF-project Health RI"/>
    <n v="0"/>
    <n v="0"/>
    <n v="0"/>
    <n v="0"/>
    <n v="0"/>
    <n v="0"/>
    <n v="0"/>
    <n v="0"/>
    <x v="18"/>
    <m/>
    <s v="U/HBO/O/TO2"/>
    <s v="Proj."/>
  </r>
  <r>
    <s v="EZK"/>
    <n v="26"/>
    <s v="NGF-project Health RI"/>
    <n v="0"/>
    <n v="0"/>
    <n v="0"/>
    <n v="0"/>
    <n v="0"/>
    <n v="0"/>
    <n v="0"/>
    <n v="0"/>
    <x v="12"/>
    <m/>
    <s v="U/HBO/O/TO2"/>
    <s v="Proj."/>
  </r>
  <r>
    <s v="EZK"/>
    <n v="27"/>
    <s v="NGF-project Regmed"/>
    <n v="0"/>
    <n v="2.5499999999999998"/>
    <n v="3.2"/>
    <n v="0"/>
    <n v="0"/>
    <n v="0"/>
    <n v="0"/>
    <n v="50"/>
    <x v="18"/>
    <m/>
    <s v="U/UMC/O"/>
    <s v="Proj."/>
  </r>
  <r>
    <s v="EZK"/>
    <n v="27"/>
    <s v="NGF-project Regmed"/>
    <n v="0"/>
    <n v="2.5499999999999998"/>
    <n v="3.2"/>
    <n v="0"/>
    <n v="0"/>
    <n v="0"/>
    <n v="0"/>
    <n v="50"/>
    <x v="12"/>
    <m/>
    <s v="U/UMC/O"/>
    <s v="Proj."/>
  </r>
  <r>
    <s v="EZK"/>
    <n v="28"/>
    <s v="NGF-project Quantum"/>
    <n v="0"/>
    <n v="3.55"/>
    <n v="8.2750000000000004"/>
    <n v="0.77500000000000002"/>
    <n v="0.9"/>
    <n v="0"/>
    <n v="0"/>
    <n v="50"/>
    <x v="20"/>
    <m/>
    <s v="U/HBO/O/TO2"/>
    <s v="Proj."/>
  </r>
  <r>
    <s v="EZK"/>
    <n v="28"/>
    <s v="NGF-project Quantum"/>
    <n v="0"/>
    <n v="3.55"/>
    <n v="8.2750000000000004"/>
    <n v="0.77500000000000002"/>
    <n v="0.9"/>
    <n v="0"/>
    <n v="0"/>
    <n v="50"/>
    <x v="14"/>
    <m/>
    <s v="U/HBO/O/TO2"/>
    <s v="Proj."/>
  </r>
  <r>
    <s v="EZK"/>
    <m/>
    <s v="Overig: Topsector High Tech Vliegtuigindustie"/>
    <n v="0"/>
    <n v="2.444"/>
    <n v="4.444"/>
    <n v="2.222"/>
    <n v="0.89"/>
    <n v="0"/>
    <n v="0"/>
    <n v="100"/>
    <x v="22"/>
    <m/>
    <s v="U/HBO/O/TO2"/>
    <s v="Proj."/>
  </r>
  <r>
    <s v="EZK"/>
    <n v="11"/>
    <s v="Just Transition Fund"/>
    <n v="0"/>
    <n v="0"/>
    <n v="4"/>
    <n v="4"/>
    <n v="4"/>
    <n v="1"/>
    <n v="1"/>
    <n v="25"/>
    <x v="22"/>
    <m/>
    <s v="O"/>
    <s v="Proj."/>
  </r>
  <r>
    <s v="EZK"/>
    <s v="12.01.02"/>
    <s v="Innovatiefonds: Innovatiekredieten"/>
    <n v="50.838000000000001"/>
    <n v="44.761000000000003"/>
    <n v="56.999000000000002"/>
    <n v="56.933"/>
    <n v="58.689"/>
    <n v="57.689"/>
    <n v="57.689"/>
    <n v="100"/>
    <x v="22"/>
    <s v="Industriële productie en technologie"/>
    <s v="O"/>
    <s v="Proj."/>
  </r>
  <r>
    <s v="EZK"/>
    <s v="12.01.03"/>
    <s v="Innovatiefonds: risicokapitaal Seed"/>
    <n v="18.841199999999997"/>
    <n v="26.643399999999996"/>
    <n v="37.491299999999995"/>
    <n v="42.879899999999992"/>
    <n v="42.877099999999999"/>
    <n v="39.260199999999998"/>
    <n v="39.260199999999998"/>
    <n v="70"/>
    <x v="22"/>
    <s v="Industriële productie en technologie"/>
    <s v="O"/>
    <s v="Proj."/>
  </r>
  <r>
    <s v="EZK"/>
    <s v="12.01.04"/>
    <s v="Innovatiefonds: Fund to Fund"/>
    <n v="8.25"/>
    <n v="26.384"/>
    <n v="13.646000000000001"/>
    <n v="5.633"/>
    <n v="6.5505000000000004"/>
    <n v="7.9"/>
    <n v="5.4"/>
    <n v="50"/>
    <x v="22"/>
    <s v="Industriële productie en technologie"/>
    <s v="O"/>
    <s v="Proj."/>
  </r>
  <r>
    <s v="EZK"/>
    <n v="19"/>
    <s v="Innovatiefonds: Investeringen in fundamenteel en toegepast onderzoek (met vermogensbehoud)"/>
    <n v="0.497"/>
    <n v="16.978999999999999"/>
    <n v="2.5"/>
    <n v="0"/>
    <n v="0"/>
    <n v="2.5"/>
    <n v="2.5"/>
    <n v="100"/>
    <x v="16"/>
    <m/>
    <s v="U/HBO/TNO/SO/O/GTI"/>
    <s v="Proj."/>
  </r>
  <r>
    <s v="EZK"/>
    <n v="19"/>
    <s v="Oncode institute"/>
    <n v="1.11504"/>
    <n v="2.35392"/>
    <n v="1.1668799999999999"/>
    <n v="0.56159999999999999"/>
    <n v="0.3024"/>
    <n v="0.17279999999999998"/>
    <n v="0"/>
    <n v="48"/>
    <x v="12"/>
    <m/>
    <s v="U/UMC/NWO/KNAW/R/SO"/>
    <s v="Proj."/>
  </r>
  <r>
    <s v="EZK"/>
    <m/>
    <s v="Regmed XB"/>
    <n v="0"/>
    <n v="0.75"/>
    <n v="2.25"/>
    <n v="3.5"/>
    <n v="4"/>
    <n v="0.75"/>
    <n v="0.75"/>
    <n v="50"/>
    <x v="18"/>
    <m/>
    <s v="UMC/O"/>
    <s v="Proj."/>
  </r>
  <r>
    <s v="EZK"/>
    <s v="12.01.07"/>
    <s v="Innovatiefonds: vroege fase / informal investors: RVO"/>
    <n v="3.8105000000000002"/>
    <n v="5.7060000000000004"/>
    <n v="7.532"/>
    <n v="7.5235000000000003"/>
    <n v="8.5734999999999992"/>
    <n v="4.5735000000000001"/>
    <n v="4.5735000000000001"/>
    <n v="50"/>
    <x v="22"/>
    <s v="Industriële productie en technologie"/>
    <s v="O"/>
    <s v="Proj."/>
  </r>
  <r>
    <s v="EZK"/>
    <s v="12.01.07"/>
    <s v="Innovatiefonds: vroege fase / informal investors: STW"/>
    <n v="2.5179999999999998"/>
    <n v="2.9904999999999999"/>
    <n v="2.7250000000000001"/>
    <n v="2.7250000000000001"/>
    <n v="2.7250000000000001"/>
    <n v="2.7250000000000001"/>
    <n v="2.7250000000000001"/>
    <n v="50"/>
    <x v="22"/>
    <s v="Industriële productie en technologie"/>
    <s v="O"/>
    <s v="Proj."/>
  </r>
  <r>
    <s v="EZK"/>
    <s v="12.01.07"/>
    <s v="Innovatiefonds: vroege fase / informal investors: haalbaarheidsstudies STW"/>
    <n v="0.39800000000000002"/>
    <n v="0.40749999999999997"/>
    <n v="0"/>
    <n v="0"/>
    <n v="0"/>
    <n v="0"/>
    <n v="0"/>
    <n v="50"/>
    <x v="22"/>
    <s v="Industriële productie en technologie"/>
    <s v="O"/>
    <s v="Proj."/>
  </r>
  <r>
    <s v="EZK"/>
    <m/>
    <s v="Smart industry"/>
    <n v="0.505"/>
    <n v="1.0169999999999999"/>
    <n v="0.499"/>
    <n v="0.158"/>
    <n v="0"/>
    <n v="0"/>
    <n v="0"/>
    <n v="100"/>
    <x v="22"/>
    <s v="Industriële productie en technologie"/>
    <s v="O"/>
    <s v="Proj."/>
  </r>
  <r>
    <s v="EZK"/>
    <s v="09 Dutch Future Fund"/>
    <s v="Dutch Future Fund"/>
    <n v="0"/>
    <n v="0.2"/>
    <n v="0.3"/>
    <n v="0.35"/>
    <n v="0.3"/>
    <n v="0.1"/>
    <n v="0"/>
    <n v="20"/>
    <x v="20"/>
    <m/>
    <s v="O"/>
    <s v="Proj."/>
  </r>
  <r>
    <s v="EZK"/>
    <s v="09 Dutch Future Fund"/>
    <s v="Dutch Future Fund"/>
    <n v="0"/>
    <n v="0.2"/>
    <n v="0.3"/>
    <n v="0.35"/>
    <n v="0.3"/>
    <n v="0.1"/>
    <n v="0"/>
    <n v="20"/>
    <x v="3"/>
    <m/>
    <s v="O"/>
    <s v="Proj."/>
  </r>
  <r>
    <s v="EZK"/>
    <s v="09 Dutch Future Fund"/>
    <s v="Dutch Future Fund"/>
    <n v="0"/>
    <n v="0.2"/>
    <n v="0.3"/>
    <n v="0.35"/>
    <n v="0.3"/>
    <n v="0.1"/>
    <n v="0"/>
    <n v="20"/>
    <x v="22"/>
    <m/>
    <s v="O"/>
    <s v="Proj."/>
  </r>
  <r>
    <s v="EZK"/>
    <s v="09 Dutch Future Fund"/>
    <s v="Dutch Future Fund"/>
    <n v="0"/>
    <n v="0.2"/>
    <n v="0.3"/>
    <n v="0.35"/>
    <n v="0.3"/>
    <n v="0.1"/>
    <n v="0"/>
    <n v="20"/>
    <x v="18"/>
    <m/>
    <s v="O"/>
    <s v="Proj."/>
  </r>
  <r>
    <s v="EZK"/>
    <s v="10 Deep Tech Fund"/>
    <s v="Deep Tech Fund"/>
    <n v="0"/>
    <n v="3"/>
    <n v="7.5"/>
    <n v="7.5"/>
    <n v="7.5"/>
    <n v="7.5"/>
    <n v="19.5"/>
    <n v="30"/>
    <x v="22"/>
    <m/>
    <s v="O"/>
    <s v="Proj."/>
  </r>
  <r>
    <s v="EZK"/>
    <s v="11 Fonds Alternatieve Financiering"/>
    <s v="Fonds Alternatieve Financiering"/>
    <n v="0"/>
    <n v="0.25"/>
    <n v="0.25"/>
    <n v="0.25"/>
    <n v="0.25"/>
    <n v="0.25"/>
    <n v="0"/>
    <n v="10"/>
    <x v="20"/>
    <m/>
    <s v="O"/>
    <s v="Proj."/>
  </r>
  <r>
    <s v="EZK"/>
    <s v="11 Fonds Alternatieve Financiering"/>
    <s v="Fonds Alternatieve Financiering"/>
    <n v="0"/>
    <n v="0.25"/>
    <n v="0.25"/>
    <n v="0.25"/>
    <n v="0.25"/>
    <n v="0.25"/>
    <n v="0"/>
    <n v="10"/>
    <x v="3"/>
    <m/>
    <s v="O"/>
    <s v="Proj."/>
  </r>
  <r>
    <s v="EZK"/>
    <s v="11 Fonds Alternatieve Financiering"/>
    <s v="Fonds Alternatieve Financiering"/>
    <n v="0"/>
    <n v="0.25"/>
    <n v="0.25"/>
    <n v="0.25"/>
    <n v="0.25"/>
    <n v="0.25"/>
    <n v="0"/>
    <n v="10"/>
    <x v="22"/>
    <m/>
    <s v="O"/>
    <s v="Proj."/>
  </r>
  <r>
    <s v="EZK"/>
    <s v="11 Fonds Alternatieve Financiering"/>
    <s v="Fonds Alternatieve Financiering"/>
    <n v="0"/>
    <n v="0.25"/>
    <n v="0.25"/>
    <n v="0.25"/>
    <n v="0.25"/>
    <n v="0.25"/>
    <n v="0"/>
    <n v="10"/>
    <x v="18"/>
    <m/>
    <s v="O"/>
    <s v="Proj."/>
  </r>
  <r>
    <s v="EZK"/>
    <m/>
    <s v="Thematische technology transfer (subsidiedeel)"/>
    <n v="0.36460000000000004"/>
    <n v="0.67"/>
    <n v="0.59560000000000002"/>
    <n v="0.59560000000000002"/>
    <n v="0.59560000000000002"/>
    <n v="0.47960000000000003"/>
    <n v="0"/>
    <n v="20"/>
    <x v="22"/>
    <m/>
    <s v="U/UMC/TNO"/>
    <s v="Proj."/>
  </r>
  <r>
    <s v="EZK"/>
    <s v="14.01"/>
    <s v="Topsectoren energie: RVO"/>
    <n v="19.775500000000001"/>
    <n v="21.96575"/>
    <n v="25.568750000000001"/>
    <n v="26.015999999999998"/>
    <n v="24.00375"/>
    <n v="18.568750000000001"/>
    <n v="10.925000000000001"/>
    <n v="25"/>
    <x v="3"/>
    <s v="Energie"/>
    <s v="O"/>
    <s v="Proj."/>
  </r>
  <r>
    <s v="EZK"/>
    <s v="14.01"/>
    <s v="Energie-Akkoord SER: RVO"/>
    <n v="10.931700000000001"/>
    <n v="16.8261"/>
    <n v="24.911399999999997"/>
    <n v="18.131699999999999"/>
    <n v="15.319499999999998"/>
    <n v="12.165599999999998"/>
    <n v="14.181599999999998"/>
    <n v="30"/>
    <x v="3"/>
    <s v="Energie"/>
    <s v="O"/>
    <s v="Proj."/>
  </r>
  <r>
    <s v="EZK"/>
    <s v="14.01"/>
    <s v="Energie-innovatie (IA) - O: meerjarenafspraken energie (MJA-E)"/>
    <n v="0.56225000000000003"/>
    <n v="0.46500000000000002"/>
    <n v="0.59199999999999997"/>
    <n v="0.59199999999999997"/>
    <n v="0.59199999999999997"/>
    <n v="0.59199999999999997"/>
    <n v="0.59199999999999997"/>
    <n v="25"/>
    <x v="3"/>
    <s v="Energie"/>
    <s v="O"/>
    <s v="Proj."/>
  </r>
  <r>
    <s v="EZK"/>
    <s v="14.01"/>
    <s v="Energie-innovatie (IA) - O: duurzaamheid energiebesparing UKR"/>
    <n v="0.14974999999999999"/>
    <n v="4.7500000000000001E-2"/>
    <n v="0"/>
    <n v="0"/>
    <n v="0"/>
    <n v="0"/>
    <n v="0"/>
    <n v="25"/>
    <x v="3"/>
    <s v="Energie"/>
    <s v="O"/>
    <s v="Proj."/>
  </r>
  <r>
    <s v="EZK"/>
    <s v="14.01"/>
    <s v="Overige subsidies: transitiemanagement"/>
    <n v="0"/>
    <n v="0"/>
    <n v="0"/>
    <n v="0"/>
    <n v="0"/>
    <n v="0"/>
    <n v="0"/>
    <n v="25"/>
    <x v="3"/>
    <s v="Energie"/>
    <s v="O"/>
    <s v="Proj."/>
  </r>
  <r>
    <s v="EZK"/>
    <s v="14.01"/>
    <s v="Carbon Capture and Storage"/>
    <n v="6.2850000000000001"/>
    <n v="5.2060000000000004"/>
    <n v="4.08"/>
    <n v="4.68"/>
    <n v="6.48"/>
    <n v="5.48"/>
    <n v="5.48"/>
    <n v="100"/>
    <x v="3"/>
    <s v="Energie"/>
    <s v="O/IO"/>
    <s v="Proj."/>
  </r>
  <r>
    <s v="EZK"/>
    <s v="14.01"/>
    <s v="Hoge Flux Reactor"/>
    <n v="7.4509999999999996"/>
    <n v="6.4009999999999998"/>
    <n v="6.4009999999999998"/>
    <n v="6.4009999999999998"/>
    <n v="5.4009999999999998"/>
    <n v="5.4009999999999998"/>
    <n v="5.4009999999999998"/>
    <n v="100"/>
    <x v="3"/>
    <s v="Energie"/>
    <s v="HFR/NRG"/>
    <s v="Inst."/>
  </r>
  <r>
    <s v="EZK"/>
    <s v="14.06"/>
    <s v="O&amp;O bodembeheer"/>
    <n v="2.81"/>
    <n v="4.3419999999999996"/>
    <n v="4.2110000000000003"/>
    <n v="3.87"/>
    <n v="3.87"/>
    <n v="3.87"/>
    <n v="3.87"/>
    <n v="100"/>
    <x v="3"/>
    <s v="Energie"/>
    <s v="Proj."/>
    <s v="Proj."/>
  </r>
  <r>
    <s v="EZK"/>
    <s v="14.10"/>
    <s v="Bijdrage aan ECN, zie hierboven bij verdeling TNO"/>
    <m/>
    <m/>
    <m/>
    <m/>
    <m/>
    <m/>
    <m/>
    <n v="100"/>
    <x v="3"/>
    <s v="Energie"/>
    <s v="ECN"/>
    <s v="Inst."/>
  </r>
  <r>
    <s v="EZK"/>
    <s v="14.06"/>
    <s v="Onderzoek &amp; opdrachten: Onderzoeksprojecten K&amp;E"/>
    <n v="1.53"/>
    <n v="1.6080000000000001"/>
    <n v="1.9470000000000001"/>
    <n v="1.9470000000000001"/>
    <n v="1.9470000000000001"/>
    <n v="2.0219999999999998"/>
    <n v="2.0219999999999998"/>
    <n v="100"/>
    <x v="3"/>
    <s v="Energie"/>
    <s v="Proj."/>
    <s v="Proj."/>
  </r>
  <r>
    <s v="EZK"/>
    <s v="14.08"/>
    <s v="Bijdrage TNO bodembeheer institutionele financiering, zie hierboven bij verdeling TNO"/>
    <m/>
    <m/>
    <m/>
    <m/>
    <m/>
    <m/>
    <m/>
    <n v="100"/>
    <x v="3"/>
    <s v="Energie"/>
    <s v="TNO"/>
    <s v="Inst."/>
  </r>
  <r>
    <s v="EZK"/>
    <s v="14.08"/>
    <s v="Bijdrage TNO bodembeheer projectfinanciering "/>
    <n v="11.882999999999996"/>
    <n v="12.022834362614063"/>
    <n v="10.839901373398465"/>
    <n v="10.766880818508614"/>
    <n v="10.735481979905977"/>
    <n v="10.735481979905977"/>
    <n v="10.526643192921004"/>
    <n v="100"/>
    <x v="3"/>
    <s v="Energie"/>
    <s v="TNO"/>
    <s v="Proj."/>
  </r>
  <r>
    <s v="EZK"/>
    <s v="15.08"/>
    <s v="SodM onderzoek TNO-AGE, zie hierboven bij verdeling TNO"/>
    <m/>
    <m/>
    <m/>
    <m/>
    <m/>
    <m/>
    <m/>
    <n v="100"/>
    <x v="3"/>
    <s v="Energie"/>
    <s v="TNO"/>
    <s v="Inst."/>
  </r>
  <r>
    <s v="EZK"/>
    <m/>
    <s v="Nationale cofinanciering EU Innovation Fund"/>
    <n v="0"/>
    <n v="0"/>
    <n v="0"/>
    <n v="0"/>
    <n v="0"/>
    <n v="0"/>
    <n v="0"/>
    <n v="100"/>
    <x v="3"/>
    <s v="Energie"/>
    <s v="IO"/>
    <s v="Proj."/>
  </r>
  <r>
    <s v="LNV"/>
    <s v="16.06"/>
    <s v="Plantaardige productie: FES innovatieprogramma energie"/>
    <n v="5.7610000000000001"/>
    <n v="17.225000000000001"/>
    <n v="8.5030000000000001"/>
    <n v="11.788"/>
    <n v="11.909000000000001"/>
    <n v="11.909000000000001"/>
    <n v="14.909000000000001"/>
    <n v="100"/>
    <x v="22"/>
    <s v="Industriële productie en technologie"/>
    <s v="SO"/>
    <s v="Proj."/>
  </r>
  <r>
    <s v="LNV"/>
    <s v="16.06"/>
    <s v="Dierenwelzijn: dierproeven (opdrachten)"/>
    <n v="0.40400000000000003"/>
    <n v="0.63200000000000001"/>
    <n v="1.002"/>
    <n v="1.202"/>
    <n v="1.3919999999999999"/>
    <n v="1.3919999999999999"/>
    <n v="1.3919999999999999"/>
    <n v="100"/>
    <x v="22"/>
    <s v="Industriële productie en technologie"/>
    <s v="SO"/>
    <s v="Proj."/>
  </r>
  <r>
    <s v="LNV"/>
    <s v="U22"/>
    <s v="Dierenwelzijn: project dierenwelzijn landbouwhuisd."/>
    <n v="0.41299999999999998"/>
    <n v="0.503"/>
    <n v="0.503"/>
    <n v="0.503"/>
    <n v="0.503"/>
    <n v="0.503"/>
    <n v="0.503"/>
    <n v="100"/>
    <x v="22"/>
    <s v="Industriële productie en technologie"/>
    <s v="SO"/>
    <s v="Proj."/>
  </r>
  <r>
    <s v="LNV"/>
    <s v="U22"/>
    <s v="Innovatieprogramma visserij"/>
    <n v="1.452"/>
    <n v="0.63"/>
    <n v="2"/>
    <n v="1.6"/>
    <n v="1.6"/>
    <n v="0.71199999999999997"/>
    <n v="0"/>
    <n v="100"/>
    <x v="23"/>
    <s v="Landbouw"/>
    <s v="NWO"/>
    <s v="Proj."/>
  </r>
  <r>
    <s v="LNV"/>
    <s v="U22"/>
    <s v="Duurzame Visserij: Noordzeeakkoord (KD)"/>
    <n v="0"/>
    <n v="0.15390000000000001"/>
    <n v="3.6723000000000003"/>
    <n v="3.8803000000000001"/>
    <n v="0.44430000000000003"/>
    <n v="0.41690000000000005"/>
    <n v="0.37690000000000001"/>
    <n v="10"/>
    <x v="23"/>
    <s v="Landbouw"/>
    <s v="O"/>
    <s v="Proj."/>
  </r>
  <r>
    <s v="LNV"/>
    <s v="U22"/>
    <s v="Duurzame Visserij: projecten visserij"/>
    <n v="4.7500000000000001E-2"/>
    <n v="9.1249999999999998E-2"/>
    <n v="0.23230000000000001"/>
    <n v="9.0800000000000006E-2"/>
    <n v="0.10280000000000002"/>
    <n v="0.12155000000000001"/>
    <n v="0.14530000000000001"/>
    <n v="5"/>
    <x v="23"/>
    <s v="Landbouw"/>
    <s v="O"/>
    <s v="Proj."/>
  </r>
  <r>
    <s v="LNV"/>
    <s v="16.02"/>
    <s v="Europees fonds voor maritieme zaken en visserij"/>
    <n v="8.6379999999999999"/>
    <n v="5.9489999999999998"/>
    <n v="5.8449999999999998"/>
    <n v="5.86"/>
    <n v="5.86"/>
    <n v="5.86"/>
    <n v="5.86"/>
    <n v="100"/>
    <x v="23"/>
    <s v="Landbouw"/>
    <s v="O"/>
    <s v="Proj."/>
  </r>
  <r>
    <s v="LNV"/>
    <s v="16.40"/>
    <s v="Kennisbasis: kennisbasis"/>
    <n v="26.85"/>
    <n v="27.564"/>
    <n v="27.422999999999998"/>
    <n v="28.367000000000001"/>
    <n v="28.367000000000001"/>
    <n v="28.367000000000001"/>
    <n v="28.367000000000001"/>
    <n v="100"/>
    <x v="24"/>
    <s v="Landbouw"/>
    <s v="DLO"/>
    <s v="Inst."/>
  </r>
  <r>
    <s v="LNV"/>
    <s v="16.40"/>
    <s v="Kennisbasis: autonome bijdragen"/>
    <n v="3.8889999999999998"/>
    <n v="4.335"/>
    <n v="4.17"/>
    <n v="4.4139999999999997"/>
    <n v="4.4139999999999997"/>
    <n v="4.4139999999999997"/>
    <n v="4.4139999999999997"/>
    <n v="100"/>
    <x v="24"/>
    <s v="Landbouw"/>
    <s v="DLO"/>
    <s v="Inst."/>
  </r>
  <r>
    <s v="LNV"/>
    <s v="16.40"/>
    <s v="Wettelijke onderzoekstaken"/>
    <n v="64.873999999999995"/>
    <n v="62.948999999999998"/>
    <n v="70.231999999999999"/>
    <n v="70.233000000000004"/>
    <n v="70.132999999999996"/>
    <n v="70.05"/>
    <n v="69.914000000000001"/>
    <n v="100"/>
    <x v="23"/>
    <s v="Landbouw"/>
    <s v="DLO"/>
    <s v="Proj."/>
  </r>
  <r>
    <s v="LNV"/>
    <s v="16.40"/>
    <s v="Onderzoeksprogrammering"/>
    <n v="50.094999999999999"/>
    <n v="47.238"/>
    <n v="28.844000000000001"/>
    <n v="21.132000000000001"/>
    <n v="19.289000000000001"/>
    <n v="17.577999999999999"/>
    <n v="17.577999999999999"/>
    <n v="100"/>
    <x v="23"/>
    <s v="Landbouw "/>
    <s v="DLO"/>
    <s v="Proj."/>
  </r>
  <r>
    <s v="LNV"/>
    <s v="16.40"/>
    <s v="Topsectoren"/>
    <n v="62.569000000000003"/>
    <n v="66.807000000000002"/>
    <n v="66.784000000000006"/>
    <n v="64.995000000000005"/>
    <n v="64.995000000000005"/>
    <n v="64.995000000000005"/>
    <n v="64.995000000000005"/>
    <n v="100"/>
    <x v="23"/>
    <s v="Landbouw "/>
    <s v="DLO"/>
    <s v="Proj."/>
  </r>
  <r>
    <s v="LNV"/>
    <s v="16.40"/>
    <s v="Bijdrage aan ZonMw voor dierproeven"/>
    <n v="0"/>
    <n v="8.0000000000000002E-3"/>
    <n v="1.4999999999999999E-2"/>
    <n v="0.28899999999999998"/>
    <n v="0.56100000000000005"/>
    <n v="0.58799999999999997"/>
    <n v="0.97399999999999998"/>
    <n v="100"/>
    <x v="23"/>
    <s v="Landbouw "/>
    <s v="ZonMw"/>
    <s v="Proj."/>
  </r>
  <r>
    <s v="LNV"/>
    <s v="16.40"/>
    <s v="Agrokennis: onderzoeksprojecten"/>
    <n v="2.1019999999999999"/>
    <n v="1.7210000000000001"/>
    <n v="1.59"/>
    <n v="2.0249999999999999"/>
    <n v="2.4860000000000002"/>
    <n v="2.6269999999999998"/>
    <n v="2.206"/>
    <n v="100"/>
    <x v="23"/>
    <s v="Landbouw "/>
    <s v="O"/>
    <s v="Proj."/>
  </r>
  <r>
    <s v="LNV"/>
    <s v="16.40"/>
    <s v="Agrokennis: Onderzoeksprojecten RVO"/>
    <n v="0.24099999999999999"/>
    <n v="0"/>
    <n v="0"/>
    <n v="0"/>
    <n v="0"/>
    <n v="0"/>
    <n v="0"/>
    <n v="100"/>
    <x v="23"/>
    <s v="Landbouw"/>
    <s v="O"/>
    <s v="Proj."/>
  </r>
  <r>
    <s v="LNV"/>
    <s v="16.40"/>
    <s v="Agrokennis: innovatieprojecten"/>
    <n v="1.1160000000000001"/>
    <n v="2.516"/>
    <n v="2.879"/>
    <n v="2.879"/>
    <n v="2.9289999999999998"/>
    <n v="3.073"/>
    <n v="3.073"/>
    <n v="100"/>
    <x v="23"/>
    <s v="Landbouw "/>
    <s v="O"/>
    <s v="Proj."/>
  </r>
  <r>
    <s v="LNV"/>
    <s v="16.40"/>
    <s v="Agrokennis: basisfinanciering overige kennisinstellingen"/>
    <n v="0.01"/>
    <n v="-5.7000000000000002E-2"/>
    <n v="2.1819999999999999"/>
    <n v="2.101"/>
    <n v="2.101"/>
    <n v="1.98"/>
    <n v="1.98"/>
    <n v="100"/>
    <x v="23"/>
    <s v="Landbouw "/>
    <s v="O"/>
    <s v="Proj."/>
  </r>
  <r>
    <s v="LNV"/>
    <s v="16.40"/>
    <s v="Agrokennis: vernieuwen onderzoeksinfrastructuur"/>
    <n v="0"/>
    <n v="0.20100000000000001"/>
    <n v="0.20100000000000001"/>
    <n v="0.20100000000000001"/>
    <n v="0.20100000000000001"/>
    <n v="0.20100000000000001"/>
    <n v="0.20100000000000001"/>
    <n v="100"/>
    <x v="23"/>
    <s v="Landbouw "/>
    <s v="O"/>
    <s v="Proj."/>
  </r>
  <r>
    <s v="LNV"/>
    <s v="16.40"/>
    <s v="Agrokennis: RVO vernieuwen onderzoeksinfrastructuur"/>
    <n v="0"/>
    <n v="0"/>
    <n v="0"/>
    <n v="0"/>
    <n v="0"/>
    <n v="0"/>
    <n v="0"/>
    <n v="100"/>
    <x v="23"/>
    <s v="Landbouw "/>
    <s v="O"/>
    <s v="Proj."/>
  </r>
  <r>
    <s v="LNV"/>
    <s v="16.40"/>
    <s v="Agrokennis: ontwikkelen kennisbeleid"/>
    <n v="0.89800000000000002"/>
    <n v="1.9810000000000001"/>
    <n v="1.9810000000000001"/>
    <n v="2.3809999999999998"/>
    <n v="2.3809999999999998"/>
    <n v="2.3809999999999998"/>
    <n v="2.3809999999999998"/>
    <n v="100"/>
    <x v="23"/>
    <s v="Landbouw "/>
    <s v="O"/>
    <s v="Proj."/>
  </r>
  <r>
    <s v="LNV"/>
    <s v="16.40"/>
    <s v="Agrokennis: innovatienetwerk kpl. 290100"/>
    <n v="0"/>
    <n v="0"/>
    <n v="0"/>
    <n v="0"/>
    <n v="0"/>
    <n v="0"/>
    <n v="0"/>
    <n v="100"/>
    <x v="23"/>
    <s v="Landbouw "/>
    <s v="O"/>
    <s v="Proj."/>
  </r>
  <r>
    <s v="LNV"/>
    <s v="16.40"/>
    <s v="Opdrachtverlening via RIVM"/>
    <n v="9.4909999999999997"/>
    <n v="10.012"/>
    <n v="4.7130000000000001"/>
    <n v="4.1630000000000003"/>
    <n v="4.1539999999999999"/>
    <n v="3.27"/>
    <n v="2.97"/>
    <n v="100"/>
    <x v="23"/>
    <s v="Landbouw "/>
    <s v="O"/>
    <s v="Proj."/>
  </r>
  <r>
    <s v="SZW"/>
    <n v="1"/>
    <s v="Arbeidsmarkt"/>
    <n v="5.0780000000000003"/>
    <n v="4.72"/>
    <n v="8.4700000000000006"/>
    <n v="8.4700000000000006"/>
    <n v="8.4700000000000006"/>
    <n v="8.4700000000000006"/>
    <n v="8.4700000000000006"/>
    <n v="100"/>
    <x v="18"/>
    <s v="Gezondheid"/>
    <s v="TNO/RIVM"/>
    <s v="Inst."/>
  </r>
  <r>
    <s v="SZW"/>
    <n v="1"/>
    <s v="Arbeidsmarkt"/>
    <n v="2.2290000000000001"/>
    <n v="2.891"/>
    <n v="2.879"/>
    <n v="3.4489999999999998"/>
    <n v="3.323"/>
    <n v="3.2040000000000002"/>
    <n v="3.1709999999999998"/>
    <n v="100"/>
    <x v="0"/>
    <s v="Politieke en soc. systemen, structuren/processen"/>
    <s v="O"/>
    <s v="Proj."/>
  </r>
  <r>
    <s v="SZW"/>
    <n v="1"/>
    <s v="Arbeidsmarkt"/>
    <n v="0.45"/>
    <n v="0.45"/>
    <n v="0.45"/>
    <n v="0.45"/>
    <n v="0"/>
    <n v="0"/>
    <n v="0"/>
    <n v="100"/>
    <x v="0"/>
    <s v="Politieke en soc. systemen, structuren/processen"/>
    <s v="Netspar"/>
    <s v="Proj."/>
  </r>
  <r>
    <s v="SZW"/>
    <n v="7"/>
    <s v="Kinderopvang"/>
    <n v="1.556"/>
    <n v="2.0270000000000001"/>
    <n v="2"/>
    <n v="2"/>
    <n v="2"/>
    <n v="2"/>
    <n v="2"/>
    <n v="100"/>
    <x v="0"/>
    <s v="Politieke en soc. systemen, structuren/processen"/>
    <s v="O"/>
    <s v="Proj."/>
  </r>
  <r>
    <s v="SZW"/>
    <n v="13"/>
    <s v="Samenleving en integratie"/>
    <n v="0.27800000000000002"/>
    <n v="0.14199999999999999"/>
    <n v="0.5"/>
    <n v="0.5"/>
    <n v="0.5"/>
    <n v="0.5"/>
    <n v="0.5"/>
    <n v="100"/>
    <x v="0"/>
    <s v="Politieke en soc. systemen, structuren/processen"/>
    <s v="O"/>
    <s v="Proj."/>
  </r>
  <r>
    <s v="SZW"/>
    <n v="2"/>
    <s v="Bijstand, Participatie en Toeslagenwet"/>
    <n v="3.7509999999999999"/>
    <n v="3.7480000000000002"/>
    <n v="3.121"/>
    <n v="3.4"/>
    <n v="2.2000000000000002"/>
    <n v="2.2000000000000002"/>
    <n v="3.734"/>
    <n v="100"/>
    <x v="0"/>
    <s v="Politieke en soc. systemen, structuren/processen"/>
    <s v="O"/>
    <s v="Proj."/>
  </r>
  <r>
    <s v="VWS"/>
    <s v="BKZ"/>
    <s v="Beschikbaarheidsbijdrage academische zorg"/>
    <n v="22"/>
    <n v="22"/>
    <n v="22"/>
    <n v="22"/>
    <n v="22"/>
    <n v="22"/>
    <n v="22"/>
    <n v="2.6"/>
    <x v="12"/>
    <s v="Medische wetenschappen"/>
    <s v="UMC"/>
    <s v="Inst."/>
  </r>
  <r>
    <s v="VWS"/>
    <s v="1.1"/>
    <s v="Nationaal programma preventie"/>
    <n v="7"/>
    <n v="7"/>
    <n v="7"/>
    <n v="7"/>
    <n v="7"/>
    <n v="7"/>
    <n v="7"/>
    <n v="29.1"/>
    <x v="18"/>
    <s v="Gezondheid"/>
    <s v="SO"/>
    <s v="Proj."/>
  </r>
  <r>
    <s v="VWS"/>
    <s v="1.2"/>
    <s v="Ziektepreventie (vaccinonderzoek RIVM en InTraVacc)"/>
    <n v="20"/>
    <n v="37.161000000000001"/>
    <n v="21.73"/>
    <n v="19"/>
    <n v="19"/>
    <n v="19"/>
    <n v="19"/>
    <n v="12.4"/>
    <x v="12"/>
    <s v="Medische wetenschappen"/>
    <s v="RIVM"/>
    <s v="Inst."/>
  </r>
  <r>
    <s v="VWS"/>
    <s v="1.4.1"/>
    <s v="Ethiek"/>
    <n v="8.7829999999999995"/>
    <n v="10.356999999999999"/>
    <n v="10.43"/>
    <n v="9.8949999999999996"/>
    <n v="9.7940000000000005"/>
    <n v="9.7940000000000005"/>
    <n v="9.7940000000000005"/>
    <n v="36.515772152785097"/>
    <x v="18"/>
    <s v="Gezondheid"/>
    <s v="Proj."/>
    <s v="Proj."/>
  </r>
  <r>
    <s v="VWS"/>
    <s v="2.1"/>
    <s v="Kwaliteit, toegankelijkheid en betaalbaarheid van de zorg (NKI)"/>
    <n v="18.100000000000001"/>
    <n v="18.239000000000001"/>
    <n v="18.239000000000001"/>
    <n v="18.239000000000001"/>
    <n v="18.239000000000001"/>
    <n v="18.239000000000001"/>
    <n v="18.239000000000001"/>
    <n v="7.6327220683132602"/>
    <x v="18"/>
    <s v="Gezondheid"/>
    <s v="SO"/>
    <s v="Inst."/>
  </r>
  <r>
    <s v="VWS"/>
    <s v="4.3"/>
    <s v="Kwaliteit en Veiligheid / Instellingssubsidie Nictiz"/>
    <n v="9.3000000000000007"/>
    <n v="9.5"/>
    <n v="9.5"/>
    <n v="9.5"/>
    <n v="9.5"/>
    <n v="9.5"/>
    <n v="9.5"/>
    <n v="66.447506469888793"/>
    <x v="18"/>
    <s v="Gezondheid"/>
    <s v="SO"/>
    <s v="Inst."/>
  </r>
  <r>
    <s v="VWS"/>
    <s v="1.1"/>
    <s v="Kwaliteit, transparantie en kennisontwikkeling (ZonMw: programmering)"/>
    <n v="236.428"/>
    <n v="359.38499999999999"/>
    <n v="299.75900000000001"/>
    <n v="254.02500000000001"/>
    <n v="216.434"/>
    <n v="172.92699999999999"/>
    <n v="162.00899999999999"/>
    <n v="93.104712090669906"/>
    <x v="18"/>
    <s v="Gezondheid"/>
    <s v="ZonMw"/>
    <s v="Proj."/>
  </r>
  <r>
    <s v="VWS"/>
    <s v="4.1"/>
    <s v="Kwaliteit, transparantie en kennisontwikkeling (NIVEL)"/>
    <n v="6.601"/>
    <n v="7.1559999999999997"/>
    <n v="6.4850000000000003"/>
    <n v="5.9930000000000003"/>
    <n v="5.9640000000000004"/>
    <n v="5.9329999999999998"/>
    <n v="5.9329999999999998"/>
    <n v="17.7880791068931"/>
    <x v="18"/>
    <s v="Gezondheid"/>
    <s v="NIVEL"/>
    <s v="Inst."/>
  </r>
  <r>
    <s v="VWS"/>
    <s v="4.3"/>
    <s v="ZonMW: (topsectoren)"/>
    <n v="15.3"/>
    <n v="23"/>
    <n v="22.2"/>
    <n v="21.9"/>
    <n v="22.4"/>
    <n v="22.4"/>
    <n v="22.4"/>
    <n v="6.9"/>
    <x v="18"/>
    <s v="Gezondheid"/>
    <s v="ZonMw"/>
    <s v="Proj."/>
  </r>
  <r>
    <s v="VWS"/>
    <s v="6.4"/>
    <s v="Sport verenigt Nederland"/>
    <n v="0"/>
    <n v="0"/>
    <n v="0"/>
    <n v="5.3"/>
    <n v="5.5"/>
    <n v="5.5"/>
    <n v="5.5"/>
    <n v="0"/>
    <x v="18"/>
    <s v="Gezondheid"/>
    <s v="Proj."/>
    <s v="Proj."/>
  </r>
  <r>
    <s v="VWS"/>
    <s v="9.3"/>
    <s v="Strategisch onderzoek RIVM"/>
    <n v="12.506"/>
    <n v="12.833"/>
    <n v="13.97638139798746"/>
    <n v="15.107169185114424"/>
    <n v="15.107169185114424"/>
    <n v="15.107169185114424"/>
    <n v="15.107169185114424"/>
    <n v="97.3"/>
    <x v="12"/>
    <s v="Medische wetenschappen"/>
    <s v="RIVM"/>
    <s v="Inst."/>
  </r>
  <r>
    <s v="NGF"/>
    <n v="2"/>
    <s v="Artikel 2 R&amp;D en innovatie subsidies onverdeeld"/>
    <n v="0"/>
    <n v="0.12453075027312456"/>
    <n v="5.3598340816407859"/>
    <n v="8.3922819133004793"/>
    <n v="11.371911314774632"/>
    <n v="11.854528250876358"/>
    <n v="9.5044448026133299"/>
    <n v="50"/>
    <x v="1"/>
    <s v="Mogelijk alle"/>
    <s v="Alle"/>
    <s v="Proj. "/>
  </r>
  <r>
    <s v="NGF"/>
    <n v="2"/>
    <s v="Artikel 2 R&amp;D en innovatie subsidies onverdeeld"/>
    <n v="0"/>
    <n v="0.17392609599328387"/>
    <n v="3.4807537431345894"/>
    <n v="5.8335668561706981"/>
    <n v="7.9685910669214897"/>
    <n v="8.7650663173065819"/>
    <n v="6.6723863292234746"/>
    <n v="50"/>
    <x v="21"/>
    <s v="Mogelijk alle"/>
    <s v="Alle"/>
    <s v="Proj. "/>
  </r>
  <r>
    <s v="NGF"/>
    <n v="2"/>
    <s v="Artikel 2 R&amp;D en innovatie subsidies onverdeeld"/>
    <n v="0"/>
    <n v="0.56572856268803962"/>
    <n v="13.449438483771862"/>
    <n v="21.256266913548025"/>
    <n v="29.439656576755354"/>
    <n v="31.353347518225842"/>
    <n v="25.585350634554274"/>
    <n v="50"/>
    <x v="2"/>
    <s v="Mogelijk alle"/>
    <s v="Alle"/>
    <s v="Proj. "/>
  </r>
  <r>
    <s v="NGF"/>
    <n v="2"/>
    <s v="Artikel 2 R&amp;D en innovatie subsidies onverdeeld"/>
    <n v="0"/>
    <n v="0.38311274898623793"/>
    <n v="9.9239920540713484"/>
    <n v="14.447917731235149"/>
    <n v="20.799595474616396"/>
    <n v="19.387688547909008"/>
    <n v="12.474646429523595"/>
    <n v="50"/>
    <x v="20"/>
    <s v="Mogelijk alle"/>
    <s v="Alle"/>
    <s v="Proj. "/>
  </r>
  <r>
    <s v="NGF"/>
    <n v="2"/>
    <s v="Artikel 2 R&amp;D en innovatie subsidies onverdeeld"/>
    <n v="0"/>
    <n v="0.56454874970500502"/>
    <n v="16.234137067919498"/>
    <n v="24.666269136239503"/>
    <n v="32.39817377901128"/>
    <n v="30.191650628120556"/>
    <n v="22.316106387431049"/>
    <n v="50"/>
    <x v="3"/>
    <s v="Mogelijk alle"/>
    <s v="Alle"/>
    <s v="Proj. "/>
  </r>
  <r>
    <s v="NGF"/>
    <n v="2"/>
    <s v="Artikel 2 R&amp;D en innovatie subsidies onverdeeld"/>
    <n v="0"/>
    <n v="2.2014503389279492"/>
    <n v="55.780173832456612"/>
    <n v="87.375861928472517"/>
    <n v="120.77935744033859"/>
    <n v="122.87628211050436"/>
    <n v="101.82984141038847"/>
    <n v="50"/>
    <x v="22"/>
    <s v="Mogelijk alle"/>
    <s v="Alle"/>
    <s v="Proj. "/>
  </r>
  <r>
    <s v="NGF"/>
    <n v="2"/>
    <s v="Artikel 2 R&amp;D en innovatie subsidies onverdeeld"/>
    <n v="0"/>
    <n v="2.0428467715104404"/>
    <n v="44.314998340036361"/>
    <n v="64.050097163349378"/>
    <n v="79.69388019294982"/>
    <n v="73.142455565650764"/>
    <n v="57.399996015067288"/>
    <n v="50"/>
    <x v="18"/>
    <s v="Mogelijk alle"/>
    <s v="Alle"/>
    <s v="Proj. "/>
  </r>
  <r>
    <s v="NGF"/>
    <n v="2"/>
    <s v="Artikel 2 R&amp;D en innovatie subsidies onverdeeld"/>
    <n v="0"/>
    <n v="0.91838435156893017"/>
    <n v="21.626081608958025"/>
    <n v="33.076912210629942"/>
    <n v="44.277530629991496"/>
    <n v="45.948152602847195"/>
    <n v="37.260409241465624"/>
    <n v="50"/>
    <x v="23"/>
    <s v="Mogelijk alle"/>
    <s v="Alle"/>
    <s v="Proj. "/>
  </r>
  <r>
    <s v="NGF"/>
    <n v="2"/>
    <s v="Artikel 2 R&amp;D en innovatie subsidies onverdeeld"/>
    <n v="0"/>
    <n v="0.17571783840867955"/>
    <n v="4.4147172029140691"/>
    <n v="5.9766952390876869"/>
    <n v="8.4396126325891423"/>
    <n v="7.3593253832725178"/>
    <n v="4.369373120223595"/>
    <n v="50"/>
    <x v="17"/>
    <s v="Mogelijk alle"/>
    <s v="Alle"/>
    <s v="Proj. "/>
  </r>
  <r>
    <s v="NGF"/>
    <n v="2"/>
    <s v="Artikel 2 R&amp;D en innovatie subsidies onverdeeld"/>
    <n v="0"/>
    <n v="7.6220303309983556E-2"/>
    <n v="1.824812740591073"/>
    <n v="2.8849504015291001"/>
    <n v="3.9834479922524331"/>
    <n v="4.3671562522676064"/>
    <n v="3.5619244348919623"/>
    <n v="50"/>
    <x v="15"/>
    <s v="Mogelijk alle"/>
    <s v="Alle"/>
    <s v="Proj. "/>
  </r>
  <r>
    <s v="NGF"/>
    <n v="2"/>
    <s v="Artikel 2 R&amp;D en innovatie subsidies onverdeeld"/>
    <n v="0"/>
    <n v="0.36710481435487091"/>
    <n v="8.4719681407849912"/>
    <n v="12.930058213676425"/>
    <n v="17.350949880296092"/>
    <n v="18.419621785140695"/>
    <n v="15.308222112448879"/>
    <n v="50"/>
    <x v="0"/>
    <s v="Mogelijk alle"/>
    <s v="Alle"/>
    <s v="Proj. "/>
  </r>
  <r>
    <s v="NGF"/>
    <n v="2"/>
    <s v="Artikel 2 R&amp;D en innovatie subsidies onverdeeld"/>
    <n v="0"/>
    <n v="4.5861781232225738"/>
    <n v="109.17048973213535"/>
    <n v="170.34980916608106"/>
    <n v="235.83652256320681"/>
    <n v="250.34998546277646"/>
    <n v="201.11656059836125"/>
    <n v="50"/>
    <x v="16"/>
    <s v="Mogelijk alle"/>
    <s v="Alle"/>
    <s v="Proj. "/>
  </r>
  <r>
    <s v="NGF"/>
    <n v="2"/>
    <s v="Artikel 2 R&amp;D en innovatie subsidies onverdeeld"/>
    <n v="0"/>
    <n v="0.33675055105088236"/>
    <n v="8.4666029715854343"/>
    <n v="14.439313126679988"/>
    <n v="18.98227045629649"/>
    <n v="19.281239575102092"/>
    <n v="15.750738483807174"/>
    <n v="50"/>
    <x v="19"/>
    <s v="Mogelijk alle"/>
    <s v="Alle"/>
    <s v="Proj. "/>
  </r>
  <r>
    <s v="NGF"/>
    <n v="2"/>
    <s v="NGF-project AiNed voorwaardelijke toekenning"/>
    <n v="0"/>
    <n v="0"/>
    <n v="1.98"/>
    <n v="3.96"/>
    <n v="5.94"/>
    <n v="5.94"/>
    <n v="1.98"/>
    <n v="90"/>
    <x v="17"/>
    <m/>
    <s v="U, HBO, O, TO2"/>
    <s v="Proj. "/>
  </r>
  <r>
    <s v="NGF"/>
    <n v="2"/>
    <s v="NGF-project AiNed voorwaardelijke toekenning"/>
    <n v="0"/>
    <n v="0"/>
    <n v="1.98"/>
    <n v="3.96"/>
    <n v="5.94"/>
    <n v="5.94"/>
    <n v="1.98"/>
    <n v="90"/>
    <x v="10"/>
    <m/>
    <s v="U, HBO, O, TO2"/>
    <s v="Proj. "/>
  </r>
  <r>
    <s v="NGF"/>
    <n v="2"/>
    <s v="NGF-project QuantumDeltaNL, voorwaardelijke toekenning"/>
    <n v="0"/>
    <n v="0"/>
    <n v="5.7"/>
    <n v="11.4"/>
    <n v="17.100000000000001"/>
    <n v="17.100000000000001"/>
    <n v="5.7"/>
    <n v="50"/>
    <x v="20"/>
    <m/>
    <s v="U, HBO, O, TO2"/>
    <s v="Proj. "/>
  </r>
  <r>
    <s v="NGF"/>
    <n v="2"/>
    <s v="NGF-project QuantumDeltaNL, voorwaardelijke toekenning"/>
    <n v="0"/>
    <n v="0"/>
    <n v="5.7"/>
    <n v="11.4"/>
    <n v="17.100000000000001"/>
    <n v="17.100000000000001"/>
    <n v="5.7"/>
    <n v="50"/>
    <x v="14"/>
    <m/>
    <s v="U, HBO, O, TO2"/>
    <s v="Proj. "/>
  </r>
  <r>
    <s v="NGF"/>
    <n v="2"/>
    <s v="NGF-project Regmed voorwaardelijke toekenning"/>
    <n v="0"/>
    <n v="0"/>
    <n v="1.7250000000000001"/>
    <n v="2.7749999999999999"/>
    <n v="2.0499999999999998"/>
    <n v="1.2250000000000001"/>
    <n v="0.375"/>
    <n v="50"/>
    <x v="18"/>
    <m/>
    <s v="U, UMC, O"/>
    <s v="Proj. "/>
  </r>
  <r>
    <s v="NGF"/>
    <n v="2"/>
    <s v="NGF-project Regmed voorwaardelijke toekenning"/>
    <n v="0"/>
    <n v="0"/>
    <n v="1.7250000000000001"/>
    <n v="2.7749999999999999"/>
    <n v="2.0499999999999998"/>
    <n v="1.2250000000000001"/>
    <n v="0.375"/>
    <n v="50"/>
    <x v="12"/>
    <m/>
    <s v="U, UMC, O"/>
    <s v="Proj.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Draaitabel1" cacheId="1"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G29" firstHeaderRow="0" firstDataRow="1" firstDataCol="1"/>
  <pivotFields count="15">
    <pivotField showAll="0"/>
    <pivotField showAll="0"/>
    <pivotField showAll="0"/>
    <pivotField dataField="1" showAll="0"/>
    <pivotField dataField="1" showAll="0"/>
    <pivotField dataField="1" showAll="0"/>
    <pivotField dataField="1" showAll="0"/>
    <pivotField dataField="1" showAll="0"/>
    <pivotField dataField="1" showAll="0"/>
    <pivotField showAll="0" defaultSubtotal="0"/>
    <pivotField showAll="0"/>
    <pivotField axis="axisRow" showAll="0">
      <items count="26">
        <item x="1"/>
        <item x="21"/>
        <item x="2"/>
        <item x="20"/>
        <item x="3"/>
        <item x="22"/>
        <item x="18"/>
        <item x="23"/>
        <item x="17"/>
        <item x="15"/>
        <item x="0"/>
        <item x="19"/>
        <item x="4"/>
        <item x="5"/>
        <item x="6"/>
        <item x="7"/>
        <item x="8"/>
        <item x="9"/>
        <item x="16"/>
        <item x="11"/>
        <item x="14"/>
        <item x="12"/>
        <item x="24"/>
        <item x="10"/>
        <item x="13"/>
        <item t="default"/>
      </items>
    </pivotField>
    <pivotField showAll="0"/>
    <pivotField showAll="0"/>
    <pivotField showAll="0"/>
  </pivotFields>
  <rowFields count="1">
    <field x="11"/>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2"/>
  </colFields>
  <colItems count="6">
    <i>
      <x/>
    </i>
    <i i="1">
      <x v="1"/>
    </i>
    <i i="2">
      <x v="2"/>
    </i>
    <i i="3">
      <x v="3"/>
    </i>
    <i i="4">
      <x v="4"/>
    </i>
    <i i="5">
      <x v="5"/>
    </i>
  </colItems>
  <dataFields count="6">
    <dataField name="Som van 2021" fld="3" baseField="11" baseItem="0"/>
    <dataField name="Som van 2022" fld="4" baseField="11" baseItem="0"/>
    <dataField name="Som van 2023" fld="5" baseField="11" baseItem="0"/>
    <dataField name="Som van 2024" fld="6" baseField="11" baseItem="0"/>
    <dataField name="Som van 2025" fld="7" baseField="11" baseItem="0"/>
    <dataField name="Som van 2026" fld="8" baseField="1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16" firstHeaderRow="1" firstDataRow="2" firstDataCol="1"/>
  <pivotFields count="15">
    <pivotField axis="axisRow" showAll="0">
      <items count="12">
        <item x="0"/>
        <item x="3"/>
        <item x="1"/>
        <item x="5"/>
        <item x="7"/>
        <item x="6"/>
        <item x="2"/>
        <item x="8"/>
        <item x="4"/>
        <item x="9"/>
        <item x="10"/>
        <item t="default"/>
      </items>
    </pivotField>
    <pivotField showAll="0"/>
    <pivotField showAll="0"/>
    <pivotField showAll="0"/>
    <pivotField showAll="0">
      <items count="201">
        <item x="46"/>
        <item x="119"/>
        <item x="117"/>
        <item x="60"/>
        <item x="156"/>
        <item x="76"/>
        <item x="10"/>
        <item x="199"/>
        <item x="84"/>
        <item x="198"/>
        <item x="183"/>
        <item x="63"/>
        <item x="61"/>
        <item x="99"/>
        <item x="154"/>
        <item x="124"/>
        <item x="177"/>
        <item x="42"/>
        <item x="78"/>
        <item x="129"/>
        <item x="97"/>
        <item x="77"/>
        <item x="1"/>
        <item x="82"/>
        <item x="53"/>
        <item x="91"/>
        <item x="67"/>
        <item x="74"/>
        <item x="71"/>
        <item x="141"/>
        <item x="182"/>
        <item x="148"/>
        <item x="65"/>
        <item x="57"/>
        <item x="98"/>
        <item x="143"/>
        <item x="64"/>
        <item x="149"/>
        <item x="123"/>
        <item x="62"/>
        <item x="0"/>
        <item x="14"/>
        <item x="87"/>
        <item x="55"/>
        <item x="90"/>
        <item x="174"/>
        <item x="80"/>
        <item x="115"/>
        <item x="164"/>
        <item x="47"/>
        <item x="75"/>
        <item x="81"/>
        <item x="9"/>
        <item x="79"/>
        <item x="66"/>
        <item x="138"/>
        <item x="72"/>
        <item x="142"/>
        <item x="163"/>
        <item x="106"/>
        <item x="118"/>
        <item x="92"/>
        <item x="126"/>
        <item x="125"/>
        <item x="157"/>
        <item x="152"/>
        <item x="144"/>
        <item x="178"/>
        <item x="190"/>
        <item x="160"/>
        <item x="83"/>
        <item x="2"/>
        <item x="184"/>
        <item x="54"/>
        <item x="116"/>
        <item x="172"/>
        <item x="176"/>
        <item x="173"/>
        <item x="137"/>
        <item x="24"/>
        <item x="175"/>
        <item x="181"/>
        <item x="13"/>
        <item x="89"/>
        <item x="150"/>
        <item x="93"/>
        <item x="153"/>
        <item x="130"/>
        <item x="43"/>
        <item x="6"/>
        <item x="86"/>
        <item x="140"/>
        <item x="11"/>
        <item x="166"/>
        <item x="188"/>
        <item x="127"/>
        <item x="85"/>
        <item x="122"/>
        <item x="45"/>
        <item x="44"/>
        <item x="165"/>
        <item x="197"/>
        <item x="73"/>
        <item x="168"/>
        <item x="180"/>
        <item x="5"/>
        <item x="179"/>
        <item x="139"/>
        <item x="113"/>
        <item x="94"/>
        <item x="48"/>
        <item x="158"/>
        <item x="69"/>
        <item x="4"/>
        <item x="88"/>
        <item x="193"/>
        <item x="162"/>
        <item x="40"/>
        <item x="70"/>
        <item x="7"/>
        <item x="58"/>
        <item x="186"/>
        <item x="196"/>
        <item x="151"/>
        <item x="146"/>
        <item x="120"/>
        <item x="37"/>
        <item x="128"/>
        <item x="136"/>
        <item x="155"/>
        <item x="161"/>
        <item x="41"/>
        <item x="31"/>
        <item x="51"/>
        <item x="191"/>
        <item x="15"/>
        <item x="52"/>
        <item x="22"/>
        <item x="195"/>
        <item x="19"/>
        <item x="17"/>
        <item x="8"/>
        <item x="105"/>
        <item x="134"/>
        <item x="132"/>
        <item x="33"/>
        <item x="187"/>
        <item x="21"/>
        <item x="145"/>
        <item x="194"/>
        <item x="18"/>
        <item x="96"/>
        <item x="189"/>
        <item x="100"/>
        <item x="159"/>
        <item x="111"/>
        <item x="107"/>
        <item x="59"/>
        <item x="147"/>
        <item x="23"/>
        <item x="170"/>
        <item x="109"/>
        <item x="185"/>
        <item x="103"/>
        <item x="36"/>
        <item x="167"/>
        <item x="135"/>
        <item x="114"/>
        <item x="112"/>
        <item x="110"/>
        <item x="95"/>
        <item x="3"/>
        <item x="27"/>
        <item x="39"/>
        <item x="68"/>
        <item x="16"/>
        <item x="49"/>
        <item x="35"/>
        <item x="34"/>
        <item x="133"/>
        <item x="29"/>
        <item x="131"/>
        <item x="56"/>
        <item x="104"/>
        <item x="50"/>
        <item x="171"/>
        <item x="101"/>
        <item x="28"/>
        <item x="20"/>
        <item x="102"/>
        <item x="121"/>
        <item x="169"/>
        <item x="108"/>
        <item x="32"/>
        <item x="26"/>
        <item x="38"/>
        <item x="30"/>
        <item x="25"/>
        <item x="192"/>
        <item x="12"/>
        <item t="default"/>
      </items>
    </pivotField>
    <pivotField showAll="0">
      <items count="195">
        <item x="46"/>
        <item x="121"/>
        <item x="61"/>
        <item x="78"/>
        <item x="10"/>
        <item x="193"/>
        <item x="192"/>
        <item x="86"/>
        <item x="65"/>
        <item x="62"/>
        <item x="103"/>
        <item x="138"/>
        <item x="172"/>
        <item x="42"/>
        <item x="80"/>
        <item x="1"/>
        <item x="149"/>
        <item x="101"/>
        <item x="76"/>
        <item x="84"/>
        <item x="79"/>
        <item x="53"/>
        <item x="139"/>
        <item x="93"/>
        <item x="69"/>
        <item x="167"/>
        <item x="73"/>
        <item x="158"/>
        <item x="177"/>
        <item x="67"/>
        <item x="82"/>
        <item x="169"/>
        <item x="57"/>
        <item x="102"/>
        <item x="66"/>
        <item x="127"/>
        <item x="144"/>
        <item x="0"/>
        <item x="63"/>
        <item x="135"/>
        <item x="178"/>
        <item x="14"/>
        <item x="55"/>
        <item x="122"/>
        <item x="92"/>
        <item x="9"/>
        <item x="47"/>
        <item x="77"/>
        <item x="83"/>
        <item x="68"/>
        <item x="89"/>
        <item x="168"/>
        <item x="134"/>
        <item x="157"/>
        <item x="91"/>
        <item x="94"/>
        <item x="143"/>
        <item x="58"/>
        <item x="147"/>
        <item x="85"/>
        <item x="74"/>
        <item x="110"/>
        <item x="129"/>
        <item x="173"/>
        <item x="154"/>
        <item x="179"/>
        <item x="151"/>
        <item x="81"/>
        <item x="148"/>
        <item x="54"/>
        <item x="98"/>
        <item x="176"/>
        <item x="24"/>
        <item x="88"/>
        <item x="11"/>
        <item x="171"/>
        <item x="13"/>
        <item x="72"/>
        <item x="96"/>
        <item x="45"/>
        <item x="43"/>
        <item x="6"/>
        <item x="161"/>
        <item x="137"/>
        <item x="170"/>
        <item x="126"/>
        <item x="2"/>
        <item x="44"/>
        <item x="5"/>
        <item x="159"/>
        <item x="191"/>
        <item x="87"/>
        <item x="75"/>
        <item x="145"/>
        <item x="120"/>
        <item x="136"/>
        <item x="163"/>
        <item x="175"/>
        <item x="174"/>
        <item x="31"/>
        <item x="95"/>
        <item x="160"/>
        <item x="97"/>
        <item x="48"/>
        <item x="152"/>
        <item x="4"/>
        <item x="71"/>
        <item x="59"/>
        <item x="187"/>
        <item x="185"/>
        <item x="40"/>
        <item x="7"/>
        <item x="115"/>
        <item x="183"/>
        <item x="181"/>
        <item x="128"/>
        <item x="155"/>
        <item x="190"/>
        <item x="90"/>
        <item x="118"/>
        <item x="146"/>
        <item x="37"/>
        <item x="124"/>
        <item x="140"/>
        <item x="52"/>
        <item x="150"/>
        <item x="41"/>
        <item x="51"/>
        <item x="15"/>
        <item x="8"/>
        <item x="22"/>
        <item x="189"/>
        <item x="19"/>
        <item x="17"/>
        <item x="141"/>
        <item x="33"/>
        <item x="182"/>
        <item x="21"/>
        <item x="156"/>
        <item x="109"/>
        <item x="123"/>
        <item x="18"/>
        <item x="184"/>
        <item x="188"/>
        <item x="165"/>
        <item x="133"/>
        <item x="104"/>
        <item x="100"/>
        <item x="116"/>
        <item x="131"/>
        <item x="142"/>
        <item x="23"/>
        <item x="111"/>
        <item x="180"/>
        <item x="107"/>
        <item x="36"/>
        <item x="153"/>
        <item x="119"/>
        <item x="162"/>
        <item x="117"/>
        <item x="113"/>
        <item x="39"/>
        <item x="3"/>
        <item x="70"/>
        <item x="60"/>
        <item x="114"/>
        <item x="27"/>
        <item x="35"/>
        <item x="16"/>
        <item x="49"/>
        <item x="132"/>
        <item x="34"/>
        <item x="99"/>
        <item x="130"/>
        <item x="108"/>
        <item x="29"/>
        <item x="56"/>
        <item x="50"/>
        <item x="105"/>
        <item x="38"/>
        <item x="28"/>
        <item x="166"/>
        <item x="20"/>
        <item x="106"/>
        <item x="32"/>
        <item x="164"/>
        <item x="125"/>
        <item x="112"/>
        <item x="26"/>
        <item x="30"/>
        <item x="25"/>
        <item x="186"/>
        <item x="64"/>
        <item x="12"/>
        <item t="default"/>
      </items>
    </pivotField>
    <pivotField showAll="0">
      <items count="193">
        <item x="46"/>
        <item x="119"/>
        <item x="100"/>
        <item x="76"/>
        <item x="10"/>
        <item x="191"/>
        <item x="190"/>
        <item x="84"/>
        <item x="63"/>
        <item x="60"/>
        <item x="101"/>
        <item x="138"/>
        <item x="169"/>
        <item x="42"/>
        <item x="78"/>
        <item x="139"/>
        <item x="1"/>
        <item x="149"/>
        <item x="99"/>
        <item x="82"/>
        <item x="77"/>
        <item x="53"/>
        <item x="91"/>
        <item x="67"/>
        <item x="80"/>
        <item x="71"/>
        <item x="174"/>
        <item x="74"/>
        <item x="65"/>
        <item x="120"/>
        <item x="175"/>
        <item x="158"/>
        <item x="57"/>
        <item x="64"/>
        <item x="125"/>
        <item x="144"/>
        <item x="0"/>
        <item x="61"/>
        <item x="135"/>
        <item x="14"/>
        <item x="75"/>
        <item x="55"/>
        <item x="47"/>
        <item x="9"/>
        <item x="127"/>
        <item x="90"/>
        <item x="81"/>
        <item x="66"/>
        <item x="134"/>
        <item x="157"/>
        <item x="79"/>
        <item x="89"/>
        <item x="143"/>
        <item x="44"/>
        <item x="88"/>
        <item x="87"/>
        <item x="86"/>
        <item x="72"/>
        <item x="83"/>
        <item x="166"/>
        <item x="108"/>
        <item x="186"/>
        <item x="154"/>
        <item x="147"/>
        <item x="176"/>
        <item x="151"/>
        <item x="133"/>
        <item x="148"/>
        <item x="54"/>
        <item x="24"/>
        <item x="168"/>
        <item x="13"/>
        <item x="70"/>
        <item x="96"/>
        <item x="94"/>
        <item x="173"/>
        <item x="11"/>
        <item x="43"/>
        <item x="170"/>
        <item x="6"/>
        <item x="160"/>
        <item x="45"/>
        <item x="137"/>
        <item x="92"/>
        <item x="167"/>
        <item x="85"/>
        <item x="124"/>
        <item x="2"/>
        <item x="5"/>
        <item x="145"/>
        <item x="128"/>
        <item x="189"/>
        <item x="73"/>
        <item x="141"/>
        <item x="172"/>
        <item x="136"/>
        <item x="162"/>
        <item x="118"/>
        <item x="171"/>
        <item x="31"/>
        <item x="93"/>
        <item x="159"/>
        <item x="4"/>
        <item x="95"/>
        <item x="48"/>
        <item x="152"/>
        <item x="69"/>
        <item x="146"/>
        <item x="58"/>
        <item x="184"/>
        <item x="155"/>
        <item x="182"/>
        <item x="40"/>
        <item x="180"/>
        <item x="122"/>
        <item x="7"/>
        <item x="113"/>
        <item x="178"/>
        <item x="150"/>
        <item x="126"/>
        <item x="188"/>
        <item x="121"/>
        <item x="37"/>
        <item x="52"/>
        <item x="41"/>
        <item x="140"/>
        <item x="51"/>
        <item x="15"/>
        <item x="116"/>
        <item x="8"/>
        <item x="22"/>
        <item x="187"/>
        <item x="19"/>
        <item x="17"/>
        <item x="156"/>
        <item x="33"/>
        <item x="179"/>
        <item x="164"/>
        <item x="21"/>
        <item x="132"/>
        <item x="185"/>
        <item x="107"/>
        <item x="18"/>
        <item x="142"/>
        <item x="181"/>
        <item x="102"/>
        <item x="98"/>
        <item x="114"/>
        <item x="130"/>
        <item x="23"/>
        <item x="39"/>
        <item x="109"/>
        <item x="177"/>
        <item x="153"/>
        <item x="105"/>
        <item x="36"/>
        <item x="161"/>
        <item x="115"/>
        <item x="131"/>
        <item x="117"/>
        <item x="68"/>
        <item x="3"/>
        <item x="111"/>
        <item x="59"/>
        <item x="27"/>
        <item x="112"/>
        <item x="35"/>
        <item x="16"/>
        <item x="49"/>
        <item x="34"/>
        <item x="129"/>
        <item x="97"/>
        <item x="106"/>
        <item x="29"/>
        <item x="56"/>
        <item x="50"/>
        <item x="103"/>
        <item x="38"/>
        <item x="123"/>
        <item x="28"/>
        <item x="165"/>
        <item x="20"/>
        <item x="104"/>
        <item x="163"/>
        <item x="32"/>
        <item x="110"/>
        <item x="26"/>
        <item x="30"/>
        <item x="25"/>
        <item x="183"/>
        <item x="62"/>
        <item x="12"/>
        <item t="default"/>
      </items>
    </pivotField>
    <pivotField showAll="0">
      <items count="192">
        <item x="46"/>
        <item x="120"/>
        <item x="101"/>
        <item x="60"/>
        <item x="77"/>
        <item x="10"/>
        <item x="190"/>
        <item x="189"/>
        <item x="85"/>
        <item x="64"/>
        <item x="61"/>
        <item x="102"/>
        <item x="137"/>
        <item x="168"/>
        <item x="42"/>
        <item x="79"/>
        <item x="1"/>
        <item x="148"/>
        <item x="100"/>
        <item x="83"/>
        <item x="78"/>
        <item x="138"/>
        <item x="53"/>
        <item x="92"/>
        <item x="68"/>
        <item x="81"/>
        <item x="72"/>
        <item x="88"/>
        <item x="173"/>
        <item x="75"/>
        <item x="66"/>
        <item x="121"/>
        <item x="174"/>
        <item x="76"/>
        <item x="157"/>
        <item x="57"/>
        <item x="65"/>
        <item x="126"/>
        <item x="143"/>
        <item x="0"/>
        <item x="62"/>
        <item x="14"/>
        <item x="164"/>
        <item x="140"/>
        <item x="55"/>
        <item x="47"/>
        <item x="128"/>
        <item x="91"/>
        <item x="9"/>
        <item x="82"/>
        <item x="67"/>
        <item x="134"/>
        <item x="156"/>
        <item x="90"/>
        <item x="89"/>
        <item x="87"/>
        <item x="44"/>
        <item x="80"/>
        <item x="73"/>
        <item x="142"/>
        <item x="84"/>
        <item x="109"/>
        <item x="153"/>
        <item x="175"/>
        <item x="150"/>
        <item x="165"/>
        <item x="167"/>
        <item x="54"/>
        <item x="24"/>
        <item x="86"/>
        <item x="146"/>
        <item x="13"/>
        <item x="71"/>
        <item x="95"/>
        <item x="147"/>
        <item x="43"/>
        <item x="169"/>
        <item x="97"/>
        <item x="172"/>
        <item x="11"/>
        <item x="6"/>
        <item x="158"/>
        <item x="93"/>
        <item x="45"/>
        <item x="136"/>
        <item x="144"/>
        <item x="125"/>
        <item x="2"/>
        <item x="166"/>
        <item x="170"/>
        <item x="5"/>
        <item x="185"/>
        <item x="188"/>
        <item x="74"/>
        <item x="160"/>
        <item x="119"/>
        <item x="129"/>
        <item x="135"/>
        <item x="31"/>
        <item x="4"/>
        <item x="94"/>
        <item x="154"/>
        <item x="96"/>
        <item x="48"/>
        <item x="151"/>
        <item x="70"/>
        <item x="145"/>
        <item x="183"/>
        <item x="123"/>
        <item x="58"/>
        <item x="181"/>
        <item x="40"/>
        <item x="179"/>
        <item x="7"/>
        <item x="171"/>
        <item x="114"/>
        <item x="177"/>
        <item x="127"/>
        <item x="149"/>
        <item x="187"/>
        <item x="37"/>
        <item x="52"/>
        <item x="41"/>
        <item x="51"/>
        <item x="15"/>
        <item x="117"/>
        <item x="155"/>
        <item x="8"/>
        <item x="22"/>
        <item x="139"/>
        <item x="186"/>
        <item x="19"/>
        <item x="17"/>
        <item x="133"/>
        <item x="162"/>
        <item x="33"/>
        <item x="178"/>
        <item x="21"/>
        <item x="184"/>
        <item x="18"/>
        <item x="131"/>
        <item x="108"/>
        <item x="180"/>
        <item x="103"/>
        <item x="39"/>
        <item x="99"/>
        <item x="115"/>
        <item x="23"/>
        <item x="141"/>
        <item x="106"/>
        <item x="176"/>
        <item x="152"/>
        <item x="110"/>
        <item x="36"/>
        <item x="159"/>
        <item x="118"/>
        <item x="3"/>
        <item x="116"/>
        <item x="122"/>
        <item x="69"/>
        <item x="112"/>
        <item x="59"/>
        <item x="27"/>
        <item x="35"/>
        <item x="113"/>
        <item x="16"/>
        <item x="49"/>
        <item x="34"/>
        <item x="98"/>
        <item x="132"/>
        <item x="124"/>
        <item x="130"/>
        <item x="107"/>
        <item x="29"/>
        <item x="56"/>
        <item x="50"/>
        <item x="104"/>
        <item x="38"/>
        <item x="28"/>
        <item x="163"/>
        <item x="105"/>
        <item x="20"/>
        <item x="32"/>
        <item x="161"/>
        <item x="111"/>
        <item x="26"/>
        <item x="30"/>
        <item x="25"/>
        <item x="182"/>
        <item x="63"/>
        <item x="12"/>
        <item t="default"/>
      </items>
    </pivotField>
    <pivotField showAll="0">
      <items count="189">
        <item x="46"/>
        <item x="120"/>
        <item x="101"/>
        <item x="60"/>
        <item x="77"/>
        <item x="10"/>
        <item x="187"/>
        <item x="85"/>
        <item x="186"/>
        <item x="64"/>
        <item x="138"/>
        <item x="61"/>
        <item x="136"/>
        <item x="102"/>
        <item x="165"/>
        <item x="42"/>
        <item x="79"/>
        <item x="83"/>
        <item x="1"/>
        <item x="145"/>
        <item x="100"/>
        <item x="78"/>
        <item x="53"/>
        <item x="92"/>
        <item x="68"/>
        <item x="81"/>
        <item x="72"/>
        <item x="75"/>
        <item x="66"/>
        <item x="123"/>
        <item x="121"/>
        <item x="171"/>
        <item x="76"/>
        <item x="154"/>
        <item x="57"/>
        <item x="88"/>
        <item x="65"/>
        <item x="126"/>
        <item x="141"/>
        <item x="0"/>
        <item x="62"/>
        <item x="14"/>
        <item x="55"/>
        <item x="127"/>
        <item x="9"/>
        <item x="47"/>
        <item x="80"/>
        <item x="91"/>
        <item x="82"/>
        <item x="144"/>
        <item x="86"/>
        <item x="67"/>
        <item x="161"/>
        <item x="140"/>
        <item x="89"/>
        <item x="153"/>
        <item x="90"/>
        <item x="87"/>
        <item x="44"/>
        <item x="73"/>
        <item x="109"/>
        <item x="84"/>
        <item x="150"/>
        <item x="172"/>
        <item x="147"/>
        <item x="164"/>
        <item x="54"/>
        <item x="24"/>
        <item x="13"/>
        <item x="162"/>
        <item x="11"/>
        <item x="71"/>
        <item x="95"/>
        <item x="97"/>
        <item x="43"/>
        <item x="166"/>
        <item x="169"/>
        <item x="167"/>
        <item x="6"/>
        <item x="93"/>
        <item x="45"/>
        <item x="135"/>
        <item x="155"/>
        <item x="125"/>
        <item x="2"/>
        <item x="163"/>
        <item x="5"/>
        <item x="182"/>
        <item x="142"/>
        <item x="74"/>
        <item x="185"/>
        <item x="170"/>
        <item x="151"/>
        <item x="157"/>
        <item x="119"/>
        <item x="134"/>
        <item x="31"/>
        <item x="4"/>
        <item x="94"/>
        <item x="96"/>
        <item x="48"/>
        <item x="148"/>
        <item x="70"/>
        <item x="180"/>
        <item x="143"/>
        <item x="129"/>
        <item x="133"/>
        <item x="58"/>
        <item x="178"/>
        <item x="40"/>
        <item x="176"/>
        <item x="7"/>
        <item x="168"/>
        <item x="114"/>
        <item x="128"/>
        <item x="174"/>
        <item x="184"/>
        <item x="37"/>
        <item x="146"/>
        <item x="52"/>
        <item x="41"/>
        <item x="51"/>
        <item x="15"/>
        <item x="117"/>
        <item x="8"/>
        <item x="22"/>
        <item x="137"/>
        <item x="183"/>
        <item x="19"/>
        <item x="152"/>
        <item x="17"/>
        <item x="159"/>
        <item x="33"/>
        <item x="181"/>
        <item x="175"/>
        <item x="21"/>
        <item x="39"/>
        <item x="131"/>
        <item x="18"/>
        <item x="108"/>
        <item x="177"/>
        <item x="103"/>
        <item x="99"/>
        <item x="115"/>
        <item x="23"/>
        <item x="139"/>
        <item x="106"/>
        <item x="173"/>
        <item x="149"/>
        <item x="110"/>
        <item x="36"/>
        <item x="3"/>
        <item x="118"/>
        <item x="116"/>
        <item x="69"/>
        <item x="156"/>
        <item x="112"/>
        <item x="59"/>
        <item x="27"/>
        <item x="35"/>
        <item x="113"/>
        <item x="16"/>
        <item x="49"/>
        <item x="124"/>
        <item x="34"/>
        <item x="98"/>
        <item x="122"/>
        <item x="107"/>
        <item x="130"/>
        <item x="132"/>
        <item x="29"/>
        <item x="56"/>
        <item x="50"/>
        <item x="104"/>
        <item x="38"/>
        <item x="160"/>
        <item x="28"/>
        <item x="105"/>
        <item x="20"/>
        <item x="32"/>
        <item x="158"/>
        <item x="111"/>
        <item x="26"/>
        <item x="30"/>
        <item x="25"/>
        <item x="179"/>
        <item x="63"/>
        <item x="12"/>
        <item t="default"/>
      </items>
    </pivotField>
    <pivotField dataField="1" showAll="0">
      <items count="185">
        <item x="46"/>
        <item x="123"/>
        <item x="120"/>
        <item x="101"/>
        <item x="60"/>
        <item x="77"/>
        <item x="10"/>
        <item x="183"/>
        <item x="85"/>
        <item x="182"/>
        <item x="64"/>
        <item x="136"/>
        <item x="89"/>
        <item x="61"/>
        <item x="102"/>
        <item x="162"/>
        <item x="42"/>
        <item x="79"/>
        <item x="1"/>
        <item x="143"/>
        <item x="100"/>
        <item x="83"/>
        <item x="78"/>
        <item x="53"/>
        <item x="92"/>
        <item x="68"/>
        <item x="81"/>
        <item x="72"/>
        <item x="88"/>
        <item x="75"/>
        <item x="66"/>
        <item x="121"/>
        <item x="167"/>
        <item x="76"/>
        <item x="152"/>
        <item x="138"/>
        <item x="57"/>
        <item x="65"/>
        <item x="126"/>
        <item x="139"/>
        <item x="0"/>
        <item x="62"/>
        <item x="14"/>
        <item x="55"/>
        <item x="9"/>
        <item x="47"/>
        <item x="80"/>
        <item x="91"/>
        <item x="82"/>
        <item x="142"/>
        <item x="86"/>
        <item x="67"/>
        <item x="87"/>
        <item x="151"/>
        <item x="90"/>
        <item x="44"/>
        <item x="73"/>
        <item x="84"/>
        <item x="109"/>
        <item x="148"/>
        <item x="168"/>
        <item x="145"/>
        <item x="161"/>
        <item x="54"/>
        <item x="158"/>
        <item x="24"/>
        <item x="159"/>
        <item x="11"/>
        <item x="13"/>
        <item x="71"/>
        <item x="95"/>
        <item x="97"/>
        <item x="166"/>
        <item x="43"/>
        <item x="163"/>
        <item x="164"/>
        <item x="6"/>
        <item x="93"/>
        <item x="45"/>
        <item x="134"/>
        <item x="125"/>
        <item x="2"/>
        <item x="160"/>
        <item x="149"/>
        <item x="5"/>
        <item x="178"/>
        <item x="74"/>
        <item x="119"/>
        <item x="181"/>
        <item x="154"/>
        <item x="133"/>
        <item x="31"/>
        <item x="4"/>
        <item x="94"/>
        <item x="96"/>
        <item x="48"/>
        <item x="146"/>
        <item x="70"/>
        <item x="176"/>
        <item x="141"/>
        <item x="140"/>
        <item x="128"/>
        <item x="58"/>
        <item x="174"/>
        <item x="40"/>
        <item x="172"/>
        <item x="132"/>
        <item x="7"/>
        <item x="165"/>
        <item x="114"/>
        <item x="127"/>
        <item x="170"/>
        <item x="180"/>
        <item x="37"/>
        <item x="144"/>
        <item x="52"/>
        <item x="41"/>
        <item x="51"/>
        <item x="15"/>
        <item x="117"/>
        <item x="8"/>
        <item x="22"/>
        <item x="135"/>
        <item x="150"/>
        <item x="179"/>
        <item x="19"/>
        <item x="17"/>
        <item x="156"/>
        <item x="177"/>
        <item x="33"/>
        <item x="171"/>
        <item x="21"/>
        <item x="39"/>
        <item x="130"/>
        <item x="18"/>
        <item x="108"/>
        <item x="173"/>
        <item x="103"/>
        <item x="99"/>
        <item x="115"/>
        <item x="23"/>
        <item x="137"/>
        <item x="106"/>
        <item x="169"/>
        <item x="147"/>
        <item x="110"/>
        <item x="36"/>
        <item x="3"/>
        <item x="118"/>
        <item x="116"/>
        <item x="69"/>
        <item x="153"/>
        <item x="124"/>
        <item x="112"/>
        <item x="59"/>
        <item x="27"/>
        <item x="35"/>
        <item x="113"/>
        <item x="16"/>
        <item x="49"/>
        <item x="34"/>
        <item x="98"/>
        <item x="131"/>
        <item x="107"/>
        <item x="29"/>
        <item x="129"/>
        <item x="56"/>
        <item x="122"/>
        <item x="50"/>
        <item x="104"/>
        <item x="38"/>
        <item x="157"/>
        <item x="28"/>
        <item x="105"/>
        <item x="20"/>
        <item x="32"/>
        <item x="155"/>
        <item x="111"/>
        <item x="26"/>
        <item x="30"/>
        <item x="25"/>
        <item x="175"/>
        <item x="63"/>
        <item x="12"/>
        <item t="default"/>
      </items>
    </pivotField>
    <pivotField showAll="0"/>
    <pivotField axis="axisCol" showAll="0">
      <items count="26">
        <item x="1"/>
        <item x="21"/>
        <item x="2"/>
        <item x="20"/>
        <item x="3"/>
        <item x="22"/>
        <item x="18"/>
        <item x="23"/>
        <item x="17"/>
        <item x="16"/>
        <item x="0"/>
        <item h="1" x="15"/>
        <item x="19"/>
        <item h="1" x="4"/>
        <item h="1" x="5"/>
        <item h="1" x="6"/>
        <item h="1" x="7"/>
        <item h="1" x="8"/>
        <item h="1" x="9"/>
        <item h="1" x="11"/>
        <item h="1" x="14"/>
        <item h="1" x="12"/>
        <item h="1" x="10"/>
        <item h="1" x="13"/>
        <item h="1" x="24"/>
        <item t="default"/>
      </items>
    </pivotField>
    <pivotField showAll="0"/>
    <pivotField showAll="0"/>
    <pivotField showAll="0"/>
  </pivotFields>
  <rowFields count="1">
    <field x="0"/>
  </rowFields>
  <rowItems count="12">
    <i>
      <x/>
    </i>
    <i>
      <x v="1"/>
    </i>
    <i>
      <x v="2"/>
    </i>
    <i>
      <x v="3"/>
    </i>
    <i>
      <x v="4"/>
    </i>
    <i>
      <x v="5"/>
    </i>
    <i>
      <x v="6"/>
    </i>
    <i>
      <x v="7"/>
    </i>
    <i>
      <x v="8"/>
    </i>
    <i>
      <x v="9"/>
    </i>
    <i>
      <x v="10"/>
    </i>
    <i t="grand">
      <x/>
    </i>
  </rowItems>
  <colFields count="1">
    <field x="11"/>
  </colFields>
  <colItems count="13">
    <i>
      <x/>
    </i>
    <i>
      <x v="1"/>
    </i>
    <i>
      <x v="2"/>
    </i>
    <i>
      <x v="3"/>
    </i>
    <i>
      <x v="4"/>
    </i>
    <i>
      <x v="5"/>
    </i>
    <i>
      <x v="6"/>
    </i>
    <i>
      <x v="7"/>
    </i>
    <i>
      <x v="8"/>
    </i>
    <i>
      <x v="9"/>
    </i>
    <i>
      <x v="10"/>
    </i>
    <i>
      <x v="12"/>
    </i>
    <i t="grand">
      <x/>
    </i>
  </colItems>
  <dataFields count="1">
    <dataField name="Sum of 2024"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rijksfinancien.nl/miljoenennota/2026/bijlage?phase=OWB" TargetMode="External"/><Relationship Id="rId2" Type="http://schemas.openxmlformats.org/officeDocument/2006/relationships/hyperlink" Target="https://www.bedrijvenbeleidinbeeld.nl/beleidsinstrumenten/innovatiebox" TargetMode="External"/><Relationship Id="rId1" Type="http://schemas.openxmlformats.org/officeDocument/2006/relationships/hyperlink" Target="https://www.rijksoverheid.nl/binaries/rijksoverheid/documenten/begrotingen/2021/09/21/bijlagen-miljoenennota-2022/01%20Miljoenennota%20bijlage.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showGridLines="0" tabSelected="1" zoomScaleNormal="100" zoomScaleSheetLayoutView="100" workbookViewId="0"/>
  </sheetViews>
  <sheetFormatPr defaultColWidth="9.44140625" defaultRowHeight="15" customHeight="1"/>
  <cols>
    <col min="1" max="1" width="3.5546875" style="30" customWidth="1"/>
    <col min="2" max="2" width="129" style="30" customWidth="1"/>
    <col min="3" max="3" width="9.44140625" style="30"/>
    <col min="4" max="4" width="9.44140625" style="30" customWidth="1"/>
    <col min="5" max="16384" width="9.44140625" style="30"/>
  </cols>
  <sheetData>
    <row r="1" spans="1:5" ht="20.100000000000001" customHeight="1">
      <c r="A1" s="99"/>
      <c r="B1" s="64" t="s">
        <v>0</v>
      </c>
      <c r="C1" s="99"/>
      <c r="D1" s="99"/>
      <c r="E1" s="99"/>
    </row>
    <row r="2" spans="1:5" ht="15" customHeight="1">
      <c r="A2" s="99"/>
      <c r="B2" s="64"/>
      <c r="C2" s="99"/>
      <c r="D2" s="99"/>
      <c r="E2" s="99"/>
    </row>
    <row r="3" spans="1:5" s="59" customFormat="1" ht="19.5" customHeight="1">
      <c r="A3" s="107"/>
      <c r="B3" s="239" t="s">
        <v>1</v>
      </c>
      <c r="C3" s="107"/>
      <c r="D3" s="107"/>
      <c r="E3" s="107"/>
    </row>
    <row r="4" spans="1:5" s="59" customFormat="1" ht="19.5" customHeight="1">
      <c r="A4" s="107"/>
      <c r="B4" s="239" t="s">
        <v>2</v>
      </c>
      <c r="C4" s="107"/>
      <c r="D4" s="107"/>
      <c r="E4" s="107"/>
    </row>
    <row r="5" spans="1:5" s="59" customFormat="1" ht="19.5" customHeight="1">
      <c r="A5" s="107"/>
      <c r="B5" s="239" t="s">
        <v>3</v>
      </c>
      <c r="C5" s="107"/>
      <c r="D5" s="107"/>
      <c r="E5" s="107"/>
    </row>
    <row r="6" spans="1:5" s="59" customFormat="1" ht="19.5" customHeight="1">
      <c r="A6" s="107"/>
      <c r="B6" s="239" t="s">
        <v>4</v>
      </c>
      <c r="C6" s="107"/>
      <c r="D6" s="107"/>
      <c r="E6" s="107"/>
    </row>
    <row r="7" spans="1:5" s="59" customFormat="1" ht="19.5" customHeight="1">
      <c r="A7" s="107"/>
      <c r="B7" s="239" t="s">
        <v>5</v>
      </c>
      <c r="C7" s="107"/>
      <c r="D7" s="107"/>
      <c r="E7" s="107"/>
    </row>
    <row r="8" spans="1:5" s="59" customFormat="1" ht="19.5" customHeight="1">
      <c r="A8" s="107"/>
      <c r="B8" s="239" t="s">
        <v>6</v>
      </c>
      <c r="C8" s="107"/>
      <c r="D8" s="107"/>
      <c r="E8" s="107"/>
    </row>
    <row r="9" spans="1:5" s="59" customFormat="1" ht="19.5" customHeight="1">
      <c r="A9" s="107"/>
      <c r="B9" s="239" t="s">
        <v>7</v>
      </c>
      <c r="C9" s="107"/>
      <c r="D9" s="107"/>
      <c r="E9" s="107"/>
    </row>
    <row r="10" spans="1:5" s="59" customFormat="1" ht="19.5" customHeight="1">
      <c r="A10" s="107"/>
      <c r="B10" s="239" t="s">
        <v>8</v>
      </c>
      <c r="C10" s="107"/>
      <c r="D10" s="107"/>
      <c r="E10" s="107"/>
    </row>
  </sheetData>
  <hyperlinks>
    <hyperlink ref="B3" location="Toelichting!A1" display="- Toelichting" xr:uid="{00000000-0004-0000-0000-000000000000}"/>
    <hyperlink ref="B4" location="Totaal!A1" display="- Totaaloverzicht: overheidsuitgaven voor R&amp;D en innovatie 2016-2022, in miljoenen euro en procenten van het BBP" xr:uid="{00000000-0004-0000-0000-000001000000}"/>
    <hyperlink ref="B5" location="'R&amp;D'!A1" display="- Overzicht: overheidsuitgaven voor R&amp;D en het aandeel innovatierelevante R&amp;D-uitgaven, per begrotingsartikel, 2016-2022, in miljoenen euro" xr:uid="{00000000-0004-0000-0000-000002000000}"/>
    <hyperlink ref="B6" location="Innovatie!A1" display="- Het overzicht van de overheidsuitgaven voor innovatie, 2016-2022, in miljoenen euro" xr:uid="{00000000-0004-0000-0000-000003000000}"/>
    <hyperlink ref="B7" location="'R&amp;D + Innovatie'!A1" display="- Het overzicht van de overheidsuitgaven voor R&amp;D en innovatie, per departement, 2016-2022, in miljoenen euro" xr:uid="{00000000-0004-0000-0000-000004000000}"/>
    <hyperlink ref="B8" location="Fiscaal!A1" display="- Het overzicht van fiscale instrumenten voor R&amp;D en innovatie, 2016-2022, in miljoenen euro" xr:uid="{00000000-0004-0000-0000-000005000000}"/>
    <hyperlink ref="B9" location="Type!A1" display="- Het overzicht van overheidsuitgaven voor R&amp;D naar type uitgaven, 2016-2022" xr:uid="{00000000-0004-0000-0000-000006000000}"/>
    <hyperlink ref="B10" location="'NABS 2007'!A1" display="- Een overzicht van de R&amp;D-uitgaven per NABS-categorie, 2016-2022 (Europese classificatie 2007)" xr:uid="{00000000-0004-0000-0000-000007000000}"/>
  </hyperlinks>
  <pageMargins left="0.70866141732283472" right="0.70866141732283472" top="0.74803149606299213" bottom="0.74803149606299213" header="0.31496062992125984" footer="0.31496062992125984"/>
  <pageSetup paperSize="9" orientation="landscape" r:id="rId1"/>
  <headerFooter>
    <oddFooter>&amp;L&amp;Z&amp;F</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6"/>
  <sheetViews>
    <sheetView workbookViewId="0">
      <selection activeCell="S4" sqref="S4"/>
    </sheetView>
  </sheetViews>
  <sheetFormatPr defaultRowHeight="13.2"/>
  <cols>
    <col min="1" max="1" width="33.44140625" customWidth="1"/>
    <col min="2" max="2" width="17" customWidth="1"/>
    <col min="3" max="3" width="7" customWidth="1"/>
    <col min="4" max="4" width="8" customWidth="1"/>
    <col min="5" max="9" width="12" customWidth="1"/>
    <col min="10" max="10" width="7" customWidth="1"/>
    <col min="11" max="11" width="9" customWidth="1"/>
    <col min="12" max="12" width="10" customWidth="1"/>
    <col min="13" max="13" width="8" customWidth="1"/>
    <col min="14" max="14" width="12" customWidth="1"/>
    <col min="15" max="20" width="4.5546875" customWidth="1"/>
    <col min="21" max="25" width="12" customWidth="1"/>
    <col min="26" max="26" width="7" customWidth="1"/>
    <col min="27" max="27" width="12" customWidth="1"/>
    <col min="28" max="28" width="6" customWidth="1"/>
    <col min="29" max="29" width="4" customWidth="1"/>
    <col min="30" max="33" width="6" customWidth="1"/>
    <col min="34" max="34" width="4" customWidth="1"/>
    <col min="35" max="36" width="6" customWidth="1"/>
    <col min="37" max="37" width="7" customWidth="1"/>
    <col min="38" max="38" width="6" customWidth="1"/>
    <col min="39" max="39" width="5" customWidth="1"/>
    <col min="40" max="42" width="6" customWidth="1"/>
    <col min="43" max="43" width="4" customWidth="1"/>
    <col min="44" max="44" width="7" customWidth="1"/>
    <col min="45" max="45" width="6" customWidth="1"/>
    <col min="46" max="46" width="12" customWidth="1"/>
    <col min="47" max="47" width="6" customWidth="1"/>
    <col min="48" max="48" width="8" customWidth="1"/>
    <col min="49" max="49" width="7" customWidth="1"/>
    <col min="50" max="50" width="8" customWidth="1"/>
    <col min="51" max="51" width="5" customWidth="1"/>
    <col min="52" max="53" width="6" customWidth="1"/>
    <col min="54" max="54" width="8" customWidth="1"/>
    <col min="55" max="56" width="6" customWidth="1"/>
    <col min="57" max="57" width="4" customWidth="1"/>
    <col min="58" max="58" width="6" customWidth="1"/>
    <col min="59" max="59" width="8" customWidth="1"/>
    <col min="60" max="60" width="12" customWidth="1"/>
    <col min="61" max="66" width="6" customWidth="1"/>
    <col min="67" max="67" width="12" customWidth="1"/>
    <col min="68" max="69" width="6" customWidth="1"/>
    <col min="70" max="70" width="8" customWidth="1"/>
    <col min="71" max="71" width="6" customWidth="1"/>
    <col min="72" max="72" width="8" customWidth="1"/>
    <col min="73" max="73" width="7" customWidth="1"/>
    <col min="74" max="74" width="6" customWidth="1"/>
    <col min="75" max="75" width="4" customWidth="1"/>
    <col min="76" max="78" width="6" customWidth="1"/>
    <col min="79" max="80" width="7" customWidth="1"/>
    <col min="81" max="81" width="6" customWidth="1"/>
    <col min="82" max="82" width="5" customWidth="1"/>
    <col min="83" max="83" width="2" customWidth="1"/>
    <col min="84" max="85" width="6" customWidth="1"/>
    <col min="86" max="86" width="8" customWidth="1"/>
    <col min="87" max="87" width="4" customWidth="1"/>
    <col min="88" max="91" width="6" customWidth="1"/>
    <col min="92" max="93" width="7" customWidth="1"/>
    <col min="94" max="94" width="6" customWidth="1"/>
    <col min="95" max="96" width="8" customWidth="1"/>
    <col min="97" max="97" width="6" customWidth="1"/>
    <col min="98" max="98" width="5" customWidth="1"/>
    <col min="99" max="99" width="12" customWidth="1"/>
    <col min="100" max="101" width="6" customWidth="1"/>
    <col min="102" max="102" width="5" customWidth="1"/>
    <col min="103" max="105" width="4" customWidth="1"/>
    <col min="106" max="107" width="6" customWidth="1"/>
    <col min="108" max="108" width="7" customWidth="1"/>
    <col min="109" max="109" width="4" customWidth="1"/>
    <col min="110" max="111" width="6" customWidth="1"/>
    <col min="112" max="112" width="7" customWidth="1"/>
    <col min="113" max="113" width="2" customWidth="1"/>
    <col min="114" max="114" width="6" customWidth="1"/>
    <col min="115" max="115" width="2" customWidth="1"/>
    <col min="116" max="116" width="6" customWidth="1"/>
    <col min="117" max="117" width="8" customWidth="1"/>
    <col min="118" max="119" width="6" customWidth="1"/>
    <col min="120" max="120" width="12" customWidth="1"/>
    <col min="121" max="121" width="3" customWidth="1"/>
    <col min="122" max="122" width="10" customWidth="1"/>
    <col min="123" max="123" width="12" customWidth="1"/>
    <col min="124" max="125" width="7" customWidth="1"/>
    <col min="126" max="126" width="6" customWidth="1"/>
    <col min="127" max="127" width="11" customWidth="1"/>
    <col min="128" max="128" width="12" customWidth="1"/>
    <col min="129" max="129" width="7" customWidth="1"/>
    <col min="130" max="130" width="5" customWidth="1"/>
    <col min="131" max="131" width="12" customWidth="1"/>
    <col min="132" max="132" width="5" customWidth="1"/>
    <col min="133" max="133" width="12" customWidth="1"/>
    <col min="134" max="135" width="7" customWidth="1"/>
    <col min="136" max="136" width="11" customWidth="1"/>
    <col min="137" max="137" width="12" customWidth="1"/>
    <col min="138" max="140" width="7" customWidth="1"/>
    <col min="141" max="141" width="9" customWidth="1"/>
    <col min="142" max="142" width="12" customWidth="1"/>
    <col min="143" max="143" width="6" customWidth="1"/>
    <col min="144" max="144" width="9" customWidth="1"/>
    <col min="145" max="145" width="3" customWidth="1"/>
    <col min="146" max="146" width="7" customWidth="1"/>
    <col min="147" max="148" width="12" customWidth="1"/>
    <col min="149" max="151" width="7" customWidth="1"/>
    <col min="152" max="152" width="9" customWidth="1"/>
    <col min="153" max="155" width="7" customWidth="1"/>
    <col min="156" max="156" width="12" customWidth="1"/>
    <col min="157" max="157" width="7" customWidth="1"/>
    <col min="158" max="161" width="12" customWidth="1"/>
    <col min="162" max="162" width="7" customWidth="1"/>
    <col min="163" max="163" width="9" customWidth="1"/>
    <col min="164" max="164" width="12" customWidth="1"/>
    <col min="165" max="166" width="8" customWidth="1"/>
    <col min="167" max="167" width="7" customWidth="1"/>
    <col min="168" max="168" width="12" customWidth="1"/>
    <col min="169" max="172" width="7" customWidth="1"/>
    <col min="173" max="173" width="6" customWidth="1"/>
    <col min="174" max="174" width="7" customWidth="1"/>
    <col min="175" max="177" width="12" customWidth="1"/>
    <col min="178" max="178" width="7" customWidth="1"/>
    <col min="179" max="179" width="9" customWidth="1"/>
    <col min="180" max="181" width="12" customWidth="1"/>
    <col min="182" max="182" width="4" customWidth="1"/>
    <col min="183" max="183" width="12" customWidth="1"/>
    <col min="184" max="184" width="8" customWidth="1"/>
    <col min="185" max="185" width="3.5546875" customWidth="1"/>
    <col min="186" max="186" width="7.44140625" customWidth="1"/>
    <col min="187" max="187" width="11.5546875" customWidth="1"/>
    <col min="188" max="188" width="8" customWidth="1"/>
    <col min="189" max="189" width="10.5546875" customWidth="1"/>
    <col min="190" max="190" width="9" customWidth="1"/>
    <col min="191" max="191" width="11.5546875" customWidth="1"/>
    <col min="192" max="192" width="9" customWidth="1"/>
    <col min="193" max="193" width="11.5546875" customWidth="1"/>
    <col min="194" max="194" width="9" customWidth="1"/>
    <col min="195" max="195" width="11.5546875" customWidth="1"/>
    <col min="196" max="196" width="8" customWidth="1"/>
    <col min="197" max="197" width="10.5546875" customWidth="1"/>
    <col min="198" max="198" width="10" customWidth="1"/>
    <col min="199" max="199" width="12.5546875" customWidth="1"/>
    <col min="200" max="200" width="10" customWidth="1"/>
    <col min="201" max="201" width="12.5546875" customWidth="1"/>
    <col min="202" max="202" width="8" customWidth="1"/>
    <col min="203" max="203" width="10.5546875" customWidth="1"/>
    <col min="204" max="204" width="7" customWidth="1"/>
    <col min="205" max="205" width="9.5546875" customWidth="1"/>
    <col min="206" max="206" width="14" customWidth="1"/>
    <col min="207" max="207" width="21" customWidth="1"/>
    <col min="208" max="208" width="8" customWidth="1"/>
    <col min="209" max="209" width="10.5546875" customWidth="1"/>
    <col min="210" max="210" width="8" customWidth="1"/>
    <col min="211" max="211" width="10.5546875" customWidth="1"/>
    <col min="212" max="212" width="6" customWidth="1"/>
    <col min="213" max="213" width="8.5546875" customWidth="1"/>
    <col min="214" max="214" width="8" customWidth="1"/>
    <col min="215" max="215" width="10.5546875" customWidth="1"/>
    <col min="216" max="216" width="6" customWidth="1"/>
    <col min="217" max="217" width="8.5546875" customWidth="1"/>
    <col min="218" max="218" width="6" customWidth="1"/>
    <col min="219" max="219" width="8.5546875" customWidth="1"/>
    <col min="220" max="220" width="8" customWidth="1"/>
    <col min="221" max="221" width="10.5546875" customWidth="1"/>
    <col min="222" max="222" width="8" customWidth="1"/>
    <col min="223" max="223" width="10.5546875" customWidth="1"/>
    <col min="224" max="224" width="6" customWidth="1"/>
    <col min="225" max="225" width="8.5546875" customWidth="1"/>
    <col min="226" max="226" width="8" customWidth="1"/>
    <col min="227" max="227" width="10.5546875" customWidth="1"/>
    <col min="228" max="228" width="8" customWidth="1"/>
    <col min="229" max="229" width="10.5546875" customWidth="1"/>
    <col min="230" max="230" width="9" customWidth="1"/>
    <col min="231" max="231" width="11.5546875" customWidth="1"/>
    <col min="232" max="232" width="4" customWidth="1"/>
    <col min="233" max="233" width="7.44140625" customWidth="1"/>
    <col min="234" max="234" width="8" customWidth="1"/>
    <col min="235" max="235" width="10.5546875" customWidth="1"/>
    <col min="236" max="236" width="4" customWidth="1"/>
    <col min="237" max="237" width="7.44140625" customWidth="1"/>
    <col min="238" max="238" width="8" customWidth="1"/>
    <col min="239" max="239" width="10.5546875" customWidth="1"/>
    <col min="240" max="240" width="9" customWidth="1"/>
    <col min="241" max="241" width="11.5546875" customWidth="1"/>
    <col min="242" max="242" width="8" customWidth="1"/>
    <col min="243" max="243" width="10.5546875" customWidth="1"/>
    <col min="244" max="244" width="8" customWidth="1"/>
    <col min="245" max="245" width="10.5546875" customWidth="1"/>
    <col min="246" max="246" width="14" customWidth="1"/>
    <col min="247" max="247" width="22.44140625" customWidth="1"/>
    <col min="248" max="248" width="5" customWidth="1"/>
    <col min="249" max="249" width="8.44140625" customWidth="1"/>
    <col min="250" max="250" width="12" customWidth="1"/>
    <col min="251" max="251" width="14.5546875" customWidth="1"/>
    <col min="252" max="252" width="14" customWidth="1"/>
    <col min="253" max="253" width="22.44140625" customWidth="1"/>
    <col min="254" max="254" width="9" customWidth="1"/>
    <col min="255" max="255" width="11.5546875" customWidth="1"/>
    <col min="256" max="256" width="8" customWidth="1"/>
    <col min="257" max="257" width="10.5546875" customWidth="1"/>
    <col min="258" max="258" width="13" customWidth="1"/>
    <col min="259" max="259" width="22.44140625" customWidth="1"/>
    <col min="260" max="260" width="9" customWidth="1"/>
    <col min="261" max="261" width="11.5546875" customWidth="1"/>
    <col min="262" max="262" width="14" customWidth="1"/>
    <col min="263" max="263" width="22.44140625" customWidth="1"/>
    <col min="264" max="264" width="9" customWidth="1"/>
    <col min="265" max="265" width="11.5546875" customWidth="1"/>
    <col min="266" max="266" width="14" customWidth="1"/>
    <col min="267" max="267" width="22.44140625" customWidth="1"/>
    <col min="268" max="268" width="7" customWidth="1"/>
    <col min="269" max="269" width="9.5546875" customWidth="1"/>
    <col min="270" max="270" width="7" customWidth="1"/>
    <col min="271" max="271" width="9.5546875" customWidth="1"/>
    <col min="272" max="272" width="14" customWidth="1"/>
    <col min="273" max="273" width="22.44140625" customWidth="1"/>
    <col min="274" max="274" width="9" customWidth="1"/>
    <col min="275" max="275" width="11.5546875" customWidth="1"/>
    <col min="276" max="276" width="9" customWidth="1"/>
    <col min="277" max="277" width="11.5546875" customWidth="1"/>
    <col min="278" max="278" width="13" customWidth="1"/>
    <col min="279" max="279" width="22.44140625" customWidth="1"/>
    <col min="280" max="280" width="14" customWidth="1"/>
    <col min="281" max="281" width="22.44140625" customWidth="1"/>
    <col min="282" max="282" width="9" customWidth="1"/>
    <col min="283" max="283" width="11.5546875" customWidth="1"/>
    <col min="284" max="284" width="9" customWidth="1"/>
    <col min="285" max="285" width="11.5546875" customWidth="1"/>
    <col min="286" max="286" width="9" customWidth="1"/>
    <col min="287" max="287" width="11.5546875" customWidth="1"/>
    <col min="288" max="288" width="11" customWidth="1"/>
    <col min="289" max="289" width="13.5546875" customWidth="1"/>
    <col min="290" max="290" width="14" customWidth="1"/>
    <col min="291" max="291" width="22.44140625" customWidth="1"/>
    <col min="292" max="292" width="9" customWidth="1"/>
    <col min="293" max="293" width="11.5546875" customWidth="1"/>
    <col min="294" max="294" width="11" customWidth="1"/>
    <col min="295" max="295" width="13.5546875" customWidth="1"/>
    <col min="296" max="296" width="5" customWidth="1"/>
    <col min="297" max="297" width="8.44140625" customWidth="1"/>
    <col min="298" max="298" width="9" customWidth="1"/>
    <col min="299" max="299" width="11.5546875" customWidth="1"/>
    <col min="300" max="300" width="14" customWidth="1"/>
    <col min="301" max="301" width="22.44140625" customWidth="1"/>
    <col min="302" max="302" width="14" customWidth="1"/>
    <col min="303" max="303" width="22.44140625" customWidth="1"/>
    <col min="304" max="304" width="9" customWidth="1"/>
    <col min="305" max="305" width="11.5546875" customWidth="1"/>
    <col min="306" max="306" width="9" customWidth="1"/>
    <col min="307" max="307" width="11.5546875" customWidth="1"/>
    <col min="308" max="308" width="9" customWidth="1"/>
    <col min="309" max="309" width="11.5546875" customWidth="1"/>
    <col min="310" max="310" width="11" customWidth="1"/>
    <col min="311" max="311" width="13.5546875" customWidth="1"/>
    <col min="312" max="312" width="9" customWidth="1"/>
    <col min="313" max="313" width="11.5546875" customWidth="1"/>
    <col min="314" max="314" width="9" customWidth="1"/>
    <col min="315" max="315" width="11.5546875" customWidth="1"/>
    <col min="316" max="316" width="14" customWidth="1"/>
    <col min="317" max="317" width="22.44140625" customWidth="1"/>
    <col min="318" max="318" width="9" customWidth="1"/>
    <col min="319" max="319" width="11.5546875" customWidth="1"/>
    <col min="320" max="320" width="13" customWidth="1"/>
    <col min="321" max="321" width="22.44140625" customWidth="1"/>
    <col min="322" max="322" width="14" customWidth="1"/>
    <col min="323" max="323" width="22.44140625" customWidth="1"/>
    <col min="324" max="324" width="14" customWidth="1"/>
    <col min="325" max="325" width="22.44140625" customWidth="1"/>
    <col min="326" max="326" width="14" customWidth="1"/>
    <col min="327" max="327" width="22.44140625" customWidth="1"/>
    <col min="328" max="328" width="9" customWidth="1"/>
    <col min="329" max="329" width="11.5546875" customWidth="1"/>
    <col min="330" max="330" width="11" customWidth="1"/>
    <col min="331" max="331" width="13.5546875" customWidth="1"/>
    <col min="332" max="332" width="9" customWidth="1"/>
    <col min="333" max="333" width="11.5546875" customWidth="1"/>
    <col min="334" max="334" width="14" customWidth="1"/>
    <col min="335" max="335" width="22.44140625" customWidth="1"/>
    <col min="336" max="336" width="10" customWidth="1"/>
    <col min="337" max="337" width="12.5546875" customWidth="1"/>
    <col min="338" max="338" width="9" customWidth="1"/>
    <col min="339" max="339" width="11.5546875" customWidth="1"/>
    <col min="340" max="340" width="9" customWidth="1"/>
    <col min="341" max="341" width="11.5546875" customWidth="1"/>
    <col min="342" max="342" width="9" customWidth="1"/>
    <col min="343" max="343" width="11.5546875" customWidth="1"/>
    <col min="344" max="344" width="10" customWidth="1"/>
    <col min="345" max="345" width="12.5546875" customWidth="1"/>
    <col min="346" max="346" width="14" customWidth="1"/>
    <col min="347" max="347" width="22.44140625" customWidth="1"/>
    <col min="348" max="348" width="9" customWidth="1"/>
    <col min="349" max="349" width="11.5546875" customWidth="1"/>
    <col min="350" max="350" width="9" customWidth="1"/>
    <col min="351" max="351" width="11.5546875" customWidth="1"/>
    <col min="352" max="352" width="8" customWidth="1"/>
    <col min="353" max="353" width="10.5546875" customWidth="1"/>
    <col min="354" max="354" width="9" customWidth="1"/>
    <col min="355" max="355" width="11.5546875" customWidth="1"/>
    <col min="356" max="356" width="14" customWidth="1"/>
    <col min="357" max="357" width="22.44140625" customWidth="1"/>
    <col min="358" max="358" width="14" customWidth="1"/>
    <col min="359" max="359" width="22.44140625" customWidth="1"/>
    <col min="360" max="360" width="14" customWidth="1"/>
    <col min="361" max="361" width="22.44140625" customWidth="1"/>
    <col min="362" max="362" width="9" customWidth="1"/>
    <col min="363" max="363" width="11.5546875" customWidth="1"/>
    <col min="364" max="364" width="11" customWidth="1"/>
    <col min="365" max="365" width="13.5546875" customWidth="1"/>
    <col min="366" max="366" width="14" customWidth="1"/>
    <col min="367" max="367" width="22.44140625" customWidth="1"/>
    <col min="368" max="368" width="14" customWidth="1"/>
    <col min="369" max="369" width="22.44140625" customWidth="1"/>
    <col min="370" max="370" width="6" customWidth="1"/>
    <col min="371" max="371" width="9.44140625" customWidth="1"/>
    <col min="372" max="372" width="14" customWidth="1"/>
    <col min="373" max="373" width="22.44140625" customWidth="1"/>
    <col min="374" max="374" width="10" customWidth="1"/>
    <col min="375" max="375" width="12.5546875" customWidth="1"/>
    <col min="376" max="376" width="5.5546875" customWidth="1"/>
    <col min="377" max="377" width="9" customWidth="1"/>
    <col min="378" max="378" width="9.44140625" customWidth="1"/>
    <col min="379" max="379" width="12.44140625" customWidth="1"/>
    <col min="380" max="380" width="11.5546875" customWidth="1"/>
    <col min="381" max="381" width="5" customWidth="1"/>
    <col min="382" max="383" width="8.44140625" customWidth="1"/>
    <col min="384" max="384" width="9" customWidth="1"/>
    <col min="385" max="386" width="11.5546875" customWidth="1"/>
    <col min="387" max="387" width="12" customWidth="1"/>
    <col min="388" max="389" width="14.5546875" customWidth="1"/>
    <col min="390" max="390" width="14" customWidth="1"/>
    <col min="391" max="392" width="22.44140625" customWidth="1"/>
    <col min="393" max="393" width="9" customWidth="1"/>
    <col min="394" max="395" width="11.5546875" customWidth="1"/>
    <col min="396" max="396" width="8" customWidth="1"/>
    <col min="397" max="398" width="10.5546875" customWidth="1"/>
    <col min="399" max="399" width="13" customWidth="1"/>
    <col min="400" max="401" width="22.44140625" customWidth="1"/>
    <col min="402" max="402" width="14" customWidth="1"/>
    <col min="403" max="404" width="22.44140625" customWidth="1"/>
    <col min="405" max="405" width="9" customWidth="1"/>
    <col min="406" max="406" width="10.5546875" customWidth="1"/>
    <col min="407" max="407" width="11.5546875" customWidth="1"/>
    <col min="408" max="408" width="9" customWidth="1"/>
    <col min="409" max="410" width="11.5546875" customWidth="1"/>
    <col min="411" max="411" width="14" customWidth="1"/>
    <col min="412" max="413" width="22.44140625" customWidth="1"/>
    <col min="414" max="414" width="7" customWidth="1"/>
    <col min="415" max="416" width="9.5546875" customWidth="1"/>
    <col min="417" max="417" width="14" customWidth="1"/>
    <col min="418" max="419" width="22.44140625" customWidth="1"/>
    <col min="420" max="420" width="7" customWidth="1"/>
    <col min="421" max="421" width="9.5546875" customWidth="1"/>
    <col min="422" max="422" width="8.44140625" customWidth="1"/>
    <col min="423" max="423" width="14" customWidth="1"/>
    <col min="424" max="425" width="22.44140625" customWidth="1"/>
    <col min="426" max="426" width="9" customWidth="1"/>
    <col min="427" max="428" width="11.5546875" customWidth="1"/>
    <col min="429" max="429" width="14" customWidth="1"/>
    <col min="430" max="431" width="22.44140625" customWidth="1"/>
    <col min="432" max="432" width="9" customWidth="1"/>
    <col min="433" max="434" width="11.5546875" customWidth="1"/>
    <col min="435" max="435" width="9" customWidth="1"/>
    <col min="436" max="437" width="11.5546875" customWidth="1"/>
    <col min="438" max="438" width="9" customWidth="1"/>
    <col min="439" max="440" width="11.5546875" customWidth="1"/>
    <col min="441" max="441" width="9" customWidth="1"/>
    <col min="442" max="443" width="11.5546875" customWidth="1"/>
    <col min="444" max="444" width="11" customWidth="1"/>
    <col min="445" max="446" width="13.5546875" customWidth="1"/>
    <col min="447" max="447" width="14" customWidth="1"/>
    <col min="448" max="449" width="22.44140625" customWidth="1"/>
    <col min="450" max="450" width="9" customWidth="1"/>
    <col min="451" max="451" width="11.5546875" customWidth="1"/>
    <col min="452" max="452" width="10.5546875" customWidth="1"/>
    <col min="453" max="453" width="11" customWidth="1"/>
    <col min="454" max="455" width="13.5546875" customWidth="1"/>
    <col min="456" max="456" width="5" customWidth="1"/>
    <col min="457" max="458" width="8.44140625" customWidth="1"/>
    <col min="459" max="459" width="9" customWidth="1"/>
    <col min="460" max="461" width="11.5546875" customWidth="1"/>
    <col min="462" max="462" width="14" customWidth="1"/>
    <col min="463" max="464" width="22.44140625" customWidth="1"/>
    <col min="465" max="465" width="14" customWidth="1"/>
    <col min="466" max="467" width="22.44140625" customWidth="1"/>
    <col min="468" max="468" width="9" customWidth="1"/>
    <col min="469" max="470" width="11.5546875" customWidth="1"/>
    <col min="471" max="471" width="9" customWidth="1"/>
    <col min="472" max="473" width="11.5546875" customWidth="1"/>
    <col min="474" max="474" width="9" customWidth="1"/>
    <col min="475" max="476" width="11.5546875" customWidth="1"/>
    <col min="477" max="477" width="9" customWidth="1"/>
    <col min="478" max="479" width="11.5546875" customWidth="1"/>
    <col min="480" max="480" width="9" customWidth="1"/>
    <col min="481" max="482" width="11.5546875" customWidth="1"/>
    <col min="483" max="483" width="11" customWidth="1"/>
    <col min="484" max="485" width="13.5546875" customWidth="1"/>
    <col min="486" max="486" width="9" customWidth="1"/>
    <col min="487" max="488" width="11.5546875" customWidth="1"/>
    <col min="489" max="489" width="14" customWidth="1"/>
    <col min="490" max="491" width="22.44140625" customWidth="1"/>
    <col min="492" max="492" width="9" customWidth="1"/>
    <col min="493" max="494" width="11.5546875" customWidth="1"/>
    <col min="495" max="495" width="14" customWidth="1"/>
    <col min="496" max="497" width="22.44140625" customWidth="1"/>
    <col min="498" max="498" width="14" customWidth="1"/>
    <col min="499" max="500" width="22.44140625" customWidth="1"/>
    <col min="501" max="501" width="14" customWidth="1"/>
    <col min="502" max="503" width="22.44140625" customWidth="1"/>
    <col min="504" max="504" width="14" customWidth="1"/>
    <col min="505" max="506" width="22.44140625" customWidth="1"/>
    <col min="507" max="507" width="9" customWidth="1"/>
    <col min="508" max="509" width="11.5546875" customWidth="1"/>
    <col min="510" max="510" width="11" customWidth="1"/>
    <col min="511" max="512" width="13.5546875" customWidth="1"/>
    <col min="513" max="513" width="14" customWidth="1"/>
    <col min="514" max="515" width="22.44140625" customWidth="1"/>
    <col min="516" max="516" width="10" customWidth="1"/>
    <col min="517" max="518" width="12.5546875" customWidth="1"/>
    <col min="519" max="519" width="10" customWidth="1"/>
    <col min="520" max="521" width="12.5546875" customWidth="1"/>
    <col min="522" max="522" width="9" customWidth="1"/>
    <col min="523" max="524" width="11.5546875" customWidth="1"/>
    <col min="525" max="525" width="9" customWidth="1"/>
    <col min="526" max="527" width="11.5546875" customWidth="1"/>
    <col min="528" max="528" width="9" customWidth="1"/>
    <col min="529" max="530" width="11.5546875" customWidth="1"/>
    <col min="531" max="531" width="14" customWidth="1"/>
    <col min="532" max="533" width="22.44140625" customWidth="1"/>
    <col min="534" max="534" width="9" customWidth="1"/>
    <col min="535" max="536" width="11.5546875" customWidth="1"/>
    <col min="537" max="537" width="9" customWidth="1"/>
    <col min="538" max="539" width="11.5546875" customWidth="1"/>
    <col min="540" max="540" width="8" customWidth="1"/>
    <col min="541" max="542" width="10.5546875" customWidth="1"/>
    <col min="543" max="543" width="14" customWidth="1"/>
    <col min="544" max="545" width="22.44140625" customWidth="1"/>
    <col min="546" max="546" width="9" customWidth="1"/>
    <col min="547" max="548" width="11.5546875" customWidth="1"/>
    <col min="549" max="549" width="14" customWidth="1"/>
    <col min="550" max="551" width="22.44140625" customWidth="1"/>
    <col min="552" max="552" width="14" customWidth="1"/>
    <col min="553" max="554" width="22.44140625" customWidth="1"/>
    <col min="555" max="555" width="9" customWidth="1"/>
    <col min="556" max="557" width="11.5546875" customWidth="1"/>
    <col min="558" max="558" width="11" customWidth="1"/>
    <col min="559" max="560" width="13.5546875" customWidth="1"/>
    <col min="561" max="561" width="14" customWidth="1"/>
    <col min="562" max="563" width="22.44140625" customWidth="1"/>
    <col min="564" max="564" width="14" customWidth="1"/>
    <col min="565" max="566" width="22.44140625" customWidth="1"/>
    <col min="567" max="567" width="6" customWidth="1"/>
    <col min="568" max="569" width="9.44140625" customWidth="1"/>
    <col min="570" max="570" width="14" customWidth="1"/>
    <col min="571" max="572" width="22.44140625" customWidth="1"/>
    <col min="573" max="573" width="10" customWidth="1"/>
    <col min="574" max="575" width="12.5546875" customWidth="1"/>
    <col min="576" max="576" width="5.5546875" customWidth="1"/>
    <col min="577" max="578" width="9" customWidth="1"/>
    <col min="579" max="579" width="9.44140625" customWidth="1"/>
    <col min="580" max="581" width="12.44140625" customWidth="1"/>
    <col min="582" max="582" width="11.5546875" customWidth="1"/>
    <col min="583" max="583" width="22.44140625" customWidth="1"/>
    <col min="584" max="584" width="14" customWidth="1"/>
    <col min="585" max="586" width="22.44140625" customWidth="1"/>
    <col min="587" max="587" width="21" customWidth="1"/>
    <col min="588" max="588" width="9" customWidth="1"/>
    <col min="589" max="589" width="11.5546875" customWidth="1"/>
    <col min="590" max="590" width="10.5546875" customWidth="1"/>
    <col min="591" max="591" width="9.5546875" customWidth="1"/>
    <col min="592" max="592" width="9" customWidth="1"/>
    <col min="593" max="595" width="11.5546875" customWidth="1"/>
    <col min="596" max="596" width="9" customWidth="1"/>
    <col min="597" max="599" width="11.5546875" customWidth="1"/>
    <col min="600" max="600" width="9" customWidth="1"/>
    <col min="601" max="603" width="11.5546875" customWidth="1"/>
    <col min="604" max="604" width="11" customWidth="1"/>
    <col min="605" max="607" width="13.5546875" customWidth="1"/>
    <col min="608" max="608" width="9" customWidth="1"/>
    <col min="609" max="610" width="11.5546875" customWidth="1"/>
    <col min="611" max="611" width="10.5546875" customWidth="1"/>
    <col min="612" max="612" width="14" customWidth="1"/>
    <col min="613" max="615" width="22.44140625" customWidth="1"/>
    <col min="616" max="616" width="9" customWidth="1"/>
    <col min="617" max="619" width="11.5546875" customWidth="1"/>
    <col min="620" max="620" width="14" customWidth="1"/>
    <col min="621" max="623" width="22.44140625" customWidth="1"/>
    <col min="624" max="624" width="5" customWidth="1"/>
    <col min="625" max="627" width="8.44140625" customWidth="1"/>
    <col min="628" max="628" width="9" customWidth="1"/>
    <col min="629" max="631" width="11.5546875" customWidth="1"/>
    <col min="632" max="632" width="11" customWidth="1"/>
    <col min="633" max="635" width="13.5546875" customWidth="1"/>
    <col min="636" max="636" width="14" customWidth="1"/>
    <col min="637" max="639" width="22.44140625" customWidth="1"/>
    <col min="640" max="640" width="9" customWidth="1"/>
    <col min="641" max="642" width="11.5546875" customWidth="1"/>
    <col min="643" max="643" width="10.5546875" customWidth="1"/>
    <col min="644" max="644" width="9" customWidth="1"/>
    <col min="645" max="647" width="11.5546875" customWidth="1"/>
    <col min="648" max="648" width="10" customWidth="1"/>
    <col min="649" max="650" width="12.5546875" customWidth="1"/>
    <col min="651" max="651" width="11.5546875" customWidth="1"/>
    <col min="652" max="652" width="9" customWidth="1"/>
    <col min="653" max="655" width="11.5546875" customWidth="1"/>
    <col min="656" max="656" width="9" customWidth="1"/>
    <col min="657" max="659" width="11.5546875" customWidth="1"/>
    <col min="660" max="660" width="9" customWidth="1"/>
    <col min="661" max="663" width="11.5546875" customWidth="1"/>
    <col min="664" max="664" width="14" customWidth="1"/>
    <col min="665" max="667" width="22.44140625" customWidth="1"/>
    <col min="668" max="668" width="11" customWidth="1"/>
    <col min="669" max="671" width="13.5546875" customWidth="1"/>
    <col min="672" max="672" width="9" customWidth="1"/>
    <col min="673" max="675" width="11.5546875" customWidth="1"/>
    <col min="676" max="676" width="14" customWidth="1"/>
    <col min="677" max="679" width="22.44140625" customWidth="1"/>
    <col min="680" max="680" width="14" customWidth="1"/>
    <col min="681" max="683" width="22.44140625" customWidth="1"/>
    <col min="684" max="684" width="14" customWidth="1"/>
    <col min="685" max="687" width="22.44140625" customWidth="1"/>
    <col min="688" max="688" width="14" customWidth="1"/>
    <col min="689" max="691" width="22.44140625" customWidth="1"/>
    <col min="692" max="692" width="9" customWidth="1"/>
    <col min="693" max="695" width="11.5546875" customWidth="1"/>
    <col min="696" max="696" width="11" customWidth="1"/>
    <col min="697" max="699" width="13.5546875" customWidth="1"/>
    <col min="700" max="700" width="14" customWidth="1"/>
    <col min="701" max="703" width="22.44140625" customWidth="1"/>
    <col min="704" max="704" width="9" customWidth="1"/>
    <col min="705" max="707" width="11.5546875" customWidth="1"/>
    <col min="708" max="708" width="10" customWidth="1"/>
    <col min="709" max="711" width="12.5546875" customWidth="1"/>
    <col min="712" max="712" width="9" customWidth="1"/>
    <col min="713" max="715" width="11.5546875" customWidth="1"/>
    <col min="716" max="716" width="14" customWidth="1"/>
    <col min="717" max="719" width="22.44140625" customWidth="1"/>
    <col min="720" max="720" width="9" customWidth="1"/>
    <col min="721" max="723" width="11.5546875" customWidth="1"/>
    <col min="724" max="724" width="9" customWidth="1"/>
    <col min="725" max="727" width="11.5546875" customWidth="1"/>
    <col min="728" max="728" width="8" customWidth="1"/>
    <col min="729" max="731" width="10.5546875" customWidth="1"/>
    <col min="732" max="732" width="9" customWidth="1"/>
    <col min="733" max="735" width="11.5546875" customWidth="1"/>
    <col min="736" max="736" width="14" customWidth="1"/>
    <col min="737" max="739" width="22.44140625" customWidth="1"/>
    <col min="740" max="740" width="9" customWidth="1"/>
    <col min="741" max="743" width="11.5546875" customWidth="1"/>
    <col min="744" max="744" width="14" customWidth="1"/>
    <col min="745" max="747" width="22.44140625" customWidth="1"/>
    <col min="748" max="748" width="9" customWidth="1"/>
    <col min="749" max="751" width="11.5546875" customWidth="1"/>
    <col min="752" max="752" width="14" customWidth="1"/>
    <col min="753" max="755" width="22.44140625" customWidth="1"/>
    <col min="756" max="756" width="11" customWidth="1"/>
    <col min="757" max="759" width="13.5546875" customWidth="1"/>
    <col min="760" max="760" width="14" customWidth="1"/>
    <col min="761" max="762" width="22.44140625" customWidth="1"/>
    <col min="763" max="763" width="21" customWidth="1"/>
    <col min="764" max="764" width="14" customWidth="1"/>
    <col min="765" max="767" width="22.44140625" customWidth="1"/>
    <col min="768" max="768" width="6" customWidth="1"/>
    <col min="769" max="771" width="9.44140625" customWidth="1"/>
    <col min="772" max="772" width="14" customWidth="1"/>
    <col min="773" max="775" width="22.44140625" customWidth="1"/>
    <col min="776" max="776" width="10" customWidth="1"/>
    <col min="777" max="779" width="12.5546875" customWidth="1"/>
    <col min="780" max="780" width="5.5546875" customWidth="1"/>
    <col min="781" max="783" width="9" customWidth="1"/>
    <col min="784" max="784" width="9.44140625" customWidth="1"/>
    <col min="785" max="787" width="12.44140625" customWidth="1"/>
    <col min="788" max="788" width="11.5546875" customWidth="1"/>
    <col min="789" max="789" width="22.44140625" customWidth="1"/>
    <col min="790" max="790" width="5" customWidth="1"/>
    <col min="791" max="794" width="8.44140625" customWidth="1"/>
    <col min="795" max="795" width="11" customWidth="1"/>
    <col min="796" max="798" width="13.5546875" customWidth="1"/>
    <col min="799" max="799" width="12.5546875" customWidth="1"/>
    <col min="800" max="800" width="14" customWidth="1"/>
    <col min="801" max="804" width="22.44140625" customWidth="1"/>
    <col min="805" max="805" width="9" customWidth="1"/>
    <col min="806" max="809" width="11.5546875" customWidth="1"/>
    <col min="810" max="810" width="9" customWidth="1"/>
    <col min="811" max="814" width="11.5546875" customWidth="1"/>
    <col min="815" max="815" width="9" customWidth="1"/>
    <col min="816" max="817" width="11.5546875" customWidth="1"/>
    <col min="818" max="819" width="10.5546875" customWidth="1"/>
    <col min="820" max="820" width="9" customWidth="1"/>
    <col min="821" max="824" width="11.5546875" customWidth="1"/>
    <col min="825" max="825" width="14" customWidth="1"/>
    <col min="826" max="829" width="22.44140625" customWidth="1"/>
    <col min="830" max="830" width="11" customWidth="1"/>
    <col min="831" max="833" width="13.5546875" customWidth="1"/>
    <col min="834" max="834" width="11.5546875" customWidth="1"/>
    <col min="835" max="835" width="9" customWidth="1"/>
    <col min="836" max="839" width="11.5546875" customWidth="1"/>
    <col min="840" max="840" width="9" customWidth="1"/>
    <col min="841" max="844" width="11.5546875" customWidth="1"/>
    <col min="845" max="845" width="9" customWidth="1"/>
    <col min="846" max="849" width="11.5546875" customWidth="1"/>
    <col min="850" max="850" width="9" customWidth="1"/>
    <col min="851" max="854" width="11.5546875" customWidth="1"/>
    <col min="855" max="855" width="14" customWidth="1"/>
    <col min="856" max="859" width="22.44140625" customWidth="1"/>
    <col min="860" max="860" width="14" customWidth="1"/>
    <col min="861" max="864" width="22.44140625" customWidth="1"/>
    <col min="865" max="865" width="14" customWidth="1"/>
    <col min="866" max="869" width="22.44140625" customWidth="1"/>
    <col min="870" max="870" width="14" customWidth="1"/>
    <col min="871" max="873" width="22.44140625" customWidth="1"/>
    <col min="874" max="874" width="21" customWidth="1"/>
    <col min="875" max="875" width="9" customWidth="1"/>
    <col min="876" max="879" width="11.5546875" customWidth="1"/>
    <col min="880" max="880" width="11" customWidth="1"/>
    <col min="881" max="883" width="13.5546875" customWidth="1"/>
    <col min="884" max="884" width="12.5546875" customWidth="1"/>
    <col min="885" max="885" width="10" customWidth="1"/>
    <col min="886" max="887" width="12.5546875" customWidth="1"/>
    <col min="888" max="888" width="11.5546875" customWidth="1"/>
    <col min="889" max="889" width="12.5546875" customWidth="1"/>
    <col min="890" max="890" width="14" customWidth="1"/>
    <col min="891" max="894" width="22.44140625" customWidth="1"/>
    <col min="895" max="895" width="10" customWidth="1"/>
    <col min="896" max="899" width="12.5546875" customWidth="1"/>
    <col min="900" max="900" width="9" customWidth="1"/>
    <col min="901" max="903" width="11.5546875" customWidth="1"/>
    <col min="904" max="904" width="10.5546875" customWidth="1"/>
    <col min="905" max="905" width="9" customWidth="1"/>
    <col min="906" max="909" width="11.5546875" customWidth="1"/>
    <col min="910" max="910" width="14" customWidth="1"/>
    <col min="911" max="914" width="22.44140625" customWidth="1"/>
    <col min="915" max="915" width="9" customWidth="1"/>
    <col min="916" max="919" width="11.5546875" customWidth="1"/>
    <col min="920" max="920" width="9" customWidth="1"/>
    <col min="921" max="924" width="11.5546875" customWidth="1"/>
    <col min="925" max="925" width="8" customWidth="1"/>
    <col min="926" max="929" width="10.5546875" customWidth="1"/>
    <col min="930" max="930" width="14" customWidth="1"/>
    <col min="931" max="934" width="22.44140625" customWidth="1"/>
    <col min="935" max="935" width="9" customWidth="1"/>
    <col min="936" max="938" width="11.5546875" customWidth="1"/>
    <col min="939" max="939" width="10.5546875" customWidth="1"/>
    <col min="940" max="940" width="14" customWidth="1"/>
    <col min="941" max="944" width="22.44140625" customWidth="1"/>
    <col min="945" max="945" width="14" customWidth="1"/>
    <col min="946" max="949" width="22.44140625" customWidth="1"/>
    <col min="950" max="950" width="9" customWidth="1"/>
    <col min="951" max="954" width="11.5546875" customWidth="1"/>
    <col min="955" max="955" width="11" customWidth="1"/>
    <col min="956" max="958" width="13.5546875" customWidth="1"/>
    <col min="959" max="959" width="12.5546875" customWidth="1"/>
    <col min="960" max="960" width="9" customWidth="1"/>
    <col min="961" max="964" width="11.5546875" customWidth="1"/>
    <col min="965" max="965" width="14" customWidth="1"/>
    <col min="966" max="967" width="22.44140625" customWidth="1"/>
    <col min="968" max="968" width="21" customWidth="1"/>
    <col min="969" max="969" width="22.44140625" customWidth="1"/>
    <col min="970" max="970" width="14" customWidth="1"/>
    <col min="971" max="974" width="22.44140625" customWidth="1"/>
    <col min="975" max="975" width="6" customWidth="1"/>
    <col min="976" max="979" width="9.44140625" customWidth="1"/>
    <col min="980" max="980" width="14" customWidth="1"/>
    <col min="981" max="984" width="22.44140625" customWidth="1"/>
    <col min="985" max="985" width="10" customWidth="1"/>
    <col min="986" max="988" width="12.5546875" customWidth="1"/>
    <col min="989" max="989" width="11.5546875" customWidth="1"/>
    <col min="990" max="990" width="5.5546875" customWidth="1"/>
    <col min="991" max="994" width="9" customWidth="1"/>
    <col min="995" max="995" width="9.44140625" customWidth="1"/>
    <col min="996" max="999" width="12.44140625" customWidth="1"/>
    <col min="1000" max="1000" width="11.5546875" customWidth="1"/>
    <col min="1001" max="1001" width="12.5546875" customWidth="1"/>
    <col min="1002" max="1002" width="11.5546875" customWidth="1"/>
    <col min="1003" max="1003" width="14" customWidth="1"/>
    <col min="1004" max="1008" width="22.44140625" customWidth="1"/>
    <col min="1009" max="1009" width="9" customWidth="1"/>
    <col min="1010" max="1014" width="11.5546875" customWidth="1"/>
    <col min="1015" max="1015" width="14" customWidth="1"/>
    <col min="1016" max="1016" width="22.44140625" customWidth="1"/>
    <col min="1017" max="1018" width="22.44140625" bestFit="1" customWidth="1"/>
    <col min="1019" max="1020" width="22.44140625" customWidth="1"/>
    <col min="1021" max="1021" width="5" customWidth="1"/>
    <col min="1022" max="1026" width="8.44140625" customWidth="1"/>
    <col min="1027" max="1027" width="11" customWidth="1"/>
    <col min="1028" max="1029" width="13.5546875" bestFit="1" customWidth="1"/>
    <col min="1030" max="1030" width="13.5546875" customWidth="1"/>
    <col min="1031" max="1031" width="12.5546875" customWidth="1"/>
    <col min="1032" max="1032" width="13.5546875" customWidth="1"/>
    <col min="1033" max="1033" width="14" customWidth="1"/>
    <col min="1034" max="1037" width="22.44140625" customWidth="1"/>
    <col min="1038" max="1038" width="21" customWidth="1"/>
    <col min="1039" max="1039" width="9" customWidth="1"/>
    <col min="1040" max="1041" width="11.5546875" customWidth="1"/>
    <col min="1042" max="1043" width="10.5546875" customWidth="1"/>
    <col min="1044" max="1044" width="11.5546875" customWidth="1"/>
    <col min="1045" max="1045" width="9" customWidth="1"/>
    <col min="1046" max="1049" width="8.5546875" customWidth="1"/>
    <col min="1050" max="1050" width="11.5546875" customWidth="1"/>
    <col min="1051" max="1051" width="9" customWidth="1"/>
    <col min="1052" max="1056" width="11.5546875" customWidth="1"/>
    <col min="1057" max="1057" width="9" customWidth="1"/>
    <col min="1058" max="1062" width="11.5546875" customWidth="1"/>
    <col min="1063" max="1063" width="14" bestFit="1" customWidth="1"/>
    <col min="1064" max="1066" width="22.44140625" customWidth="1"/>
    <col min="1067" max="1067" width="22.44140625" bestFit="1" customWidth="1"/>
    <col min="1068" max="1068" width="22.44140625" customWidth="1"/>
    <col min="1069" max="1069" width="11" customWidth="1"/>
    <col min="1070" max="1070" width="13.5546875" bestFit="1" customWidth="1"/>
    <col min="1071" max="1072" width="13.5546875" customWidth="1"/>
    <col min="1073" max="1073" width="11.5546875" customWidth="1"/>
    <col min="1074" max="1074" width="13.5546875" customWidth="1"/>
    <col min="1075" max="1075" width="10" customWidth="1"/>
    <col min="1076" max="1079" width="12.5546875" customWidth="1"/>
    <col min="1080" max="1080" width="12.5546875" bestFit="1" customWidth="1"/>
    <col min="1081" max="1081" width="9" customWidth="1"/>
    <col min="1082" max="1086" width="11.5546875" customWidth="1"/>
    <col min="1087" max="1087" width="14" customWidth="1"/>
    <col min="1088" max="1088" width="22.44140625" customWidth="1"/>
    <col min="1089" max="1090" width="22.44140625" bestFit="1" customWidth="1"/>
    <col min="1091" max="1092" width="22.44140625" customWidth="1"/>
    <col min="1093" max="1093" width="9" customWidth="1"/>
    <col min="1094" max="1098" width="11.5546875" customWidth="1"/>
    <col min="1099" max="1099" width="9" customWidth="1"/>
    <col min="1100" max="1104" width="11.5546875" customWidth="1"/>
    <col min="1105" max="1105" width="14" customWidth="1"/>
    <col min="1106" max="1107" width="22.44140625" customWidth="1"/>
    <col min="1108" max="1108" width="22.44140625" bestFit="1" customWidth="1"/>
    <col min="1109" max="1109" width="21" bestFit="1" customWidth="1"/>
    <col min="1110" max="1110" width="22.44140625" customWidth="1"/>
    <col min="1111" max="1111" width="9" customWidth="1"/>
    <col min="1112" max="1116" width="11.5546875" customWidth="1"/>
    <col min="1117" max="1117" width="14" customWidth="1"/>
    <col min="1118" max="1119" width="22.44140625" bestFit="1" customWidth="1"/>
    <col min="1120" max="1122" width="22.44140625" customWidth="1"/>
    <col min="1123" max="1123" width="11" customWidth="1"/>
    <col min="1124" max="1126" width="13.5546875" customWidth="1"/>
    <col min="1127" max="1127" width="12.5546875" customWidth="1"/>
    <col min="1128" max="1128" width="13.5546875" customWidth="1"/>
    <col min="1129" max="1129" width="14" customWidth="1"/>
    <col min="1130" max="1130" width="22.44140625" bestFit="1" customWidth="1"/>
    <col min="1131" max="1134" width="22.44140625" customWidth="1"/>
    <col min="1135" max="1135" width="10" customWidth="1"/>
    <col min="1136" max="1136" width="12.5546875" customWidth="1"/>
    <col min="1137" max="1137" width="12.5546875" bestFit="1" customWidth="1"/>
    <col min="1138" max="1138" width="11.5546875" customWidth="1"/>
    <col min="1139" max="1140" width="12.5546875" customWidth="1"/>
    <col min="1141" max="1141" width="14" customWidth="1"/>
    <col min="1142" max="1144" width="22.44140625" bestFit="1" customWidth="1"/>
    <col min="1145" max="1146" width="22.44140625" customWidth="1"/>
    <col min="1147" max="1147" width="9" customWidth="1"/>
    <col min="1148" max="1150" width="11.5546875" customWidth="1"/>
    <col min="1151" max="1151" width="10.5546875" customWidth="1"/>
    <col min="1152" max="1152" width="11.5546875" customWidth="1"/>
    <col min="1153" max="1153" width="9" customWidth="1"/>
    <col min="1154" max="1158" width="11.5546875" customWidth="1"/>
    <col min="1159" max="1159" width="9" customWidth="1"/>
    <col min="1160" max="1163" width="11.5546875" customWidth="1"/>
    <col min="1164" max="1164" width="10.5546875" customWidth="1"/>
    <col min="1165" max="1165" width="9" customWidth="1"/>
    <col min="1166" max="1170" width="11.5546875" customWidth="1"/>
    <col min="1171" max="1171" width="9" customWidth="1"/>
    <col min="1172" max="1174" width="11.5546875" customWidth="1"/>
    <col min="1175" max="1175" width="10.5546875" customWidth="1"/>
    <col min="1176" max="1176" width="11.5546875" customWidth="1"/>
    <col min="1177" max="1177" width="14" bestFit="1" customWidth="1"/>
    <col min="1178" max="1178" width="22.44140625" bestFit="1" customWidth="1"/>
    <col min="1179" max="1179" width="22.44140625" customWidth="1"/>
    <col min="1180" max="1181" width="22.44140625" bestFit="1" customWidth="1"/>
    <col min="1182" max="1182" width="22.44140625" customWidth="1"/>
    <col min="1183" max="1183" width="14" customWidth="1"/>
    <col min="1184" max="1186" width="22.44140625" bestFit="1" customWidth="1"/>
    <col min="1187" max="1188" width="22.44140625" customWidth="1"/>
    <col min="1189" max="1189" width="9" customWidth="1"/>
    <col min="1190" max="1194" width="11.5546875" customWidth="1"/>
    <col min="1195" max="1195" width="9" customWidth="1"/>
    <col min="1196" max="1200" width="11.5546875" customWidth="1"/>
    <col min="1201" max="1201" width="14" customWidth="1"/>
    <col min="1202" max="1203" width="22.44140625" bestFit="1" customWidth="1"/>
    <col min="1204" max="1204" width="21" bestFit="1" customWidth="1"/>
    <col min="1205" max="1205" width="22.44140625" bestFit="1" customWidth="1"/>
    <col min="1206" max="1206" width="20" customWidth="1"/>
    <col min="1207" max="1207" width="14" bestFit="1" customWidth="1"/>
    <col min="1208" max="1211" width="22.44140625" bestFit="1" customWidth="1"/>
    <col min="1212" max="1212" width="22.44140625" customWidth="1"/>
    <col min="1213" max="1213" width="11" customWidth="1"/>
    <col min="1214" max="1215" width="13.5546875" customWidth="1"/>
    <col min="1216" max="1216" width="13.5546875" bestFit="1" customWidth="1"/>
    <col min="1217" max="1217" width="12.5546875" bestFit="1" customWidth="1"/>
    <col min="1218" max="1218" width="13.5546875" customWidth="1"/>
    <col min="1219" max="1219" width="14" customWidth="1"/>
    <col min="1220" max="1224" width="22.44140625" customWidth="1"/>
    <col min="1225" max="1225" width="8" customWidth="1"/>
    <col min="1226" max="1230" width="10.5546875" customWidth="1"/>
    <col min="1231" max="1231" width="6" customWidth="1"/>
    <col min="1232" max="1236" width="9.44140625" customWidth="1"/>
    <col min="1237" max="1237" width="14" customWidth="1"/>
    <col min="1238" max="1242" width="22.44140625" bestFit="1" customWidth="1"/>
    <col min="1243" max="1243" width="10" customWidth="1"/>
    <col min="1244" max="1246" width="12.5546875" customWidth="1"/>
    <col min="1247" max="1247" width="11.5546875" customWidth="1"/>
    <col min="1248" max="1248" width="12.5546875" customWidth="1"/>
    <col min="1249" max="1249" width="9.44140625" customWidth="1"/>
    <col min="1250" max="1253" width="8.5546875" customWidth="1"/>
    <col min="1254" max="1254" width="9.44140625" customWidth="1"/>
    <col min="1255" max="1256" width="12.44140625" bestFit="1" customWidth="1"/>
    <col min="1257" max="1259" width="12.44140625" customWidth="1"/>
    <col min="1260" max="1260" width="11.5546875" customWidth="1"/>
    <col min="1261" max="1263" width="22.44140625" bestFit="1" customWidth="1"/>
    <col min="1264" max="1264" width="11" customWidth="1"/>
    <col min="1265" max="1267" width="13.5546875" bestFit="1" customWidth="1"/>
    <col min="1268" max="1268" width="12.5546875" customWidth="1"/>
    <col min="1269" max="1270" width="13.5546875" bestFit="1" customWidth="1"/>
    <col min="1271" max="1271" width="11" customWidth="1"/>
    <col min="1272" max="1274" width="13.5546875" customWidth="1"/>
    <col min="1275" max="1275" width="12.5546875" customWidth="1"/>
    <col min="1276" max="1277" width="13.5546875" customWidth="1"/>
    <col min="1278" max="1278" width="14" customWidth="1"/>
    <col min="1279" max="1282" width="22.44140625" bestFit="1" customWidth="1"/>
    <col min="1283" max="1284" width="22.44140625" customWidth="1"/>
    <col min="1285" max="1285" width="14" bestFit="1" customWidth="1"/>
    <col min="1286" max="1289" width="22.44140625" bestFit="1" customWidth="1"/>
    <col min="1290" max="1290" width="21" bestFit="1" customWidth="1"/>
    <col min="1291" max="1291" width="22.44140625" bestFit="1" customWidth="1"/>
    <col min="1292" max="1292" width="9" customWidth="1"/>
    <col min="1293" max="1298" width="11.5546875" customWidth="1"/>
    <col min="1299" max="1299" width="5" customWidth="1"/>
    <col min="1300" max="1305" width="8.44140625" customWidth="1"/>
    <col min="1306" max="1306" width="9" customWidth="1"/>
    <col min="1307" max="1307" width="11.5546875" customWidth="1"/>
    <col min="1308" max="1308" width="11.5546875" bestFit="1" customWidth="1"/>
    <col min="1309" max="1310" width="10.5546875" customWidth="1"/>
    <col min="1311" max="1311" width="11.5546875" bestFit="1" customWidth="1"/>
    <col min="1312" max="1312" width="11.5546875" customWidth="1"/>
    <col min="1313" max="1313" width="9" customWidth="1"/>
    <col min="1314" max="1319" width="11.5546875" customWidth="1"/>
    <col min="1320" max="1320" width="11" bestFit="1" customWidth="1"/>
    <col min="1321" max="1323" width="13.5546875" customWidth="1"/>
    <col min="1324" max="1324" width="11.5546875" customWidth="1"/>
    <col min="1325" max="1325" width="13.5546875" bestFit="1" customWidth="1"/>
    <col min="1326" max="1326" width="13.5546875" customWidth="1"/>
    <col min="1327" max="1327" width="9" customWidth="1"/>
    <col min="1328" max="1328" width="11.5546875" customWidth="1"/>
    <col min="1329" max="1329" width="11.5546875" bestFit="1" customWidth="1"/>
    <col min="1330" max="1333" width="11.5546875" customWidth="1"/>
    <col min="1334" max="1334" width="9" customWidth="1"/>
    <col min="1335" max="1337" width="11.5546875" bestFit="1" customWidth="1"/>
    <col min="1338" max="1338" width="10.5546875" bestFit="1" customWidth="1"/>
    <col min="1339" max="1340" width="11.5546875" bestFit="1" customWidth="1"/>
    <col min="1341" max="1341" width="9" customWidth="1"/>
    <col min="1342" max="1347" width="11.5546875" bestFit="1" customWidth="1"/>
    <col min="1348" max="1348" width="14" bestFit="1" customWidth="1"/>
    <col min="1349" max="1354" width="22.44140625" bestFit="1" customWidth="1"/>
    <col min="1355" max="1355" width="9" customWidth="1"/>
    <col min="1356" max="1361" width="11.5546875" bestFit="1" customWidth="1"/>
    <col min="1362" max="1362" width="11" bestFit="1" customWidth="1"/>
    <col min="1363" max="1365" width="13.5546875" bestFit="1" customWidth="1"/>
    <col min="1366" max="1366" width="12.5546875" bestFit="1" customWidth="1"/>
    <col min="1367" max="1368" width="13.5546875" bestFit="1" customWidth="1"/>
    <col min="1369" max="1369" width="14" bestFit="1" customWidth="1"/>
    <col min="1370" max="1372" width="22.44140625" bestFit="1" customWidth="1"/>
    <col min="1373" max="1373" width="21" bestFit="1" customWidth="1"/>
    <col min="1374" max="1375" width="22.44140625" bestFit="1" customWidth="1"/>
    <col min="1376" max="1376" width="9" customWidth="1"/>
    <col min="1377" max="1382" width="11.5546875" bestFit="1" customWidth="1"/>
    <col min="1383" max="1383" width="9" customWidth="1"/>
    <col min="1384" max="1389" width="11.5546875" bestFit="1" customWidth="1"/>
    <col min="1390" max="1390" width="14" bestFit="1" customWidth="1"/>
    <col min="1391" max="1396" width="22.44140625" bestFit="1" customWidth="1"/>
    <col min="1397" max="1397" width="14" bestFit="1" customWidth="1"/>
    <col min="1398" max="1403" width="22.44140625" bestFit="1" customWidth="1"/>
    <col min="1404" max="1404" width="9" customWidth="1"/>
    <col min="1405" max="1410" width="11.5546875" bestFit="1" customWidth="1"/>
    <col min="1411" max="1411" width="9" customWidth="1"/>
    <col min="1412" max="1415" width="11.5546875" bestFit="1" customWidth="1"/>
    <col min="1416" max="1417" width="10.5546875" bestFit="1" customWidth="1"/>
    <col min="1418" max="1418" width="9" customWidth="1"/>
    <col min="1419" max="1423" width="11.5546875" bestFit="1" customWidth="1"/>
    <col min="1424" max="1424" width="10.5546875" bestFit="1" customWidth="1"/>
    <col min="1425" max="1425" width="14" bestFit="1" customWidth="1"/>
    <col min="1426" max="1431" width="22.44140625" bestFit="1" customWidth="1"/>
    <col min="1432" max="1432" width="9" customWidth="1"/>
    <col min="1433" max="1438" width="11.5546875" bestFit="1" customWidth="1"/>
    <col min="1439" max="1439" width="14" bestFit="1" customWidth="1"/>
    <col min="1440" max="1445" width="22.44140625" bestFit="1" customWidth="1"/>
    <col min="1446" max="1446" width="9" customWidth="1"/>
    <col min="1447" max="1449" width="11.5546875" bestFit="1" customWidth="1"/>
    <col min="1450" max="1450" width="10.5546875" bestFit="1" customWidth="1"/>
    <col min="1451" max="1451" width="11.5546875" bestFit="1" customWidth="1"/>
    <col min="1452" max="1452" width="10.5546875" bestFit="1" customWidth="1"/>
    <col min="1453" max="1453" width="14" bestFit="1" customWidth="1"/>
    <col min="1454" max="1455" width="22.44140625" bestFit="1" customWidth="1"/>
    <col min="1456" max="1456" width="21" bestFit="1" customWidth="1"/>
    <col min="1457" max="1457" width="22.44140625" bestFit="1" customWidth="1"/>
    <col min="1458" max="1458" width="20" bestFit="1" customWidth="1"/>
    <col min="1459" max="1459" width="22.44140625" bestFit="1" customWidth="1"/>
    <col min="1460" max="1460" width="14" bestFit="1" customWidth="1"/>
    <col min="1461" max="1466" width="22.44140625" bestFit="1" customWidth="1"/>
    <col min="1467" max="1467" width="9" customWidth="1"/>
    <col min="1468" max="1473" width="11.5546875" bestFit="1" customWidth="1"/>
    <col min="1474" max="1474" width="9" customWidth="1"/>
    <col min="1475" max="1480" width="11.5546875" bestFit="1" customWidth="1"/>
    <col min="1481" max="1481" width="11" bestFit="1" customWidth="1"/>
    <col min="1482" max="1484" width="13.5546875" bestFit="1" customWidth="1"/>
    <col min="1485" max="1485" width="12.5546875" bestFit="1" customWidth="1"/>
    <col min="1486" max="1487" width="13.5546875" bestFit="1" customWidth="1"/>
    <col min="1488" max="1488" width="14" bestFit="1" customWidth="1"/>
    <col min="1489" max="1493" width="22.44140625" bestFit="1" customWidth="1"/>
    <col min="1494" max="1494" width="21" bestFit="1" customWidth="1"/>
    <col min="1495" max="1495" width="6" customWidth="1"/>
    <col min="1501" max="1501" width="8.44140625" customWidth="1"/>
    <col min="1502" max="1502" width="8" customWidth="1"/>
    <col min="1503" max="1508" width="10.5546875" bestFit="1" customWidth="1"/>
    <col min="1509" max="1509" width="14" bestFit="1" customWidth="1"/>
    <col min="1510" max="1515" width="22.44140625" bestFit="1" customWidth="1"/>
    <col min="1516" max="1516" width="6" customWidth="1"/>
    <col min="1517" max="1521" width="7.44140625" customWidth="1"/>
    <col min="1523" max="1523" width="10" bestFit="1" customWidth="1"/>
    <col min="1524" max="1528" width="10.5546875" bestFit="1" customWidth="1"/>
    <col min="1529" max="1529" width="12.5546875" bestFit="1" customWidth="1"/>
    <col min="1530" max="1530" width="10" bestFit="1" customWidth="1"/>
    <col min="1531" max="1533" width="12.5546875" bestFit="1" customWidth="1"/>
    <col min="1534" max="1534" width="11.5546875" bestFit="1" customWidth="1"/>
    <col min="1535" max="1536" width="12.5546875" bestFit="1" customWidth="1"/>
    <col min="1537" max="1537" width="14" bestFit="1" customWidth="1"/>
    <col min="1538" max="1543" width="22.44140625" bestFit="1" customWidth="1"/>
    <col min="1545" max="1547" width="8.44140625" customWidth="1"/>
    <col min="1548" max="1548" width="8.5546875" customWidth="1"/>
    <col min="1549" max="1549" width="7.44140625" customWidth="1"/>
    <col min="1551" max="1554" width="8.5546875" customWidth="1"/>
    <col min="1556" max="1561" width="12.44140625" bestFit="1" customWidth="1"/>
    <col min="1562" max="1562" width="11.5546875" bestFit="1" customWidth="1"/>
  </cols>
  <sheetData>
    <row r="1" spans="1:14">
      <c r="A1" t="s">
        <v>1068</v>
      </c>
      <c r="E1">
        <f>SUM(C9:I9)</f>
        <v>798.75482830064777</v>
      </c>
    </row>
    <row r="3" spans="1:14">
      <c r="A3" s="134" t="s">
        <v>1069</v>
      </c>
      <c r="B3" s="134" t="s">
        <v>1070</v>
      </c>
    </row>
    <row r="4" spans="1:14">
      <c r="A4" s="134" t="s">
        <v>1057</v>
      </c>
      <c r="B4">
        <v>1</v>
      </c>
      <c r="C4">
        <v>2</v>
      </c>
      <c r="D4">
        <v>3</v>
      </c>
      <c r="E4">
        <v>4</v>
      </c>
      <c r="F4">
        <v>5</v>
      </c>
      <c r="G4">
        <v>6</v>
      </c>
      <c r="H4">
        <v>7</v>
      </c>
      <c r="I4">
        <v>8</v>
      </c>
      <c r="J4">
        <v>9</v>
      </c>
      <c r="K4">
        <v>10</v>
      </c>
      <c r="L4">
        <v>11</v>
      </c>
      <c r="M4">
        <v>14</v>
      </c>
      <c r="N4" t="s">
        <v>1065</v>
      </c>
    </row>
    <row r="5" spans="1:14">
      <c r="A5" s="135" t="s">
        <v>564</v>
      </c>
      <c r="L5">
        <v>0.59399999999999997</v>
      </c>
      <c r="N5">
        <v>0.59399999999999997</v>
      </c>
    </row>
    <row r="6" spans="1:14">
      <c r="A6" s="135" t="s">
        <v>1071</v>
      </c>
      <c r="B6">
        <v>3.1630000000000003</v>
      </c>
      <c r="D6">
        <v>3.1630000000000003</v>
      </c>
      <c r="F6">
        <v>3.1630000000000003</v>
      </c>
      <c r="N6">
        <v>9.4890000000000008</v>
      </c>
    </row>
    <row r="7" spans="1:14">
      <c r="A7" s="135" t="s">
        <v>1072</v>
      </c>
      <c r="L7">
        <v>34.804850000000002</v>
      </c>
      <c r="N7">
        <v>34.804850000000002</v>
      </c>
    </row>
    <row r="8" spans="1:14">
      <c r="A8" s="135" t="s">
        <v>205</v>
      </c>
      <c r="M8">
        <v>76.573000000000008</v>
      </c>
      <c r="N8">
        <v>76.573000000000008</v>
      </c>
    </row>
    <row r="9" spans="1:14">
      <c r="A9" s="135" t="s">
        <v>577</v>
      </c>
      <c r="B9">
        <v>34.830472172637101</v>
      </c>
      <c r="C9">
        <v>7</v>
      </c>
      <c r="D9">
        <v>94.52</v>
      </c>
      <c r="E9">
        <v>49.207194435125132</v>
      </c>
      <c r="F9">
        <v>167.8778896529378</v>
      </c>
      <c r="G9">
        <v>385.26360053706526</v>
      </c>
      <c r="H9">
        <v>64.719240659369973</v>
      </c>
      <c r="I9">
        <v>30.166903016149647</v>
      </c>
      <c r="K9">
        <v>0</v>
      </c>
      <c r="L9">
        <v>5.33012</v>
      </c>
      <c r="M9">
        <v>2.6770999999999998</v>
      </c>
      <c r="N9">
        <v>841.59252047328471</v>
      </c>
    </row>
    <row r="10" spans="1:14">
      <c r="A10" s="135" t="s">
        <v>575</v>
      </c>
      <c r="B10">
        <v>5.3739977128184977</v>
      </c>
      <c r="C10">
        <v>28.281000000000002</v>
      </c>
      <c r="E10">
        <v>18.353404999999999</v>
      </c>
      <c r="N10">
        <v>52.008402712818494</v>
      </c>
    </row>
    <row r="11" spans="1:14">
      <c r="A11" s="135" t="s">
        <v>568</v>
      </c>
      <c r="L11">
        <v>22.540970999999999</v>
      </c>
      <c r="N11">
        <v>22.540970999999999</v>
      </c>
    </row>
    <row r="12" spans="1:14">
      <c r="A12" s="135" t="s">
        <v>579</v>
      </c>
      <c r="G12">
        <v>13.061</v>
      </c>
      <c r="I12">
        <v>83.333000000000013</v>
      </c>
      <c r="L12">
        <v>0</v>
      </c>
      <c r="N12">
        <v>96.394000000000005</v>
      </c>
    </row>
    <row r="13" spans="1:14">
      <c r="A13" s="135" t="s">
        <v>572</v>
      </c>
      <c r="B13">
        <v>2.5</v>
      </c>
      <c r="D13">
        <v>31.065000000000001</v>
      </c>
      <c r="H13">
        <v>9.609</v>
      </c>
      <c r="J13">
        <v>16.082000000000001</v>
      </c>
      <c r="K13">
        <v>17.184610000000003</v>
      </c>
      <c r="L13">
        <v>2.2468499999999998</v>
      </c>
      <c r="N13">
        <v>78.687460000000002</v>
      </c>
    </row>
    <row r="14" spans="1:14">
      <c r="A14" s="135" t="s">
        <v>581</v>
      </c>
      <c r="H14">
        <v>6.7480000000000002</v>
      </c>
      <c r="L14">
        <v>4.7549999999999999</v>
      </c>
      <c r="N14">
        <v>11.503</v>
      </c>
    </row>
    <row r="15" spans="1:14">
      <c r="A15" s="135" t="s">
        <v>583</v>
      </c>
      <c r="H15">
        <v>230.44499999999999</v>
      </c>
      <c r="L15">
        <v>12.074999999999999</v>
      </c>
      <c r="N15">
        <v>242.51999999999998</v>
      </c>
    </row>
    <row r="16" spans="1:14">
      <c r="A16" s="135" t="s">
        <v>1065</v>
      </c>
      <c r="B16">
        <v>45.867469885455598</v>
      </c>
      <c r="C16">
        <v>35.281000000000006</v>
      </c>
      <c r="D16">
        <v>128.74799999999999</v>
      </c>
      <c r="E16">
        <v>67.560599435125127</v>
      </c>
      <c r="F16">
        <v>171.04088965293781</v>
      </c>
      <c r="G16">
        <v>398.32460053706524</v>
      </c>
      <c r="H16">
        <v>311.52124065936994</v>
      </c>
      <c r="I16">
        <v>113.49990301614966</v>
      </c>
      <c r="J16">
        <v>16.082000000000001</v>
      </c>
      <c r="K16">
        <v>17.184610000000003</v>
      </c>
      <c r="L16">
        <v>82.346790999999996</v>
      </c>
      <c r="M16">
        <v>79.250100000000003</v>
      </c>
      <c r="N16">
        <v>1466.7072041861031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4"/>
  <sheetViews>
    <sheetView showGridLines="0" zoomScaleNormal="100" zoomScaleSheetLayoutView="100" workbookViewId="0"/>
  </sheetViews>
  <sheetFormatPr defaultColWidth="9.44140625" defaultRowHeight="14.4"/>
  <cols>
    <col min="1" max="1" width="218.5546875" style="73" customWidth="1"/>
    <col min="2" max="8" width="9.44140625" style="73" customWidth="1"/>
    <col min="9" max="16384" width="9.44140625" style="73"/>
  </cols>
  <sheetData>
    <row r="1" spans="1:21" ht="18">
      <c r="A1" s="64" t="s">
        <v>9</v>
      </c>
      <c r="B1" s="99"/>
      <c r="C1" s="99"/>
      <c r="D1" s="99"/>
      <c r="E1" s="99"/>
      <c r="F1" s="99"/>
      <c r="G1" s="99"/>
      <c r="H1" s="99"/>
      <c r="I1" s="99"/>
      <c r="J1" s="99"/>
      <c r="K1" s="99"/>
      <c r="L1" s="99"/>
      <c r="M1" s="99"/>
      <c r="N1" s="99"/>
      <c r="O1" s="99"/>
      <c r="P1" s="99"/>
      <c r="Q1" s="99"/>
      <c r="R1" s="99"/>
      <c r="S1" s="99"/>
      <c r="T1" s="99"/>
      <c r="U1" s="99"/>
    </row>
    <row r="3" spans="1:21" ht="15" customHeight="1">
      <c r="A3" s="42" t="s">
        <v>10</v>
      </c>
      <c r="B3" s="99"/>
      <c r="C3" s="99"/>
      <c r="D3" s="99"/>
      <c r="E3" s="99"/>
      <c r="F3" s="99"/>
      <c r="G3" s="99"/>
      <c r="H3" s="99"/>
      <c r="I3" s="99"/>
      <c r="J3" s="99"/>
      <c r="K3" s="99"/>
      <c r="L3" s="99"/>
      <c r="M3" s="99"/>
      <c r="N3" s="99"/>
      <c r="O3" s="99"/>
      <c r="P3" s="99"/>
      <c r="Q3" s="99"/>
      <c r="R3" s="99"/>
      <c r="S3" s="99"/>
      <c r="T3" s="99"/>
      <c r="U3" s="99"/>
    </row>
    <row r="4" spans="1:21" ht="15" customHeight="1">
      <c r="A4" s="367" t="s">
        <v>11</v>
      </c>
      <c r="B4" s="368"/>
      <c r="C4" s="368"/>
      <c r="D4" s="368"/>
      <c r="E4" s="368"/>
      <c r="F4" s="368"/>
      <c r="G4" s="368"/>
      <c r="H4" s="368"/>
      <c r="I4" s="99"/>
      <c r="J4" s="99"/>
      <c r="K4" s="99"/>
      <c r="L4" s="99"/>
      <c r="M4" s="99"/>
      <c r="N4" s="99"/>
      <c r="O4" s="99"/>
      <c r="P4" s="99"/>
      <c r="Q4" s="99"/>
      <c r="R4" s="99"/>
      <c r="S4" s="99"/>
      <c r="T4" s="99"/>
      <c r="U4" s="99"/>
    </row>
    <row r="5" spans="1:21" ht="15" customHeight="1">
      <c r="A5" s="102" t="s">
        <v>12</v>
      </c>
      <c r="B5" s="76"/>
      <c r="C5" s="76"/>
      <c r="D5" s="76"/>
      <c r="E5" s="76"/>
      <c r="F5" s="76"/>
      <c r="G5" s="76"/>
      <c r="H5" s="76"/>
      <c r="I5" s="99"/>
      <c r="J5" s="99"/>
      <c r="K5" s="99"/>
      <c r="L5" s="99"/>
      <c r="M5" s="99"/>
      <c r="N5" s="99"/>
      <c r="O5" s="99"/>
      <c r="P5" s="99"/>
      <c r="Q5" s="99"/>
      <c r="R5" s="99"/>
      <c r="S5" s="99"/>
      <c r="T5" s="99"/>
      <c r="U5" s="99"/>
    </row>
    <row r="6" spans="1:21" ht="15" customHeight="1">
      <c r="A6" s="369" t="s">
        <v>13</v>
      </c>
      <c r="B6" s="370"/>
      <c r="C6" s="370"/>
      <c r="D6" s="370"/>
      <c r="E6" s="370"/>
      <c r="F6" s="370"/>
      <c r="G6" s="370"/>
      <c r="H6" s="370"/>
      <c r="I6" s="99"/>
      <c r="J6" s="99"/>
      <c r="K6" s="99"/>
      <c r="L6" s="99"/>
      <c r="M6" s="99"/>
      <c r="N6" s="99"/>
      <c r="O6" s="99"/>
      <c r="P6" s="99"/>
      <c r="Q6" s="99"/>
      <c r="R6" s="99"/>
      <c r="S6" s="99"/>
      <c r="T6" s="99"/>
      <c r="U6" s="99"/>
    </row>
    <row r="7" spans="1:21" ht="15" customHeight="1">
      <c r="A7" s="371" t="s">
        <v>14</v>
      </c>
      <c r="B7" s="368"/>
      <c r="C7" s="368"/>
      <c r="D7" s="368"/>
      <c r="E7" s="368"/>
      <c r="F7" s="368"/>
      <c r="G7" s="368"/>
      <c r="H7" s="368"/>
      <c r="I7" s="99"/>
      <c r="J7" s="99"/>
      <c r="K7" s="99"/>
      <c r="L7" s="99"/>
      <c r="M7" s="99"/>
      <c r="N7" s="99"/>
      <c r="O7" s="99"/>
      <c r="P7" s="99"/>
      <c r="Q7" s="99"/>
      <c r="R7" s="99"/>
      <c r="S7" s="99"/>
      <c r="T7" s="99"/>
      <c r="U7" s="99"/>
    </row>
    <row r="8" spans="1:21" ht="15" customHeight="1">
      <c r="A8" s="239" t="s">
        <v>15</v>
      </c>
      <c r="B8" s="76"/>
      <c r="C8" s="76"/>
      <c r="D8" s="76"/>
      <c r="E8" s="76"/>
      <c r="F8" s="76"/>
      <c r="G8" s="76"/>
      <c r="H8" s="76"/>
      <c r="I8" s="99"/>
      <c r="J8" s="99"/>
      <c r="K8" s="99"/>
      <c r="L8" s="99"/>
      <c r="M8" s="99"/>
      <c r="N8" s="99"/>
      <c r="O8" s="99"/>
      <c r="P8" s="99"/>
      <c r="Q8" s="99"/>
      <c r="R8" s="99"/>
      <c r="S8" s="99"/>
      <c r="T8" s="99"/>
      <c r="U8" s="99"/>
    </row>
    <row r="9" spans="1:21" ht="15" customHeight="1">
      <c r="A9" s="99"/>
      <c r="B9" s="99"/>
      <c r="C9" s="99"/>
      <c r="D9" s="99"/>
      <c r="E9" s="99"/>
      <c r="F9" s="99"/>
      <c r="G9" s="99"/>
      <c r="H9" s="99"/>
      <c r="I9" s="99"/>
      <c r="J9" s="99"/>
      <c r="K9" s="99"/>
      <c r="L9" s="99"/>
      <c r="M9" s="99"/>
      <c r="N9" s="99"/>
      <c r="O9" s="99"/>
      <c r="P9" s="99"/>
      <c r="Q9" s="99"/>
      <c r="R9" s="99"/>
      <c r="S9" s="99"/>
      <c r="T9" s="99"/>
      <c r="U9" s="99"/>
    </row>
    <row r="10" spans="1:21" ht="15" customHeight="1">
      <c r="A10" s="55" t="s">
        <v>16</v>
      </c>
      <c r="B10" s="2"/>
      <c r="C10" s="2"/>
      <c r="D10" s="2"/>
      <c r="E10" s="2"/>
      <c r="F10" s="2"/>
      <c r="G10" s="2"/>
      <c r="H10" s="2"/>
      <c r="I10" s="2"/>
      <c r="J10" s="2"/>
      <c r="K10" s="2"/>
      <c r="L10" s="2"/>
      <c r="M10" s="2"/>
      <c r="N10" s="2"/>
      <c r="O10" s="99"/>
      <c r="P10" s="99"/>
      <c r="Q10" s="99"/>
      <c r="R10" s="99"/>
      <c r="S10" s="99"/>
      <c r="T10" s="99"/>
      <c r="U10" s="99"/>
    </row>
    <row r="11" spans="1:21" ht="15" customHeight="1">
      <c r="A11" s="55"/>
      <c r="B11" s="2"/>
      <c r="C11" s="2"/>
      <c r="D11" s="2"/>
      <c r="E11" s="2"/>
      <c r="F11" s="2"/>
      <c r="G11" s="2"/>
      <c r="H11" s="2"/>
      <c r="I11" s="2"/>
      <c r="J11" s="2"/>
      <c r="K11" s="2"/>
      <c r="L11" s="2"/>
      <c r="M11" s="2"/>
      <c r="N11" s="2"/>
      <c r="O11" s="99"/>
      <c r="P11" s="99"/>
      <c r="Q11" s="99"/>
      <c r="R11" s="99"/>
      <c r="S11" s="99"/>
      <c r="T11" s="99"/>
      <c r="U11" s="99"/>
    </row>
    <row r="12" spans="1:21" ht="15" customHeight="1">
      <c r="A12" s="3" t="s">
        <v>17</v>
      </c>
      <c r="B12" s="2"/>
      <c r="C12" s="2"/>
      <c r="D12" s="2"/>
      <c r="E12" s="2"/>
      <c r="F12" s="2"/>
      <c r="G12" s="2"/>
      <c r="H12" s="2"/>
      <c r="I12" s="2"/>
      <c r="J12" s="2"/>
      <c r="K12" s="2"/>
      <c r="L12" s="2"/>
      <c r="M12" s="2"/>
      <c r="N12" s="2"/>
      <c r="O12" s="99"/>
      <c r="P12" s="99"/>
      <c r="Q12" s="99"/>
      <c r="R12" s="99"/>
      <c r="S12" s="99"/>
      <c r="T12" s="99"/>
      <c r="U12" s="99"/>
    </row>
    <row r="13" spans="1:21" ht="15" customHeight="1">
      <c r="A13" s="58" t="s">
        <v>18</v>
      </c>
      <c r="B13" s="99"/>
      <c r="C13" s="99"/>
      <c r="D13" s="99"/>
      <c r="E13" s="99"/>
      <c r="F13" s="99"/>
      <c r="G13" s="99"/>
      <c r="H13" s="99"/>
      <c r="I13" s="99"/>
      <c r="J13" s="99"/>
      <c r="K13" s="99"/>
      <c r="L13" s="99"/>
      <c r="M13" s="99"/>
      <c r="N13" s="99"/>
      <c r="O13" s="99"/>
      <c r="P13" s="99"/>
      <c r="Q13" s="99"/>
      <c r="R13" s="99"/>
      <c r="S13" s="99"/>
      <c r="T13" s="99"/>
      <c r="U13" s="99"/>
    </row>
    <row r="14" spans="1:21" ht="15" customHeight="1">
      <c r="A14" s="99" t="s">
        <v>19</v>
      </c>
      <c r="B14" s="99"/>
      <c r="C14" s="99"/>
      <c r="D14" s="99"/>
      <c r="E14" s="99"/>
      <c r="F14" s="99"/>
      <c r="G14" s="99"/>
      <c r="H14" s="99"/>
      <c r="I14" s="99"/>
      <c r="J14" s="99"/>
      <c r="K14" s="99"/>
      <c r="L14" s="99"/>
      <c r="M14" s="99"/>
      <c r="N14" s="99"/>
      <c r="O14" s="2"/>
      <c r="P14" s="2"/>
      <c r="Q14" s="2"/>
      <c r="R14" s="2"/>
      <c r="S14" s="39"/>
      <c r="T14" s="2"/>
      <c r="U14" s="2"/>
    </row>
    <row r="15" spans="1:21" ht="15" customHeight="1">
      <c r="A15" s="2" t="s">
        <v>20</v>
      </c>
      <c r="B15" s="2"/>
      <c r="C15" s="2"/>
      <c r="D15" s="2"/>
      <c r="E15" s="2"/>
      <c r="F15" s="2"/>
      <c r="G15" s="2"/>
      <c r="H15" s="2"/>
      <c r="I15" s="2"/>
      <c r="J15" s="2"/>
      <c r="K15" s="2"/>
      <c r="L15" s="2"/>
      <c r="M15" s="2"/>
      <c r="N15" s="2"/>
      <c r="O15" s="2"/>
      <c r="P15" s="2"/>
      <c r="Q15" s="2"/>
      <c r="R15" s="2"/>
      <c r="S15" s="39"/>
      <c r="T15" s="2"/>
      <c r="U15" s="2"/>
    </row>
    <row r="16" spans="1:21" ht="15" customHeight="1">
      <c r="A16" s="2"/>
      <c r="B16" s="2"/>
      <c r="C16" s="2"/>
      <c r="D16" s="2"/>
      <c r="E16" s="2"/>
      <c r="F16" s="2"/>
      <c r="G16" s="2"/>
      <c r="H16" s="2"/>
      <c r="I16" s="2"/>
      <c r="J16" s="2"/>
      <c r="K16" s="2"/>
      <c r="L16" s="2"/>
      <c r="M16" s="2"/>
      <c r="N16" s="2"/>
      <c r="O16" s="2"/>
      <c r="P16" s="2"/>
      <c r="Q16" s="2"/>
      <c r="R16" s="2"/>
      <c r="S16" s="39"/>
      <c r="T16" s="2"/>
      <c r="U16" s="2"/>
    </row>
    <row r="17" spans="1:21" ht="15" customHeight="1">
      <c r="A17" s="3" t="s">
        <v>21</v>
      </c>
      <c r="B17" s="2"/>
      <c r="C17" s="2"/>
      <c r="D17" s="2"/>
      <c r="E17" s="2"/>
      <c r="F17" s="2"/>
      <c r="G17" s="2"/>
      <c r="H17" s="2"/>
      <c r="I17" s="2"/>
      <c r="J17" s="2"/>
      <c r="K17" s="2"/>
      <c r="L17" s="2"/>
      <c r="M17" s="2"/>
      <c r="N17" s="2"/>
      <c r="O17" s="40"/>
      <c r="P17" s="40"/>
      <c r="Q17" s="40"/>
      <c r="R17" s="40"/>
      <c r="S17" s="41"/>
      <c r="T17" s="40"/>
      <c r="U17" s="40"/>
    </row>
    <row r="18" spans="1:21" ht="15" customHeight="1">
      <c r="A18" s="56" t="s">
        <v>22</v>
      </c>
      <c r="B18" s="2"/>
      <c r="C18" s="2"/>
      <c r="D18" s="2"/>
      <c r="E18" s="2"/>
      <c r="F18" s="2"/>
      <c r="G18" s="2"/>
      <c r="H18" s="2"/>
      <c r="I18" s="2"/>
      <c r="J18" s="2"/>
      <c r="K18" s="2"/>
      <c r="L18" s="2"/>
      <c r="M18" s="2"/>
      <c r="N18" s="2"/>
      <c r="O18" s="99"/>
      <c r="P18" s="99"/>
      <c r="Q18" s="99"/>
      <c r="R18" s="99"/>
      <c r="S18" s="99"/>
      <c r="T18" s="99"/>
      <c r="U18" s="99"/>
    </row>
    <row r="19" spans="1:21" ht="15" customHeight="1">
      <c r="A19" s="56" t="s">
        <v>23</v>
      </c>
      <c r="B19" s="2"/>
      <c r="C19" s="2"/>
      <c r="D19" s="2"/>
      <c r="E19" s="2"/>
      <c r="F19" s="2"/>
      <c r="G19" s="2"/>
      <c r="H19" s="2"/>
      <c r="I19" s="2"/>
      <c r="J19" s="2"/>
      <c r="K19" s="2"/>
      <c r="L19" s="2"/>
      <c r="M19" s="2"/>
      <c r="N19" s="2"/>
      <c r="O19" s="99"/>
      <c r="P19" s="99"/>
      <c r="Q19" s="99"/>
      <c r="R19" s="99"/>
      <c r="S19" s="99"/>
      <c r="T19" s="99"/>
      <c r="U19" s="99"/>
    </row>
    <row r="20" spans="1:21" ht="15" customHeight="1">
      <c r="A20" s="56" t="s">
        <v>24</v>
      </c>
      <c r="B20" s="2"/>
      <c r="C20" s="2"/>
      <c r="D20" s="2"/>
      <c r="E20" s="2"/>
      <c r="F20" s="2"/>
      <c r="G20" s="2"/>
      <c r="H20" s="2"/>
      <c r="I20" s="2"/>
      <c r="J20" s="2"/>
      <c r="K20" s="2"/>
      <c r="L20" s="2"/>
      <c r="M20" s="2"/>
      <c r="N20" s="2"/>
      <c r="O20" s="99"/>
      <c r="P20" s="99"/>
      <c r="Q20" s="99"/>
      <c r="R20" s="99"/>
      <c r="S20" s="99"/>
      <c r="T20" s="99"/>
      <c r="U20" s="99"/>
    </row>
    <row r="21" spans="1:21" ht="15" customHeight="1">
      <c r="A21" s="56" t="s">
        <v>25</v>
      </c>
      <c r="B21" s="2"/>
      <c r="C21" s="2"/>
      <c r="D21" s="2"/>
      <c r="E21" s="2"/>
      <c r="F21" s="2"/>
      <c r="G21" s="2"/>
      <c r="H21" s="2"/>
      <c r="I21" s="2"/>
      <c r="J21" s="2"/>
      <c r="K21" s="2"/>
      <c r="L21" s="2"/>
      <c r="M21" s="2"/>
      <c r="N21" s="2"/>
      <c r="O21" s="99"/>
      <c r="P21" s="99"/>
      <c r="Q21" s="99"/>
      <c r="R21" s="99"/>
      <c r="S21" s="99"/>
      <c r="T21" s="99"/>
      <c r="U21" s="99"/>
    </row>
    <row r="22" spans="1:21" ht="15" customHeight="1">
      <c r="A22" s="2"/>
      <c r="B22" s="2"/>
      <c r="C22" s="2"/>
      <c r="D22" s="2"/>
      <c r="E22" s="2"/>
      <c r="F22" s="2"/>
      <c r="G22" s="2"/>
      <c r="H22" s="2"/>
      <c r="I22" s="2"/>
      <c r="J22" s="2"/>
      <c r="K22" s="2"/>
      <c r="L22" s="2"/>
      <c r="M22" s="2"/>
      <c r="N22" s="2"/>
      <c r="O22" s="99"/>
      <c r="P22" s="99"/>
      <c r="Q22" s="99"/>
      <c r="R22" s="99"/>
      <c r="S22" s="99"/>
      <c r="T22" s="99"/>
      <c r="U22" s="99"/>
    </row>
    <row r="23" spans="1:21" ht="15" customHeight="1">
      <c r="A23" s="3" t="s">
        <v>26</v>
      </c>
      <c r="B23" s="2"/>
      <c r="C23" s="2"/>
      <c r="D23" s="2"/>
      <c r="E23" s="2"/>
      <c r="F23" s="2"/>
      <c r="G23" s="2"/>
      <c r="H23" s="2"/>
      <c r="I23" s="2"/>
      <c r="J23" s="2"/>
      <c r="K23" s="2"/>
      <c r="L23" s="2"/>
      <c r="M23" s="2"/>
      <c r="N23" s="2"/>
      <c r="O23" s="99"/>
      <c r="P23" s="99"/>
      <c r="Q23" s="99"/>
      <c r="R23" s="99"/>
      <c r="S23" s="99"/>
      <c r="T23" s="99"/>
      <c r="U23" s="99"/>
    </row>
    <row r="24" spans="1:21" ht="48.75" customHeight="1">
      <c r="A24" s="58" t="s">
        <v>27</v>
      </c>
      <c r="B24" s="107"/>
      <c r="C24" s="107"/>
      <c r="D24" s="107"/>
      <c r="E24" s="107"/>
      <c r="F24" s="107"/>
      <c r="G24" s="107"/>
      <c r="H24" s="107"/>
      <c r="I24" s="107"/>
      <c r="J24" s="107"/>
      <c r="K24" s="107"/>
      <c r="L24" s="107"/>
      <c r="M24" s="107"/>
      <c r="N24" s="107"/>
      <c r="O24" s="99"/>
      <c r="P24" s="99"/>
      <c r="Q24" s="99"/>
      <c r="R24" s="99"/>
      <c r="S24" s="99"/>
      <c r="T24" s="99"/>
      <c r="U24" s="99"/>
    </row>
    <row r="25" spans="1:21" ht="15" customHeight="1">
      <c r="A25" s="2"/>
      <c r="B25" s="2"/>
      <c r="C25" s="2"/>
      <c r="D25" s="2"/>
      <c r="E25" s="2"/>
      <c r="F25" s="2"/>
      <c r="G25" s="2"/>
      <c r="H25" s="2"/>
      <c r="I25" s="2"/>
      <c r="J25" s="2"/>
      <c r="K25" s="2"/>
      <c r="L25" s="2"/>
      <c r="M25" s="2"/>
      <c r="N25" s="2"/>
      <c r="O25" s="99"/>
      <c r="P25" s="99"/>
      <c r="Q25" s="99"/>
      <c r="R25" s="99"/>
      <c r="S25" s="99"/>
      <c r="T25" s="99"/>
      <c r="U25" s="99"/>
    </row>
    <row r="26" spans="1:21" ht="15" customHeight="1">
      <c r="A26" s="3" t="s">
        <v>28</v>
      </c>
      <c r="B26" s="2"/>
      <c r="C26" s="2"/>
      <c r="D26" s="2"/>
      <c r="E26" s="2"/>
      <c r="F26" s="2"/>
      <c r="G26" s="2"/>
      <c r="H26" s="2"/>
      <c r="I26" s="2"/>
      <c r="J26" s="2"/>
      <c r="K26" s="2"/>
      <c r="L26" s="2"/>
      <c r="M26" s="2"/>
      <c r="N26" s="2"/>
      <c r="O26" s="99"/>
      <c r="P26" s="99"/>
      <c r="Q26" s="99"/>
      <c r="R26" s="99"/>
      <c r="S26" s="99"/>
      <c r="T26" s="99"/>
      <c r="U26" s="99"/>
    </row>
    <row r="27" spans="1:21" ht="45" customHeight="1">
      <c r="A27" s="58" t="s">
        <v>29</v>
      </c>
      <c r="B27" s="107"/>
      <c r="C27" s="107"/>
      <c r="D27" s="107"/>
      <c r="E27" s="107"/>
      <c r="F27" s="107"/>
      <c r="G27" s="107"/>
      <c r="H27" s="107"/>
      <c r="I27" s="107"/>
      <c r="J27" s="107"/>
      <c r="K27" s="107"/>
      <c r="L27" s="107"/>
      <c r="M27" s="107"/>
      <c r="N27" s="107"/>
      <c r="O27" s="99"/>
      <c r="P27" s="99"/>
      <c r="Q27" s="99"/>
      <c r="R27" s="99"/>
      <c r="S27" s="99"/>
      <c r="T27" s="99"/>
      <c r="U27" s="99"/>
    </row>
    <row r="28" spans="1:21" ht="15" customHeight="1">
      <c r="A28" s="2"/>
      <c r="B28" s="2"/>
      <c r="C28" s="2"/>
      <c r="D28" s="2"/>
      <c r="E28" s="2"/>
      <c r="F28" s="2"/>
      <c r="G28" s="2"/>
      <c r="H28" s="2"/>
      <c r="I28" s="2"/>
      <c r="J28" s="2"/>
      <c r="K28" s="2"/>
      <c r="L28" s="2"/>
      <c r="M28" s="2"/>
      <c r="N28" s="2"/>
      <c r="O28" s="99"/>
      <c r="P28" s="99"/>
      <c r="Q28" s="99"/>
      <c r="R28" s="99"/>
      <c r="S28" s="99"/>
      <c r="T28" s="99"/>
      <c r="U28" s="99"/>
    </row>
    <row r="29" spans="1:21" ht="15" customHeight="1">
      <c r="A29" s="3" t="s">
        <v>30</v>
      </c>
      <c r="B29" s="2"/>
      <c r="C29" s="2"/>
      <c r="D29" s="2"/>
      <c r="E29" s="2"/>
      <c r="F29" s="2"/>
      <c r="G29" s="2"/>
      <c r="H29" s="2"/>
      <c r="I29" s="2"/>
      <c r="J29" s="2"/>
      <c r="K29" s="2"/>
      <c r="L29" s="2"/>
      <c r="M29" s="2"/>
      <c r="N29" s="2"/>
      <c r="O29" s="99"/>
      <c r="P29" s="99"/>
      <c r="Q29" s="99"/>
      <c r="R29" s="99"/>
      <c r="S29" s="99"/>
      <c r="T29" s="99"/>
      <c r="U29" s="99"/>
    </row>
    <row r="30" spans="1:21" ht="15" customHeight="1">
      <c r="A30" s="2" t="s">
        <v>31</v>
      </c>
      <c r="B30" s="2"/>
      <c r="C30" s="2"/>
      <c r="D30" s="2"/>
      <c r="E30" s="2"/>
      <c r="F30" s="2"/>
      <c r="G30" s="2"/>
      <c r="H30" s="2"/>
      <c r="I30" s="2"/>
      <c r="J30" s="2"/>
      <c r="K30" s="2"/>
      <c r="L30" s="2"/>
      <c r="M30" s="2"/>
      <c r="N30" s="2"/>
      <c r="O30" s="99"/>
      <c r="P30" s="99"/>
      <c r="Q30" s="99"/>
      <c r="R30" s="99"/>
      <c r="S30" s="99"/>
      <c r="T30" s="99"/>
      <c r="U30" s="99"/>
    </row>
    <row r="31" spans="1:21" ht="15" customHeight="1">
      <c r="A31" s="2"/>
      <c r="B31" s="2"/>
      <c r="C31" s="2"/>
      <c r="D31" s="2"/>
      <c r="E31" s="2"/>
      <c r="F31" s="2"/>
      <c r="G31" s="2"/>
      <c r="H31" s="2"/>
      <c r="I31" s="2"/>
      <c r="J31" s="2"/>
      <c r="K31" s="2"/>
      <c r="L31" s="2"/>
      <c r="M31" s="2"/>
      <c r="N31" s="2"/>
      <c r="O31" s="99"/>
      <c r="P31" s="99"/>
      <c r="Q31" s="99"/>
      <c r="R31" s="99"/>
      <c r="S31" s="99"/>
      <c r="T31" s="99"/>
      <c r="U31" s="99"/>
    </row>
    <row r="32" spans="1:21" ht="15" customHeight="1">
      <c r="A32" s="3" t="s">
        <v>32</v>
      </c>
      <c r="B32" s="2"/>
      <c r="C32" s="2"/>
      <c r="D32" s="2"/>
      <c r="E32" s="2"/>
      <c r="F32" s="2"/>
      <c r="G32" s="2"/>
      <c r="H32" s="2"/>
      <c r="I32" s="2"/>
      <c r="J32" s="2"/>
      <c r="K32" s="2"/>
      <c r="L32" s="2"/>
      <c r="M32" s="2"/>
      <c r="N32" s="2"/>
      <c r="O32" s="99"/>
      <c r="P32" s="99"/>
      <c r="Q32" s="99"/>
      <c r="R32" s="99"/>
      <c r="S32" s="99"/>
      <c r="T32" s="99"/>
      <c r="U32" s="99"/>
    </row>
    <row r="33" spans="1:14" ht="30" customHeight="1">
      <c r="A33" s="58" t="s">
        <v>33</v>
      </c>
      <c r="B33" s="107"/>
      <c r="C33" s="107"/>
      <c r="D33" s="107"/>
      <c r="E33" s="107"/>
      <c r="F33" s="107"/>
      <c r="G33" s="107"/>
      <c r="H33" s="107"/>
      <c r="I33" s="107"/>
      <c r="J33" s="107"/>
      <c r="K33" s="107"/>
      <c r="L33" s="107"/>
      <c r="M33" s="107"/>
      <c r="N33" s="107"/>
    </row>
    <row r="34" spans="1:14" ht="15" customHeight="1">
      <c r="A34" s="58"/>
      <c r="B34" s="107"/>
      <c r="C34" s="107"/>
      <c r="D34" s="107"/>
      <c r="E34" s="107"/>
      <c r="F34" s="107"/>
      <c r="G34" s="107"/>
      <c r="H34" s="107"/>
      <c r="I34" s="107"/>
      <c r="J34" s="107"/>
      <c r="K34" s="107"/>
      <c r="L34" s="107"/>
      <c r="M34" s="107"/>
      <c r="N34" s="107"/>
    </row>
    <row r="35" spans="1:14" ht="15" customHeight="1">
      <c r="A35" s="3" t="s">
        <v>34</v>
      </c>
      <c r="B35" s="2"/>
      <c r="C35" s="2"/>
      <c r="D35" s="2"/>
      <c r="E35" s="2"/>
      <c r="F35" s="2"/>
      <c r="G35" s="2"/>
      <c r="H35" s="2"/>
      <c r="I35" s="2"/>
      <c r="J35" s="2"/>
      <c r="K35" s="2"/>
      <c r="L35" s="2"/>
      <c r="M35" s="2"/>
      <c r="N35" s="2"/>
    </row>
    <row r="36" spans="1:14" ht="15" customHeight="1">
      <c r="A36" s="58" t="s">
        <v>35</v>
      </c>
      <c r="B36" s="107"/>
      <c r="C36" s="107"/>
      <c r="D36" s="107"/>
      <c r="E36" s="107"/>
      <c r="F36" s="107"/>
      <c r="G36" s="107"/>
      <c r="H36" s="107"/>
      <c r="I36" s="107"/>
      <c r="J36" s="107"/>
      <c r="K36" s="107"/>
      <c r="L36" s="107"/>
      <c r="M36" s="107"/>
      <c r="N36" s="107"/>
    </row>
    <row r="37" spans="1:14" ht="15" customHeight="1">
      <c r="A37" s="99"/>
      <c r="B37" s="99"/>
      <c r="C37" s="99"/>
      <c r="D37" s="99"/>
      <c r="E37" s="99"/>
      <c r="F37" s="99"/>
      <c r="G37" s="99"/>
      <c r="H37" s="99"/>
      <c r="I37" s="99"/>
      <c r="J37" s="99"/>
      <c r="K37" s="99"/>
      <c r="L37" s="99"/>
      <c r="M37" s="99"/>
      <c r="N37" s="99"/>
    </row>
    <row r="38" spans="1:14" ht="15" customHeight="1">
      <c r="A38" s="3" t="s">
        <v>36</v>
      </c>
      <c r="B38" s="99"/>
      <c r="C38" s="99"/>
      <c r="D38" s="99"/>
      <c r="E38" s="99"/>
      <c r="F38" s="99"/>
      <c r="G38" s="99"/>
      <c r="H38" s="99"/>
      <c r="I38" s="99"/>
      <c r="J38" s="99"/>
      <c r="K38" s="99"/>
      <c r="L38" s="99"/>
      <c r="M38" s="99"/>
      <c r="N38" s="99"/>
    </row>
    <row r="39" spans="1:14" ht="15" customHeight="1">
      <c r="A39" s="2" t="s">
        <v>37</v>
      </c>
      <c r="B39" s="99"/>
      <c r="C39" s="99"/>
      <c r="D39" s="99"/>
      <c r="E39" s="99"/>
      <c r="F39" s="99"/>
      <c r="G39" s="99"/>
      <c r="H39" s="99"/>
      <c r="I39" s="99"/>
      <c r="J39" s="99"/>
      <c r="K39" s="99"/>
      <c r="L39" s="99"/>
      <c r="M39" s="99"/>
      <c r="N39" s="99"/>
    </row>
    <row r="40" spans="1:14" ht="15" customHeight="1">
      <c r="A40" s="2" t="s">
        <v>38</v>
      </c>
      <c r="B40" s="99"/>
      <c r="C40" s="99"/>
      <c r="D40" s="99"/>
      <c r="E40" s="99"/>
      <c r="F40" s="99"/>
      <c r="G40" s="99"/>
      <c r="H40" s="99"/>
      <c r="I40" s="99"/>
      <c r="J40" s="99"/>
      <c r="K40" s="99"/>
      <c r="L40" s="99"/>
      <c r="M40" s="99"/>
      <c r="N40" s="99"/>
    </row>
    <row r="41" spans="1:14" ht="15" customHeight="1">
      <c r="A41" s="2" t="s">
        <v>39</v>
      </c>
      <c r="B41" s="99"/>
      <c r="C41" s="99"/>
      <c r="D41" s="99"/>
      <c r="E41" s="99"/>
      <c r="F41" s="99"/>
      <c r="G41" s="99"/>
      <c r="H41" s="99"/>
      <c r="I41" s="99"/>
      <c r="J41" s="99"/>
      <c r="K41" s="99"/>
      <c r="L41" s="99"/>
      <c r="M41" s="99"/>
      <c r="N41" s="99"/>
    </row>
    <row r="42" spans="1:14" ht="15" customHeight="1">
      <c r="A42" s="56" t="s">
        <v>40</v>
      </c>
      <c r="B42" s="99"/>
      <c r="C42" s="99"/>
      <c r="D42" s="99"/>
      <c r="E42" s="99"/>
      <c r="F42" s="99"/>
      <c r="G42" s="99"/>
      <c r="H42" s="99"/>
      <c r="I42" s="99"/>
      <c r="J42" s="99"/>
      <c r="K42" s="99"/>
      <c r="L42" s="99"/>
      <c r="M42" s="99"/>
      <c r="N42" s="99"/>
    </row>
    <row r="43" spans="1:14" ht="15" customHeight="1">
      <c r="A43" s="56" t="s">
        <v>41</v>
      </c>
      <c r="B43" s="99"/>
      <c r="C43" s="99"/>
      <c r="D43" s="99"/>
      <c r="E43" s="99"/>
      <c r="F43" s="99"/>
      <c r="G43" s="99"/>
      <c r="H43" s="99"/>
      <c r="I43" s="99"/>
      <c r="J43" s="99"/>
      <c r="K43" s="99"/>
      <c r="L43" s="99"/>
      <c r="M43" s="99"/>
      <c r="N43" s="99"/>
    </row>
    <row r="44" spans="1:14" ht="15" customHeight="1">
      <c r="A44" s="56" t="s">
        <v>42</v>
      </c>
      <c r="B44" s="99"/>
      <c r="C44" s="99"/>
      <c r="D44" s="99"/>
      <c r="E44" s="99"/>
      <c r="F44" s="99"/>
      <c r="G44" s="99"/>
      <c r="H44" s="99"/>
      <c r="I44" s="99"/>
      <c r="J44" s="99"/>
      <c r="K44" s="99"/>
      <c r="L44" s="99"/>
      <c r="M44" s="99"/>
      <c r="N44" s="99"/>
    </row>
    <row r="45" spans="1:14" ht="15" customHeight="1">
      <c r="A45" s="56" t="s">
        <v>43</v>
      </c>
      <c r="B45" s="99"/>
      <c r="C45" s="99"/>
      <c r="D45" s="99"/>
      <c r="E45" s="99"/>
      <c r="F45" s="99"/>
      <c r="G45" s="99"/>
      <c r="H45" s="99"/>
      <c r="I45" s="99"/>
      <c r="J45" s="99"/>
      <c r="K45" s="99"/>
      <c r="L45" s="99"/>
      <c r="M45" s="99"/>
      <c r="N45" s="99"/>
    </row>
    <row r="46" spans="1:14" ht="15" customHeight="1">
      <c r="A46" s="99"/>
      <c r="B46" s="99"/>
      <c r="C46" s="99"/>
      <c r="D46" s="99"/>
      <c r="E46" s="99"/>
      <c r="F46" s="99"/>
      <c r="G46" s="99"/>
      <c r="H46" s="99"/>
      <c r="I46" s="99"/>
      <c r="J46" s="99"/>
      <c r="K46" s="99"/>
      <c r="L46" s="99"/>
      <c r="M46" s="99"/>
      <c r="N46" s="99"/>
    </row>
    <row r="47" spans="1:14" ht="15" customHeight="1">
      <c r="A47" s="3" t="s">
        <v>44</v>
      </c>
      <c r="B47" s="99"/>
      <c r="C47" s="99"/>
      <c r="D47" s="99"/>
      <c r="E47" s="99"/>
      <c r="F47" s="99"/>
      <c r="G47" s="99"/>
      <c r="H47" s="99"/>
      <c r="I47" s="99"/>
      <c r="J47" s="99"/>
      <c r="K47" s="99"/>
      <c r="L47" s="99"/>
      <c r="M47" s="99"/>
      <c r="N47" s="99"/>
    </row>
    <row r="48" spans="1:14" ht="15" customHeight="1">
      <c r="A48" s="2" t="s">
        <v>45</v>
      </c>
      <c r="B48" s="99"/>
      <c r="C48" s="99"/>
      <c r="D48" s="99"/>
      <c r="E48" s="99"/>
      <c r="F48" s="99"/>
      <c r="G48" s="99"/>
      <c r="H48" s="99"/>
      <c r="I48" s="99"/>
      <c r="J48" s="99"/>
      <c r="K48" s="99"/>
      <c r="L48" s="99"/>
      <c r="M48" s="99"/>
      <c r="N48" s="99"/>
    </row>
    <row r="49" spans="1:1" ht="15" customHeight="1">
      <c r="A49" s="99"/>
    </row>
    <row r="50" spans="1:1" ht="15" customHeight="1">
      <c r="A50" s="3" t="s">
        <v>46</v>
      </c>
    </row>
    <row r="51" spans="1:1" ht="15" customHeight="1">
      <c r="A51" s="2" t="s">
        <v>47</v>
      </c>
    </row>
    <row r="52" spans="1:1" ht="15" customHeight="1">
      <c r="A52" s="2" t="s">
        <v>48</v>
      </c>
    </row>
    <row r="53" spans="1:1" ht="15" customHeight="1">
      <c r="A53" s="2" t="s">
        <v>49</v>
      </c>
    </row>
    <row r="54" spans="1:1" ht="15" customHeight="1">
      <c r="A54" s="2"/>
    </row>
  </sheetData>
  <mergeCells count="3">
    <mergeCell ref="A4:H4"/>
    <mergeCell ref="A6:H6"/>
    <mergeCell ref="A7:H7"/>
  </mergeCells>
  <pageMargins left="0.70866141732283472" right="0.70866141732283472" top="0.74803149606299213" bottom="0.74803149606299213" header="0.31496062992125984" footer="0.31496062992125984"/>
  <pageSetup paperSize="9" scale="99" orientation="landscape" r:id="rId1"/>
  <headerFooter>
    <oddFooter>&amp;L&amp;Z&amp;F</oddFooter>
  </headerFooter>
  <rowBreaks count="1" manualBreakCount="1">
    <brk id="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zoomScaleNormal="100" zoomScaleSheetLayoutView="100" workbookViewId="0"/>
  </sheetViews>
  <sheetFormatPr defaultColWidth="9.44140625" defaultRowHeight="13.8"/>
  <cols>
    <col min="1" max="1" width="5.5546875" style="15" customWidth="1"/>
    <col min="2" max="2" width="54.5546875" style="15" customWidth="1"/>
    <col min="3" max="3" width="11.6640625" style="15" bestFit="1" customWidth="1"/>
    <col min="4" max="4" width="9.44140625" style="15" customWidth="1"/>
    <col min="5" max="5" width="15.5546875" style="15" customWidth="1"/>
    <col min="6" max="8" width="9.44140625" style="15" customWidth="1"/>
    <col min="9" max="9" width="9.44140625" style="15" bestFit="1" customWidth="1"/>
    <col min="10" max="13" width="9.44140625" style="15"/>
    <col min="14" max="15" width="9.6640625" style="15" bestFit="1" customWidth="1"/>
    <col min="16" max="16384" width="9.44140625" style="15"/>
  </cols>
  <sheetData>
    <row r="1" spans="1:19" ht="18">
      <c r="B1" s="61" t="s">
        <v>50</v>
      </c>
      <c r="C1" s="4"/>
      <c r="D1" s="4"/>
      <c r="E1" s="4"/>
      <c r="F1" s="4"/>
      <c r="G1" s="4"/>
      <c r="H1" s="4"/>
      <c r="I1" s="4"/>
    </row>
    <row r="2" spans="1:19" ht="15.6">
      <c r="B2" s="16"/>
      <c r="C2" s="4"/>
      <c r="D2" s="4"/>
      <c r="E2" s="244"/>
      <c r="F2" s="244"/>
      <c r="G2" s="244"/>
      <c r="H2" s="244"/>
      <c r="I2" s="244"/>
      <c r="J2" s="244"/>
      <c r="L2" s="208"/>
    </row>
    <row r="3" spans="1:19" ht="14.4">
      <c r="B3" s="3" t="s">
        <v>51</v>
      </c>
      <c r="C3" s="31">
        <v>2024</v>
      </c>
      <c r="D3" s="31">
        <v>2025</v>
      </c>
      <c r="E3" s="31">
        <v>2026</v>
      </c>
      <c r="F3" s="31">
        <v>2027</v>
      </c>
      <c r="G3" s="31">
        <v>2028</v>
      </c>
      <c r="H3" s="31">
        <v>2029</v>
      </c>
      <c r="I3" s="31">
        <v>2030</v>
      </c>
      <c r="J3" s="31"/>
      <c r="K3" s="204"/>
      <c r="L3" s="372"/>
      <c r="M3" s="372"/>
    </row>
    <row r="4" spans="1:19" s="73" customFormat="1" ht="14.4">
      <c r="A4" s="99" t="s">
        <v>52</v>
      </c>
      <c r="B4" s="99" t="s">
        <v>53</v>
      </c>
      <c r="C4" s="141">
        <f>'R&amp;D'!C299</f>
        <v>8932.317340537742</v>
      </c>
      <c r="D4" s="141">
        <f>'R&amp;D'!D299</f>
        <v>9264.5227592906813</v>
      </c>
      <c r="E4" s="141">
        <f>'R&amp;D'!E299</f>
        <v>9578.3408263208639</v>
      </c>
      <c r="F4" s="141">
        <f>'R&amp;D'!F299</f>
        <v>9409.4741992588606</v>
      </c>
      <c r="G4" s="141">
        <f>'R&amp;D'!G299</f>
        <v>9365.0739076447717</v>
      </c>
      <c r="H4" s="141">
        <f>'R&amp;D'!H299</f>
        <v>8725.8180917061709</v>
      </c>
      <c r="I4" s="141">
        <f>'R&amp;D'!I299</f>
        <v>8581.4328712525275</v>
      </c>
      <c r="J4" s="266"/>
      <c r="K4" s="300"/>
      <c r="L4" s="101"/>
      <c r="M4" s="264"/>
      <c r="N4" s="267"/>
      <c r="O4" s="270"/>
      <c r="P4" s="99"/>
      <c r="Q4" s="99"/>
      <c r="R4" s="99"/>
      <c r="S4" s="99"/>
    </row>
    <row r="5" spans="1:19" s="44" customFormat="1" ht="14.4">
      <c r="B5" s="43" t="s">
        <v>54</v>
      </c>
      <c r="C5" s="185">
        <f>'R&amp;D'!Q299</f>
        <v>2260.8913116529088</v>
      </c>
      <c r="D5" s="185">
        <f>'R&amp;D'!R299</f>
        <v>2583.888292161269</v>
      </c>
      <c r="E5" s="185">
        <f>'R&amp;D'!S299</f>
        <v>2899.635254342104</v>
      </c>
      <c r="F5" s="185">
        <f>'R&amp;D'!T299</f>
        <v>2930.632194181027</v>
      </c>
      <c r="G5" s="185">
        <f>'R&amp;D'!U299</f>
        <v>3020.9013544618033</v>
      </c>
      <c r="H5" s="185">
        <f>'R&amp;D'!V299</f>
        <v>2501.8462504060922</v>
      </c>
      <c r="I5" s="185">
        <f>'R&amp;D'!W299</f>
        <v>2510.2196662996698</v>
      </c>
      <c r="J5" s="185"/>
      <c r="K5" s="294"/>
      <c r="L5" s="101"/>
      <c r="M5" s="264"/>
    </row>
    <row r="6" spans="1:19" s="73" customFormat="1" ht="14.4">
      <c r="A6" s="99" t="s">
        <v>55</v>
      </c>
      <c r="B6" s="2" t="s">
        <v>56</v>
      </c>
      <c r="C6" s="141">
        <f>Innovatie!C163</f>
        <v>1235.7666204099999</v>
      </c>
      <c r="D6" s="141">
        <f>Innovatie!D163</f>
        <v>1685.9311382200001</v>
      </c>
      <c r="E6" s="141">
        <f>Innovatie!E163</f>
        <v>2100.5899359600003</v>
      </c>
      <c r="F6" s="141">
        <f>Innovatie!F163</f>
        <v>2361.9864886399996</v>
      </c>
      <c r="G6" s="141">
        <f>Innovatie!G163</f>
        <v>2124.2911031839794</v>
      </c>
      <c r="H6" s="141">
        <f>Innovatie!H163</f>
        <v>1471.8452380665535</v>
      </c>
      <c r="I6" s="141">
        <f>Innovatie!I163</f>
        <v>1522.2091495665534</v>
      </c>
      <c r="J6" s="185"/>
      <c r="K6" s="294"/>
      <c r="L6" s="101"/>
      <c r="M6" s="264"/>
      <c r="N6" s="44"/>
      <c r="O6" s="99"/>
      <c r="P6" s="141"/>
      <c r="Q6" s="141"/>
      <c r="R6" s="99"/>
      <c r="S6" s="99"/>
    </row>
    <row r="7" spans="1:19" s="73" customFormat="1" ht="14.4">
      <c r="A7" s="99" t="s">
        <v>57</v>
      </c>
      <c r="B7" s="99" t="s">
        <v>58</v>
      </c>
      <c r="C7" s="141">
        <f>Fiscaal!B15</f>
        <v>1603</v>
      </c>
      <c r="D7" s="141">
        <f>Fiscaal!C15</f>
        <v>1895</v>
      </c>
      <c r="E7" s="141">
        <f>Fiscaal!D15</f>
        <v>1976</v>
      </c>
      <c r="F7" s="141">
        <f>Fiscaal!E15</f>
        <v>1860</v>
      </c>
      <c r="G7" s="141">
        <f>Fiscaal!F15</f>
        <v>1860</v>
      </c>
      <c r="H7" s="141">
        <f>Fiscaal!G15</f>
        <v>1860</v>
      </c>
      <c r="I7" s="141">
        <f>Fiscaal!H15</f>
        <v>1860</v>
      </c>
      <c r="J7" s="185"/>
      <c r="K7" s="294"/>
      <c r="L7" s="101"/>
      <c r="M7" s="264"/>
      <c r="N7" s="44"/>
      <c r="O7" s="99"/>
      <c r="P7" s="99"/>
      <c r="Q7" s="99"/>
      <c r="R7" s="99"/>
      <c r="S7" s="99"/>
    </row>
    <row r="8" spans="1:19" s="44" customFormat="1" ht="14.4">
      <c r="B8" s="43" t="s">
        <v>59</v>
      </c>
      <c r="C8" s="185">
        <f>Fiscaal!B13</f>
        <v>269</v>
      </c>
      <c r="D8" s="185">
        <f>Fiscaal!C13</f>
        <v>209</v>
      </c>
      <c r="E8" s="185">
        <f>Fiscaal!D13</f>
        <v>155</v>
      </c>
      <c r="F8" s="185">
        <f>Fiscaal!E13</f>
        <v>155</v>
      </c>
      <c r="G8" s="185">
        <f>Fiscaal!F13</f>
        <v>155</v>
      </c>
      <c r="H8" s="185">
        <f>Fiscaal!G13</f>
        <v>155</v>
      </c>
      <c r="I8" s="185">
        <f>Fiscaal!H13</f>
        <v>155</v>
      </c>
      <c r="J8" s="185"/>
      <c r="K8" s="294"/>
      <c r="L8" s="101"/>
      <c r="M8" s="264"/>
    </row>
    <row r="9" spans="1:19" s="45" customFormat="1" ht="15.6">
      <c r="B9" s="45" t="s">
        <v>60</v>
      </c>
      <c r="C9" s="186">
        <f>+C4+C6+C7</f>
        <v>11771.083960947743</v>
      </c>
      <c r="D9" s="186">
        <f t="shared" ref="D9:I9" si="0">+D4+D6+D7</f>
        <v>12845.453897510681</v>
      </c>
      <c r="E9" s="186">
        <f t="shared" si="0"/>
        <v>13654.930762280865</v>
      </c>
      <c r="F9" s="186">
        <f t="shared" si="0"/>
        <v>13631.46068789886</v>
      </c>
      <c r="G9" s="186">
        <f t="shared" si="0"/>
        <v>13349.365010828751</v>
      </c>
      <c r="H9" s="186">
        <f t="shared" si="0"/>
        <v>12057.663329772724</v>
      </c>
      <c r="I9" s="186">
        <f t="shared" si="0"/>
        <v>11963.642020819081</v>
      </c>
      <c r="K9" s="294"/>
      <c r="L9" s="101"/>
      <c r="M9" s="264"/>
    </row>
    <row r="10" spans="1:19" s="44" customFormat="1" ht="14.4">
      <c r="B10" s="43" t="s">
        <v>61</v>
      </c>
      <c r="C10" s="185">
        <f>+C5+C6+C7</f>
        <v>5099.6579320629089</v>
      </c>
      <c r="D10" s="185">
        <f t="shared" ref="D10:I10" si="1">+D5+D6+D7</f>
        <v>6164.8194303812688</v>
      </c>
      <c r="E10" s="185">
        <f t="shared" si="1"/>
        <v>6976.2251903021042</v>
      </c>
      <c r="F10" s="185">
        <f t="shared" si="1"/>
        <v>7152.6186828210266</v>
      </c>
      <c r="G10" s="185">
        <f t="shared" si="1"/>
        <v>7005.1924576457823</v>
      </c>
      <c r="H10" s="185">
        <f t="shared" si="1"/>
        <v>5833.6914884726457</v>
      </c>
      <c r="I10" s="185">
        <f t="shared" si="1"/>
        <v>5892.428815866223</v>
      </c>
      <c r="J10" s="185"/>
      <c r="K10" s="294"/>
      <c r="L10" s="101"/>
      <c r="M10" s="264"/>
    </row>
    <row r="11" spans="1:19" s="63" customFormat="1" ht="14.4">
      <c r="B11" s="43" t="s">
        <v>62</v>
      </c>
      <c r="C11" s="187">
        <f>+C10/C9*100</f>
        <v>43.323605107072169</v>
      </c>
      <c r="D11" s="187">
        <f t="shared" ref="D11:I11" si="2">+D10/D9*100</f>
        <v>47.99222728576332</v>
      </c>
      <c r="E11" s="187">
        <f t="shared" si="2"/>
        <v>51.089421922025359</v>
      </c>
      <c r="F11" s="187">
        <f t="shared" si="2"/>
        <v>52.471403076932646</v>
      </c>
      <c r="G11" s="187">
        <f>+G10/G9*100</f>
        <v>52.475847742295635</v>
      </c>
      <c r="H11" s="187">
        <f t="shared" si="2"/>
        <v>48.381608682572207</v>
      </c>
      <c r="I11" s="187">
        <f t="shared" si="2"/>
        <v>49.252801158813028</v>
      </c>
      <c r="K11" s="294"/>
      <c r="L11" s="101"/>
      <c r="M11" s="264"/>
    </row>
    <row r="12" spans="1:19" s="73" customFormat="1" ht="14.4">
      <c r="A12" s="99"/>
      <c r="B12" s="99"/>
      <c r="C12" s="268">
        <f t="shared" ref="C12:I12" si="3">C7-C8</f>
        <v>1334</v>
      </c>
      <c r="D12" s="301">
        <f t="shared" si="3"/>
        <v>1686</v>
      </c>
      <c r="E12" s="301">
        <f t="shared" si="3"/>
        <v>1821</v>
      </c>
      <c r="F12" s="301">
        <f t="shared" si="3"/>
        <v>1705</v>
      </c>
      <c r="G12" s="301">
        <f>G7-G8</f>
        <v>1705</v>
      </c>
      <c r="H12" s="301">
        <f t="shared" si="3"/>
        <v>1705</v>
      </c>
      <c r="I12" s="301">
        <f t="shared" si="3"/>
        <v>1705</v>
      </c>
      <c r="J12" s="269"/>
      <c r="K12" s="181"/>
      <c r="L12" s="180"/>
      <c r="M12" s="180"/>
      <c r="N12" s="99"/>
      <c r="O12" s="99"/>
      <c r="P12" s="99"/>
      <c r="Q12" s="99"/>
      <c r="R12" s="99"/>
      <c r="S12" s="99"/>
    </row>
    <row r="13" spans="1:19" ht="14.4">
      <c r="B13" s="31" t="s">
        <v>63</v>
      </c>
      <c r="C13" s="31">
        <f>C3</f>
        <v>2024</v>
      </c>
      <c r="D13" s="31">
        <f t="shared" ref="D13:I13" si="4">D3</f>
        <v>2025</v>
      </c>
      <c r="E13" s="31">
        <f t="shared" si="4"/>
        <v>2026</v>
      </c>
      <c r="F13" s="31">
        <f t="shared" si="4"/>
        <v>2027</v>
      </c>
      <c r="G13" s="31">
        <f>G3</f>
        <v>2028</v>
      </c>
      <c r="H13" s="31">
        <f t="shared" si="4"/>
        <v>2029</v>
      </c>
      <c r="I13" s="31">
        <f t="shared" si="4"/>
        <v>2030</v>
      </c>
      <c r="O13" s="208"/>
    </row>
    <row r="14" spans="1:19" s="73" customFormat="1" ht="14.4">
      <c r="A14" s="99" t="s">
        <v>52</v>
      </c>
      <c r="B14" s="2" t="s">
        <v>64</v>
      </c>
      <c r="C14" s="206">
        <f t="shared" ref="C14:I14" si="5">+C4/C20/10</f>
        <v>0.79575210160692578</v>
      </c>
      <c r="D14" s="206">
        <f t="shared" si="5"/>
        <v>0.78532870723833859</v>
      </c>
      <c r="E14" s="206">
        <f t="shared" si="5"/>
        <v>0.77777838622175099</v>
      </c>
      <c r="F14" s="206">
        <f t="shared" si="5"/>
        <v>0.75575283326838494</v>
      </c>
      <c r="G14" s="206">
        <f t="shared" si="5"/>
        <v>0.74253373936730238</v>
      </c>
      <c r="H14" s="206">
        <f t="shared" si="5"/>
        <v>0.68364497400805635</v>
      </c>
      <c r="I14" s="206">
        <f t="shared" si="5"/>
        <v>0.66501757712225773</v>
      </c>
      <c r="J14" s="206"/>
      <c r="K14" s="206"/>
      <c r="L14" s="99"/>
      <c r="M14" s="99"/>
      <c r="N14" s="99"/>
      <c r="O14" s="99"/>
      <c r="P14" s="99"/>
      <c r="Q14" s="99"/>
      <c r="R14" s="99"/>
      <c r="S14" s="99"/>
    </row>
    <row r="15" spans="1:19" s="73" customFormat="1" ht="14.4">
      <c r="A15" s="99" t="s">
        <v>55</v>
      </c>
      <c r="B15" s="2" t="s">
        <v>65</v>
      </c>
      <c r="C15" s="206">
        <f t="shared" ref="C15:I15" si="6">+C6/C20/10</f>
        <v>0.11009056751982182</v>
      </c>
      <c r="D15" s="206">
        <f t="shared" si="6"/>
        <v>0.14291185371026532</v>
      </c>
      <c r="E15" s="206">
        <f t="shared" si="6"/>
        <v>0.17057165537637031</v>
      </c>
      <c r="F15" s="206">
        <f t="shared" si="6"/>
        <v>0.18971070467167289</v>
      </c>
      <c r="G15" s="206">
        <f t="shared" si="6"/>
        <v>0.16842983108379792</v>
      </c>
      <c r="H15" s="206">
        <f t="shared" si="6"/>
        <v>0.11531521617191347</v>
      </c>
      <c r="I15" s="206">
        <f t="shared" si="6"/>
        <v>0.11796349813668464</v>
      </c>
      <c r="J15" s="99"/>
      <c r="K15" s="44"/>
      <c r="L15" s="99"/>
      <c r="M15" s="99"/>
      <c r="N15" s="99"/>
      <c r="O15" s="99"/>
      <c r="P15" s="99"/>
      <c r="Q15" s="99"/>
      <c r="R15" s="99"/>
      <c r="S15" s="99"/>
    </row>
    <row r="16" spans="1:19" s="73" customFormat="1" ht="14.4">
      <c r="A16" s="99" t="s">
        <v>57</v>
      </c>
      <c r="B16" s="2" t="s">
        <v>66</v>
      </c>
      <c r="C16" s="206">
        <f t="shared" ref="C16:I16" si="7">+C7/C20/10</f>
        <v>0.14280623608017817</v>
      </c>
      <c r="D16" s="206">
        <f t="shared" si="7"/>
        <v>0.16063405950665424</v>
      </c>
      <c r="E16" s="206">
        <f t="shared" si="7"/>
        <v>0.1604547300040601</v>
      </c>
      <c r="F16" s="206">
        <f t="shared" si="7"/>
        <v>0.14939201065984284</v>
      </c>
      <c r="G16" s="206">
        <f t="shared" si="7"/>
        <v>0.14747483776884782</v>
      </c>
      <c r="H16" s="206">
        <f t="shared" si="7"/>
        <v>0.1457261242775176</v>
      </c>
      <c r="I16" s="206">
        <f t="shared" si="7"/>
        <v>0.14414057792039331</v>
      </c>
      <c r="J16" s="99"/>
      <c r="K16" s="99"/>
      <c r="L16" s="99"/>
      <c r="M16" s="99"/>
      <c r="N16" s="99"/>
      <c r="O16" s="99"/>
      <c r="P16" s="99"/>
      <c r="Q16" s="99"/>
      <c r="R16" s="99"/>
      <c r="S16" s="99"/>
    </row>
    <row r="17" spans="2:14" s="73" customFormat="1" ht="14.4">
      <c r="B17" s="3" t="s">
        <v>67</v>
      </c>
      <c r="C17" s="261">
        <f t="shared" ref="C17:I17" si="8">+C9/C20/10</f>
        <v>1.0486489052069259</v>
      </c>
      <c r="D17" s="261">
        <f t="shared" si="8"/>
        <v>1.088874620455258</v>
      </c>
      <c r="E17" s="261">
        <f t="shared" si="8"/>
        <v>1.1088047716021814</v>
      </c>
      <c r="F17" s="261">
        <f t="shared" si="8"/>
        <v>1.0948555485999005</v>
      </c>
      <c r="G17" s="261">
        <f t="shared" si="8"/>
        <v>1.0584384082199481</v>
      </c>
      <c r="H17" s="261">
        <f t="shared" si="8"/>
        <v>0.94468631445748752</v>
      </c>
      <c r="I17" s="261">
        <f t="shared" si="8"/>
        <v>0.9271216531793357</v>
      </c>
      <c r="J17" s="99"/>
      <c r="K17" s="99"/>
      <c r="L17" s="99"/>
      <c r="M17" s="99"/>
      <c r="N17" s="99"/>
    </row>
    <row r="18" spans="2:14" ht="14.4">
      <c r="B18" s="153" t="s">
        <v>68</v>
      </c>
      <c r="C18" s="262">
        <f t="shared" ref="C18:I18" si="9">+C10/C20/10</f>
        <v>0.45431251065148415</v>
      </c>
      <c r="D18" s="262">
        <f t="shared" si="9"/>
        <v>0.52257518270588021</v>
      </c>
      <c r="E18" s="262">
        <f t="shared" si="9"/>
        <v>0.5664819480553881</v>
      </c>
      <c r="F18" s="262">
        <f t="shared" si="9"/>
        <v>0.57448606801601598</v>
      </c>
      <c r="G18" s="262">
        <f t="shared" si="9"/>
        <v>0.55542452754347749</v>
      </c>
      <c r="H18" s="262">
        <f t="shared" si="9"/>
        <v>0.45705443593863515</v>
      </c>
      <c r="I18" s="262">
        <f t="shared" si="9"/>
        <v>0.45663338434071832</v>
      </c>
      <c r="K18" s="182"/>
    </row>
    <row r="19" spans="2:14">
      <c r="B19" s="154"/>
      <c r="C19" s="34"/>
      <c r="D19" s="34"/>
      <c r="E19" s="34"/>
      <c r="F19" s="34"/>
      <c r="G19" s="34"/>
      <c r="H19" s="34"/>
      <c r="I19" s="34"/>
      <c r="K19" s="183"/>
    </row>
    <row r="20" spans="2:14" s="80" customFormat="1" ht="14.4">
      <c r="B20" s="2" t="s">
        <v>69</v>
      </c>
      <c r="C20" s="304">
        <v>1122.5</v>
      </c>
      <c r="D20" s="304">
        <v>1179.7</v>
      </c>
      <c r="E20" s="304">
        <v>1231.5</v>
      </c>
      <c r="F20" s="304">
        <f>E20*(1+F21/100)</f>
        <v>1245.0464999999999</v>
      </c>
      <c r="G20" s="304">
        <f>F20*(1+G21/100)</f>
        <v>1261.2321044999999</v>
      </c>
      <c r="H20" s="304">
        <f>G20*(1+H21/100)</f>
        <v>1276.3668897539999</v>
      </c>
      <c r="I20" s="304">
        <f>H20*(1+I21/100)</f>
        <v>1290.4069255412937</v>
      </c>
      <c r="K20" s="123"/>
    </row>
    <row r="21" spans="2:14" s="98" customFormat="1" ht="14.4">
      <c r="B21" s="2" t="s">
        <v>70</v>
      </c>
      <c r="C21" s="305"/>
      <c r="D21" s="306"/>
      <c r="E21" s="306"/>
      <c r="F21" s="307">
        <v>1.1000000000000001</v>
      </c>
      <c r="G21" s="307">
        <v>1.3</v>
      </c>
      <c r="H21" s="307">
        <v>1.2</v>
      </c>
      <c r="I21" s="307">
        <v>1.1000000000000001</v>
      </c>
    </row>
    <row r="22" spans="2:14" ht="65.25" customHeight="1">
      <c r="B22" s="4"/>
      <c r="C22" s="373"/>
      <c r="D22" s="373"/>
      <c r="E22" s="373"/>
      <c r="F22" s="373"/>
      <c r="G22" s="373"/>
      <c r="H22" s="373"/>
      <c r="I22" s="288"/>
    </row>
    <row r="23" spans="2:14" ht="14.4">
      <c r="B23" s="4"/>
      <c r="C23" s="287"/>
      <c r="D23" s="263"/>
      <c r="E23" s="263"/>
      <c r="F23" s="263"/>
      <c r="G23" s="263"/>
      <c r="H23" s="263"/>
      <c r="I23" s="263"/>
    </row>
    <row r="24" spans="2:14">
      <c r="B24"/>
      <c r="C24" s="263"/>
      <c r="D24" s="263"/>
      <c r="E24" s="263"/>
      <c r="F24" s="263"/>
      <c r="G24" s="263"/>
      <c r="H24" s="263"/>
      <c r="I24" s="263"/>
    </row>
    <row r="25" spans="2:14">
      <c r="B25" s="4"/>
      <c r="C25" s="4"/>
    </row>
    <row r="26" spans="2:14">
      <c r="B26" s="157"/>
    </row>
    <row r="27" spans="2:14" ht="14.4">
      <c r="B27" s="99" t="s">
        <v>71</v>
      </c>
      <c r="C27" s="208">
        <f t="shared" ref="C27:I27" si="10">C4-C5</f>
        <v>6671.4260288848327</v>
      </c>
      <c r="D27" s="208">
        <f t="shared" si="10"/>
        <v>6680.6344671294119</v>
      </c>
      <c r="E27" s="208">
        <f t="shared" si="10"/>
        <v>6678.7055719787604</v>
      </c>
      <c r="F27" s="208">
        <f t="shared" si="10"/>
        <v>6478.8420050778332</v>
      </c>
      <c r="G27" s="208">
        <f t="shared" si="10"/>
        <v>6344.1725531829688</v>
      </c>
      <c r="H27" s="208">
        <f t="shared" si="10"/>
        <v>6223.9718413000792</v>
      </c>
      <c r="I27" s="208">
        <f t="shared" si="10"/>
        <v>6071.2132049528573</v>
      </c>
    </row>
    <row r="28" spans="2:14" ht="14.4">
      <c r="C28" s="205"/>
      <c r="D28" s="205"/>
      <c r="E28" s="205"/>
      <c r="F28" s="205"/>
      <c r="I28" s="207"/>
    </row>
    <row r="29" spans="2:14">
      <c r="B29" s="15" t="s">
        <v>72</v>
      </c>
      <c r="C29" s="208">
        <f>C7-C8</f>
        <v>1334</v>
      </c>
      <c r="D29" s="208">
        <f t="shared" ref="D29:I29" si="11">D7-D8</f>
        <v>1686</v>
      </c>
      <c r="E29" s="208">
        <f t="shared" si="11"/>
        <v>1821</v>
      </c>
      <c r="F29" s="208">
        <f t="shared" si="11"/>
        <v>1705</v>
      </c>
      <c r="G29" s="208">
        <f t="shared" si="11"/>
        <v>1705</v>
      </c>
      <c r="H29" s="208">
        <f t="shared" si="11"/>
        <v>1705</v>
      </c>
      <c r="I29" s="208">
        <f t="shared" si="11"/>
        <v>1705</v>
      </c>
    </row>
    <row r="30" spans="2:14" ht="14.4">
      <c r="B30" s="15" t="s">
        <v>73</v>
      </c>
      <c r="C30" s="206">
        <f t="shared" ref="C30:I30" si="12">C29/C20/10</f>
        <v>0.11884187082405344</v>
      </c>
      <c r="D30" s="206">
        <f t="shared" si="12"/>
        <v>0.14291769093837417</v>
      </c>
      <c r="E30" s="206">
        <f t="shared" si="12"/>
        <v>0.14786845310596833</v>
      </c>
      <c r="F30" s="206">
        <f t="shared" si="12"/>
        <v>0.13694267643818928</v>
      </c>
      <c r="G30" s="206">
        <f t="shared" si="12"/>
        <v>0.13518526795477717</v>
      </c>
      <c r="H30" s="206">
        <f t="shared" si="12"/>
        <v>0.13358228058772448</v>
      </c>
      <c r="I30" s="206">
        <f t="shared" si="12"/>
        <v>0.13212886309369384</v>
      </c>
    </row>
    <row r="31" spans="2:14">
      <c r="C31" s="208"/>
    </row>
    <row r="32" spans="2:14" ht="15.6">
      <c r="B32" s="186"/>
      <c r="C32" s="238"/>
      <c r="D32" s="208"/>
      <c r="F32" s="208"/>
    </row>
    <row r="33" spans="2:10">
      <c r="D33" s="208"/>
    </row>
    <row r="34" spans="2:10">
      <c r="B34" s="208"/>
      <c r="C34" s="208"/>
    </row>
    <row r="35" spans="2:10">
      <c r="C35" s="208"/>
      <c r="D35" s="208"/>
      <c r="E35" s="208"/>
      <c r="F35" s="208"/>
      <c r="G35" s="208"/>
      <c r="H35" s="208"/>
      <c r="I35" s="208"/>
    </row>
    <row r="36" spans="2:10">
      <c r="B36" s="238"/>
      <c r="C36" s="238"/>
      <c r="D36" s="238"/>
      <c r="E36" s="238"/>
      <c r="F36" s="238"/>
      <c r="G36" s="238"/>
      <c r="H36" s="238"/>
      <c r="I36" s="238"/>
      <c r="J36" s="238"/>
    </row>
  </sheetData>
  <mergeCells count="3">
    <mergeCell ref="L3:M3"/>
    <mergeCell ref="F22:H22"/>
    <mergeCell ref="C22:E22"/>
  </mergeCells>
  <pageMargins left="0.70866141732283472" right="0.70866141732283472" top="0.74803149606299213" bottom="0.74803149606299213" header="0.31496062992125984" footer="0.31496062992125984"/>
  <pageSetup paperSize="9" scale="98" orientation="landscape" r:id="rId1"/>
  <headerFooter>
    <oddFooter>&amp;L&amp;Z&amp;F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42"/>
  <sheetViews>
    <sheetView view="pageBreakPreview" zoomScaleNormal="100" zoomScaleSheetLayoutView="100" workbookViewId="0"/>
  </sheetViews>
  <sheetFormatPr defaultColWidth="9.44140625" defaultRowHeight="13.8"/>
  <cols>
    <col min="1" max="1" width="13.5546875" style="4" customWidth="1"/>
    <col min="2" max="2" width="48.88671875" style="4" customWidth="1"/>
    <col min="3" max="3" width="11.6640625" style="4" customWidth="1"/>
    <col min="4" max="4" width="11.44140625" style="4" customWidth="1"/>
    <col min="5" max="5" width="12.44140625" style="4" customWidth="1"/>
    <col min="6" max="6" width="10.88671875" style="4" customWidth="1"/>
    <col min="7" max="7" width="9.6640625" style="4" customWidth="1"/>
    <col min="8" max="8" width="9.44140625" style="4" customWidth="1"/>
    <col min="9" max="9" width="11.33203125" style="4" customWidth="1"/>
    <col min="10" max="10" width="5.33203125" style="4" customWidth="1"/>
    <col min="11" max="11" width="9" style="4" customWidth="1"/>
    <col min="12" max="12" width="10.6640625" style="4" customWidth="1"/>
    <col min="13" max="14" width="12" style="4" customWidth="1"/>
    <col min="15" max="15" width="19.44140625" style="4" customWidth="1"/>
    <col min="16" max="16" width="10.5546875" style="10" bestFit="1" customWidth="1"/>
    <col min="17" max="23" width="13.44140625" style="5" customWidth="1"/>
    <col min="24" max="16384" width="9.44140625" style="4"/>
  </cols>
  <sheetData>
    <row r="1" spans="1:23" ht="18">
      <c r="A1" s="20" t="s">
        <v>74</v>
      </c>
      <c r="B1" s="348"/>
      <c r="C1" s="348"/>
      <c r="D1" s="348"/>
      <c r="E1" s="348"/>
      <c r="F1" s="349"/>
      <c r="G1" s="348"/>
      <c r="H1" s="348"/>
      <c r="I1" s="348"/>
      <c r="J1" s="348"/>
      <c r="K1" s="348"/>
      <c r="L1" s="72"/>
      <c r="M1" s="348"/>
      <c r="N1" s="348"/>
      <c r="O1" s="348"/>
    </row>
    <row r="3" spans="1:23">
      <c r="A3" s="19" t="s">
        <v>75</v>
      </c>
      <c r="B3" s="17" t="s">
        <v>76</v>
      </c>
      <c r="C3" s="1" t="s">
        <v>77</v>
      </c>
      <c r="D3" s="17" t="s">
        <v>78</v>
      </c>
      <c r="E3" s="17" t="s">
        <v>79</v>
      </c>
      <c r="F3" s="17" t="s">
        <v>80</v>
      </c>
      <c r="G3" s="17"/>
      <c r="H3" s="17"/>
      <c r="I3" s="17"/>
      <c r="J3" s="17" t="s">
        <v>81</v>
      </c>
      <c r="K3" s="18" t="s">
        <v>82</v>
      </c>
      <c r="L3" s="17" t="s">
        <v>83</v>
      </c>
      <c r="M3" s="17" t="s">
        <v>34</v>
      </c>
      <c r="N3" s="17"/>
      <c r="O3" s="17" t="s">
        <v>84</v>
      </c>
      <c r="P3" s="53" t="s">
        <v>85</v>
      </c>
      <c r="Q3" s="5" t="s">
        <v>86</v>
      </c>
    </row>
    <row r="4" spans="1:23" ht="14.4">
      <c r="A4" s="19"/>
      <c r="B4" s="17"/>
      <c r="C4" s="3">
        <v>2024</v>
      </c>
      <c r="D4" s="3">
        <f>C4+1</f>
        <v>2025</v>
      </c>
      <c r="E4" s="3">
        <f t="shared" ref="E4:I4" si="0">D4+1</f>
        <v>2026</v>
      </c>
      <c r="F4" s="3">
        <f t="shared" si="0"/>
        <v>2027</v>
      </c>
      <c r="G4" s="3">
        <f t="shared" si="0"/>
        <v>2028</v>
      </c>
      <c r="H4" s="3">
        <f t="shared" si="0"/>
        <v>2029</v>
      </c>
      <c r="I4" s="3">
        <f t="shared" si="0"/>
        <v>2030</v>
      </c>
      <c r="J4" s="17"/>
      <c r="K4" s="18"/>
      <c r="L4" s="17"/>
      <c r="M4" s="17"/>
      <c r="N4" s="17"/>
      <c r="O4" s="17"/>
      <c r="P4" s="53" t="s">
        <v>87</v>
      </c>
      <c r="Q4" s="1">
        <f t="shared" ref="Q4:W4" si="1">C4</f>
        <v>2024</v>
      </c>
      <c r="R4" s="1">
        <f t="shared" si="1"/>
        <v>2025</v>
      </c>
      <c r="S4" s="1">
        <f t="shared" si="1"/>
        <v>2026</v>
      </c>
      <c r="T4" s="1">
        <f t="shared" si="1"/>
        <v>2027</v>
      </c>
      <c r="U4" s="1">
        <f t="shared" si="1"/>
        <v>2028</v>
      </c>
      <c r="V4" s="1">
        <f t="shared" si="1"/>
        <v>2029</v>
      </c>
      <c r="W4" s="1">
        <f t="shared" si="1"/>
        <v>2030</v>
      </c>
    </row>
    <row r="5" spans="1:23" s="1" customFormat="1">
      <c r="P5" s="53"/>
      <c r="Q5" s="52"/>
      <c r="R5" s="52"/>
      <c r="S5" s="52"/>
      <c r="T5" s="52"/>
      <c r="U5" s="52"/>
      <c r="V5" s="52"/>
      <c r="W5" s="52"/>
    </row>
    <row r="6" spans="1:23" s="12" customFormat="1" ht="14.4">
      <c r="B6" s="12" t="s">
        <v>88</v>
      </c>
      <c r="L6" s="11"/>
      <c r="P6" s="12" t="s">
        <v>88</v>
      </c>
      <c r="Q6" s="191"/>
      <c r="R6" s="191"/>
      <c r="S6" s="191"/>
      <c r="T6" s="191"/>
      <c r="U6" s="191"/>
      <c r="V6" s="191"/>
      <c r="W6" s="191"/>
    </row>
    <row r="7" spans="1:23">
      <c r="A7" s="247" t="s">
        <v>89</v>
      </c>
      <c r="B7" s="124" t="s">
        <v>90</v>
      </c>
      <c r="C7" s="280">
        <v>0.55500000000000005</v>
      </c>
      <c r="D7" s="279">
        <v>0.53800000000000003</v>
      </c>
      <c r="E7" s="279">
        <v>0.63100000000000001</v>
      </c>
      <c r="F7" s="279">
        <v>0.625</v>
      </c>
      <c r="G7" s="279">
        <v>0.61799999999999999</v>
      </c>
      <c r="H7" s="279">
        <v>0.61199999999999999</v>
      </c>
      <c r="I7" s="279">
        <v>0.61199999999999999</v>
      </c>
      <c r="J7" s="4">
        <v>80</v>
      </c>
      <c r="K7" s="4">
        <v>11</v>
      </c>
      <c r="L7" s="72" t="s">
        <v>91</v>
      </c>
      <c r="M7" s="4" t="s">
        <v>92</v>
      </c>
      <c r="O7" s="4" t="s">
        <v>93</v>
      </c>
      <c r="Q7" s="5">
        <f t="shared" ref="Q7:W7" si="2">+$P7/100*C7</f>
        <v>0</v>
      </c>
      <c r="R7" s="5">
        <f t="shared" si="2"/>
        <v>0</v>
      </c>
      <c r="S7" s="5">
        <f t="shared" si="2"/>
        <v>0</v>
      </c>
      <c r="T7" s="5">
        <f t="shared" si="2"/>
        <v>0</v>
      </c>
      <c r="U7" s="5">
        <f t="shared" si="2"/>
        <v>0</v>
      </c>
      <c r="V7" s="5">
        <f t="shared" si="2"/>
        <v>0</v>
      </c>
      <c r="W7" s="5">
        <f t="shared" si="2"/>
        <v>0</v>
      </c>
    </row>
    <row r="8" spans="1:23" s="3" customFormat="1" ht="14.4">
      <c r="B8" s="177" t="s">
        <v>94</v>
      </c>
      <c r="C8" s="9">
        <f t="shared" ref="C8:I8" si="3">C7</f>
        <v>0.55500000000000005</v>
      </c>
      <c r="D8" s="9">
        <f t="shared" si="3"/>
        <v>0.53800000000000003</v>
      </c>
      <c r="E8" s="9">
        <f t="shared" si="3"/>
        <v>0.63100000000000001</v>
      </c>
      <c r="F8" s="9">
        <f t="shared" si="3"/>
        <v>0.625</v>
      </c>
      <c r="G8" s="9">
        <f t="shared" si="3"/>
        <v>0.61799999999999999</v>
      </c>
      <c r="H8" s="9">
        <f t="shared" si="3"/>
        <v>0.61199999999999999</v>
      </c>
      <c r="I8" s="9">
        <f t="shared" si="3"/>
        <v>0.61199999999999999</v>
      </c>
      <c r="J8" s="1"/>
      <c r="K8" s="1"/>
      <c r="L8" s="17"/>
      <c r="M8" s="1"/>
      <c r="N8" s="1"/>
      <c r="O8" s="1"/>
      <c r="P8" s="53"/>
      <c r="Q8" s="6">
        <f t="shared" ref="Q8:W8" si="4">SUM(Q7)</f>
        <v>0</v>
      </c>
      <c r="R8" s="6">
        <f t="shared" si="4"/>
        <v>0</v>
      </c>
      <c r="S8" s="6">
        <f t="shared" si="4"/>
        <v>0</v>
      </c>
      <c r="T8" s="6">
        <f t="shared" si="4"/>
        <v>0</v>
      </c>
      <c r="U8" s="6">
        <f t="shared" si="4"/>
        <v>0</v>
      </c>
      <c r="V8" s="6">
        <f t="shared" si="4"/>
        <v>0</v>
      </c>
      <c r="W8" s="6">
        <f t="shared" si="4"/>
        <v>0</v>
      </c>
    </row>
    <row r="9" spans="1:23" s="1" customFormat="1">
      <c r="C9" s="46"/>
      <c r="D9" s="46"/>
      <c r="E9" s="46"/>
      <c r="F9" s="46"/>
      <c r="G9" s="46"/>
      <c r="H9" s="46"/>
      <c r="I9" s="46"/>
      <c r="P9" s="53"/>
      <c r="Q9" s="52"/>
      <c r="R9" s="52"/>
      <c r="S9" s="52"/>
      <c r="T9" s="52"/>
      <c r="U9" s="52"/>
      <c r="V9" s="52"/>
      <c r="W9" s="52"/>
    </row>
    <row r="10" spans="1:23" s="12" customFormat="1" ht="14.4">
      <c r="B10" s="12" t="s">
        <v>95</v>
      </c>
      <c r="L10" s="11"/>
      <c r="P10" s="12" t="s">
        <v>95</v>
      </c>
      <c r="Q10" s="191"/>
      <c r="R10" s="191"/>
      <c r="S10" s="191"/>
      <c r="T10" s="191"/>
      <c r="U10" s="191"/>
      <c r="V10" s="191"/>
      <c r="W10" s="191"/>
    </row>
    <row r="11" spans="1:23">
      <c r="A11" s="4">
        <v>5</v>
      </c>
      <c r="B11" s="4" t="s">
        <v>96</v>
      </c>
      <c r="C11" s="49">
        <v>0.40400000000000003</v>
      </c>
      <c r="D11" s="49">
        <v>0.28199999999999997</v>
      </c>
      <c r="E11" s="49">
        <v>0.1603</v>
      </c>
      <c r="F11" s="49">
        <v>0.1114</v>
      </c>
      <c r="G11" s="49">
        <v>7.7799999999999994E-2</v>
      </c>
      <c r="H11" s="49">
        <v>8.3000000000000004E-2</v>
      </c>
      <c r="I11" s="49">
        <v>8.3000000000000004E-2</v>
      </c>
      <c r="J11" s="4">
        <v>10</v>
      </c>
      <c r="K11" s="72">
        <v>11</v>
      </c>
      <c r="L11" s="72" t="s">
        <v>91</v>
      </c>
      <c r="M11" s="4" t="s">
        <v>97</v>
      </c>
      <c r="O11" s="4" t="s">
        <v>98</v>
      </c>
      <c r="P11" s="10">
        <v>0</v>
      </c>
      <c r="Q11" s="5">
        <f t="shared" ref="Q11:W15" si="5">+$P11/100*C11</f>
        <v>0</v>
      </c>
      <c r="R11" s="5">
        <f t="shared" si="5"/>
        <v>0</v>
      </c>
      <c r="S11" s="5">
        <f t="shared" si="5"/>
        <v>0</v>
      </c>
      <c r="T11" s="5">
        <f t="shared" si="5"/>
        <v>0</v>
      </c>
      <c r="U11" s="5">
        <f t="shared" si="5"/>
        <v>0</v>
      </c>
      <c r="V11" s="5">
        <f t="shared" si="5"/>
        <v>0</v>
      </c>
      <c r="W11" s="5">
        <f t="shared" si="5"/>
        <v>0</v>
      </c>
    </row>
    <row r="12" spans="1:23">
      <c r="A12" s="4">
        <v>17</v>
      </c>
      <c r="B12" s="4" t="s">
        <v>99</v>
      </c>
      <c r="C12" s="49">
        <v>3.5</v>
      </c>
      <c r="D12" s="49">
        <v>2.6</v>
      </c>
      <c r="E12" s="49">
        <v>3</v>
      </c>
      <c r="F12" s="49">
        <v>1.5</v>
      </c>
      <c r="G12" s="49">
        <v>1.5</v>
      </c>
      <c r="H12" s="49">
        <v>1.5</v>
      </c>
      <c r="I12" s="49">
        <v>1.5</v>
      </c>
      <c r="J12" s="4">
        <v>100</v>
      </c>
      <c r="K12" s="72">
        <v>11</v>
      </c>
      <c r="L12" s="72" t="s">
        <v>91</v>
      </c>
      <c r="M12" s="4" t="s">
        <v>100</v>
      </c>
      <c r="O12" s="4" t="s">
        <v>93</v>
      </c>
      <c r="P12" s="10">
        <v>0</v>
      </c>
      <c r="Q12" s="5">
        <f t="shared" si="5"/>
        <v>0</v>
      </c>
      <c r="R12" s="5">
        <f t="shared" si="5"/>
        <v>0</v>
      </c>
      <c r="S12" s="5">
        <f t="shared" si="5"/>
        <v>0</v>
      </c>
      <c r="T12" s="5">
        <f t="shared" si="5"/>
        <v>0</v>
      </c>
      <c r="U12" s="5">
        <f t="shared" si="5"/>
        <v>0</v>
      </c>
      <c r="V12" s="5">
        <f t="shared" si="5"/>
        <v>0</v>
      </c>
      <c r="W12" s="5">
        <f t="shared" si="5"/>
        <v>0</v>
      </c>
    </row>
    <row r="13" spans="1:23">
      <c r="A13" s="4">
        <v>17</v>
      </c>
      <c r="B13" s="4" t="s">
        <v>101</v>
      </c>
      <c r="C13" s="49">
        <v>31.675999999999998</v>
      </c>
      <c r="D13" s="49">
        <v>26.196000000000002</v>
      </c>
      <c r="E13" s="49">
        <v>26.269349999999999</v>
      </c>
      <c r="F13" s="49">
        <v>24.068650000000002</v>
      </c>
      <c r="G13" s="49">
        <v>25.246299999999998</v>
      </c>
      <c r="H13" s="49">
        <v>26.642299999999999</v>
      </c>
      <c r="I13" s="49">
        <v>26.642299999999999</v>
      </c>
      <c r="J13" s="4">
        <v>5</v>
      </c>
      <c r="K13" s="72">
        <v>11</v>
      </c>
      <c r="L13" s="72" t="s">
        <v>91</v>
      </c>
      <c r="M13" s="4" t="s">
        <v>100</v>
      </c>
      <c r="O13" s="4" t="s">
        <v>93</v>
      </c>
      <c r="P13" s="10">
        <v>0</v>
      </c>
      <c r="Q13" s="5">
        <f t="shared" si="5"/>
        <v>0</v>
      </c>
      <c r="R13" s="5">
        <f t="shared" si="5"/>
        <v>0</v>
      </c>
      <c r="S13" s="5">
        <f t="shared" si="5"/>
        <v>0</v>
      </c>
      <c r="T13" s="5">
        <f t="shared" si="5"/>
        <v>0</v>
      </c>
      <c r="U13" s="5">
        <f t="shared" si="5"/>
        <v>0</v>
      </c>
      <c r="V13" s="5">
        <f t="shared" si="5"/>
        <v>0</v>
      </c>
      <c r="W13" s="5">
        <f t="shared" si="5"/>
        <v>0</v>
      </c>
    </row>
    <row r="14" spans="1:23">
      <c r="A14" s="4">
        <v>17</v>
      </c>
      <c r="B14" s="4" t="s">
        <v>102</v>
      </c>
      <c r="C14" s="49">
        <v>5.82</v>
      </c>
      <c r="D14" s="49">
        <v>6.4320000000000004</v>
      </c>
      <c r="E14" s="49">
        <v>4.8730000000000002</v>
      </c>
      <c r="F14" s="49">
        <v>4.6983500000000005</v>
      </c>
      <c r="G14" s="49">
        <v>4.8025000000000002</v>
      </c>
      <c r="H14" s="49">
        <v>5.1044999999999998</v>
      </c>
      <c r="I14" s="49">
        <v>5.1044999999999998</v>
      </c>
      <c r="J14" s="4">
        <v>5</v>
      </c>
      <c r="K14" s="72">
        <v>11</v>
      </c>
      <c r="L14" s="72" t="s">
        <v>91</v>
      </c>
      <c r="M14" s="4" t="s">
        <v>100</v>
      </c>
      <c r="O14" s="4" t="s">
        <v>93</v>
      </c>
      <c r="P14" s="10">
        <v>0</v>
      </c>
      <c r="Q14" s="5">
        <f t="shared" si="5"/>
        <v>0</v>
      </c>
      <c r="R14" s="5">
        <f t="shared" si="5"/>
        <v>0</v>
      </c>
      <c r="S14" s="5">
        <f t="shared" si="5"/>
        <v>0</v>
      </c>
      <c r="T14" s="5">
        <f t="shared" si="5"/>
        <v>0</v>
      </c>
      <c r="U14" s="5">
        <f t="shared" si="5"/>
        <v>0</v>
      </c>
      <c r="V14" s="5">
        <f t="shared" si="5"/>
        <v>0</v>
      </c>
      <c r="W14" s="5">
        <f t="shared" si="5"/>
        <v>0</v>
      </c>
    </row>
    <row r="15" spans="1:23">
      <c r="A15" s="4">
        <v>17</v>
      </c>
      <c r="B15" s="4" t="s">
        <v>103</v>
      </c>
      <c r="C15" s="49">
        <v>10.977</v>
      </c>
      <c r="D15" s="49">
        <v>9.8049999999999997</v>
      </c>
      <c r="E15" s="49">
        <v>9.6645499999999984</v>
      </c>
      <c r="F15" s="49">
        <v>9.8103999999999996</v>
      </c>
      <c r="G15" s="49">
        <v>11.238100000000001</v>
      </c>
      <c r="H15" s="49">
        <v>12.617049999999999</v>
      </c>
      <c r="I15" s="49">
        <v>12.617049999999999</v>
      </c>
      <c r="J15" s="4">
        <v>5</v>
      </c>
      <c r="K15" s="72">
        <v>11</v>
      </c>
      <c r="L15" s="72" t="s">
        <v>91</v>
      </c>
      <c r="M15" s="4" t="s">
        <v>100</v>
      </c>
      <c r="O15" s="4" t="s">
        <v>93</v>
      </c>
      <c r="P15" s="10">
        <v>0</v>
      </c>
      <c r="Q15" s="5">
        <f t="shared" si="5"/>
        <v>0</v>
      </c>
      <c r="R15" s="5">
        <f t="shared" si="5"/>
        <v>0</v>
      </c>
      <c r="S15" s="5">
        <f t="shared" si="5"/>
        <v>0</v>
      </c>
      <c r="T15" s="5">
        <f t="shared" si="5"/>
        <v>0</v>
      </c>
      <c r="U15" s="5">
        <f t="shared" si="5"/>
        <v>0</v>
      </c>
      <c r="V15" s="5">
        <f t="shared" si="5"/>
        <v>0</v>
      </c>
      <c r="W15" s="5">
        <f t="shared" si="5"/>
        <v>0</v>
      </c>
    </row>
    <row r="16" spans="1:23" s="3" customFormat="1" ht="14.4">
      <c r="B16" s="3" t="s">
        <v>104</v>
      </c>
      <c r="C16" s="9">
        <f t="shared" ref="C16:I16" si="6">SUM(C11:C15)</f>
        <v>52.376999999999995</v>
      </c>
      <c r="D16" s="9">
        <f t="shared" si="6"/>
        <v>45.315000000000005</v>
      </c>
      <c r="E16" s="9">
        <f t="shared" si="6"/>
        <v>43.967199999999998</v>
      </c>
      <c r="F16" s="9">
        <f t="shared" si="6"/>
        <v>40.188800000000001</v>
      </c>
      <c r="G16" s="9">
        <f t="shared" si="6"/>
        <v>42.864699999999999</v>
      </c>
      <c r="H16" s="9">
        <f t="shared" si="6"/>
        <v>45.946849999999998</v>
      </c>
      <c r="I16" s="9">
        <f t="shared" si="6"/>
        <v>45.946849999999998</v>
      </c>
      <c r="P16" s="54"/>
      <c r="Q16" s="6">
        <f t="shared" ref="Q16:W16" si="7">SUM(Q11:Q15)</f>
        <v>0</v>
      </c>
      <c r="R16" s="6">
        <f t="shared" si="7"/>
        <v>0</v>
      </c>
      <c r="S16" s="6">
        <f t="shared" si="7"/>
        <v>0</v>
      </c>
      <c r="T16" s="6">
        <f t="shared" si="7"/>
        <v>0</v>
      </c>
      <c r="U16" s="6">
        <f t="shared" si="7"/>
        <v>0</v>
      </c>
      <c r="V16" s="6">
        <f t="shared" si="7"/>
        <v>0</v>
      </c>
      <c r="W16" s="6">
        <f t="shared" si="7"/>
        <v>0</v>
      </c>
    </row>
    <row r="17" spans="1:23" s="1" customFormat="1">
      <c r="C17" s="46"/>
      <c r="D17" s="46"/>
      <c r="E17" s="46"/>
      <c r="F17" s="46"/>
      <c r="G17" s="46"/>
      <c r="H17" s="46"/>
      <c r="I17" s="46"/>
      <c r="K17" s="46"/>
      <c r="P17" s="53"/>
      <c r="Q17" s="52"/>
      <c r="R17" s="52"/>
      <c r="S17" s="52"/>
      <c r="T17" s="52"/>
      <c r="U17" s="52"/>
      <c r="V17" s="52"/>
      <c r="W17" s="52"/>
    </row>
    <row r="18" spans="1:23" s="11" customFormat="1" ht="14.4">
      <c r="B18" s="12" t="s">
        <v>105</v>
      </c>
      <c r="C18" s="48"/>
      <c r="D18" s="48"/>
      <c r="E18" s="48"/>
      <c r="F18" s="48"/>
      <c r="G18" s="48"/>
      <c r="H18" s="48"/>
      <c r="I18" s="48"/>
      <c r="P18" s="12" t="s">
        <v>105</v>
      </c>
      <c r="Q18" s="131"/>
      <c r="R18" s="131"/>
      <c r="S18" s="131"/>
      <c r="T18" s="131"/>
      <c r="U18" s="131"/>
      <c r="V18" s="131"/>
      <c r="W18" s="131"/>
    </row>
    <row r="19" spans="1:23">
      <c r="B19" s="72" t="s">
        <v>106</v>
      </c>
      <c r="C19" s="4">
        <v>3.927</v>
      </c>
      <c r="D19" s="4">
        <v>3.238</v>
      </c>
      <c r="E19" s="4">
        <v>3.4260000000000002</v>
      </c>
      <c r="F19" s="4">
        <v>3.335</v>
      </c>
      <c r="G19" s="4">
        <v>3.2469999999999999</v>
      </c>
      <c r="H19" s="4">
        <v>3.2450000000000001</v>
      </c>
      <c r="I19" s="4">
        <v>3.2450000000000001</v>
      </c>
      <c r="J19" s="4">
        <v>10</v>
      </c>
      <c r="K19" s="4">
        <v>11</v>
      </c>
      <c r="L19" s="72" t="s">
        <v>91</v>
      </c>
      <c r="M19" s="4" t="s">
        <v>107</v>
      </c>
      <c r="O19" s="4" t="s">
        <v>108</v>
      </c>
      <c r="Q19" s="5">
        <f t="shared" ref="Q19:W22" si="8">+$P19/100*C19</f>
        <v>0</v>
      </c>
      <c r="R19" s="5">
        <f t="shared" si="8"/>
        <v>0</v>
      </c>
      <c r="S19" s="5">
        <f t="shared" si="8"/>
        <v>0</v>
      </c>
      <c r="T19" s="5">
        <f t="shared" si="8"/>
        <v>0</v>
      </c>
      <c r="U19" s="5">
        <f t="shared" si="8"/>
        <v>0</v>
      </c>
      <c r="V19" s="5">
        <f t="shared" si="8"/>
        <v>0</v>
      </c>
      <c r="W19" s="5">
        <f t="shared" si="8"/>
        <v>0</v>
      </c>
    </row>
    <row r="20" spans="1:23">
      <c r="A20" s="72"/>
      <c r="B20" s="72" t="s">
        <v>109</v>
      </c>
      <c r="C20" s="77">
        <v>3.9279999999999999</v>
      </c>
      <c r="D20" s="77">
        <v>3.2389999999999999</v>
      </c>
      <c r="E20" s="77">
        <v>3.4260000000000002</v>
      </c>
      <c r="F20" s="77">
        <v>3.3359999999999999</v>
      </c>
      <c r="G20" s="77">
        <v>3.2480000000000002</v>
      </c>
      <c r="H20" s="77">
        <v>3.246</v>
      </c>
      <c r="I20" s="77">
        <v>3.246</v>
      </c>
      <c r="J20" s="72">
        <v>10</v>
      </c>
      <c r="K20" s="72">
        <v>11</v>
      </c>
      <c r="L20" s="72" t="s">
        <v>91</v>
      </c>
      <c r="M20" s="72" t="s">
        <v>110</v>
      </c>
      <c r="N20" s="72"/>
      <c r="O20" s="4" t="s">
        <v>108</v>
      </c>
      <c r="Q20" s="5">
        <f t="shared" si="8"/>
        <v>0</v>
      </c>
      <c r="R20" s="5">
        <f t="shared" si="8"/>
        <v>0</v>
      </c>
      <c r="S20" s="5">
        <f t="shared" si="8"/>
        <v>0</v>
      </c>
      <c r="T20" s="5">
        <f t="shared" si="8"/>
        <v>0</v>
      </c>
      <c r="U20" s="5">
        <f t="shared" si="8"/>
        <v>0</v>
      </c>
      <c r="V20" s="5">
        <f t="shared" si="8"/>
        <v>0</v>
      </c>
      <c r="W20" s="5">
        <f t="shared" si="8"/>
        <v>0</v>
      </c>
    </row>
    <row r="21" spans="1:23">
      <c r="A21" s="72"/>
      <c r="B21" s="72" t="s">
        <v>111</v>
      </c>
      <c r="C21" s="77">
        <v>8.8829999999999991</v>
      </c>
      <c r="D21" s="77">
        <v>8.6999999999999993</v>
      </c>
      <c r="E21" s="77">
        <v>8.6999999999999993</v>
      </c>
      <c r="F21" s="77">
        <v>8.6999999999999993</v>
      </c>
      <c r="G21" s="77">
        <v>8.6999999999999993</v>
      </c>
      <c r="H21" s="77">
        <v>8.6999999999999993</v>
      </c>
      <c r="I21" s="77">
        <v>8.6999999999999993</v>
      </c>
      <c r="J21" s="248">
        <v>0.15</v>
      </c>
      <c r="K21" s="72">
        <v>11</v>
      </c>
      <c r="L21" s="72" t="s">
        <v>91</v>
      </c>
      <c r="M21" s="72" t="s">
        <v>92</v>
      </c>
      <c r="N21" s="72"/>
      <c r="O21" s="72" t="s">
        <v>108</v>
      </c>
      <c r="Q21" s="5">
        <f t="shared" si="8"/>
        <v>0</v>
      </c>
      <c r="R21" s="5">
        <f t="shared" si="8"/>
        <v>0</v>
      </c>
      <c r="S21" s="5">
        <f t="shared" si="8"/>
        <v>0</v>
      </c>
      <c r="T21" s="5">
        <f t="shared" si="8"/>
        <v>0</v>
      </c>
      <c r="U21" s="5">
        <f t="shared" si="8"/>
        <v>0</v>
      </c>
      <c r="V21" s="5">
        <f t="shared" si="8"/>
        <v>0</v>
      </c>
      <c r="W21" s="5">
        <f t="shared" si="8"/>
        <v>0</v>
      </c>
    </row>
    <row r="22" spans="1:23">
      <c r="A22" s="72" t="s">
        <v>112</v>
      </c>
      <c r="B22" s="72" t="s">
        <v>113</v>
      </c>
      <c r="C22" s="77">
        <v>18.363600000000002</v>
      </c>
      <c r="D22" s="77">
        <v>21.1052</v>
      </c>
      <c r="E22" s="77">
        <v>19.765499999999999</v>
      </c>
      <c r="F22" s="77">
        <v>19.771800000000002</v>
      </c>
      <c r="G22" s="77">
        <v>19.629000000000001</v>
      </c>
      <c r="H22" s="77">
        <v>19.617749999999997</v>
      </c>
      <c r="I22" s="77">
        <v>19.617749999999997</v>
      </c>
      <c r="J22" s="248">
        <v>0.15</v>
      </c>
      <c r="K22" s="72">
        <v>11</v>
      </c>
      <c r="L22" s="72" t="s">
        <v>91</v>
      </c>
      <c r="M22" s="72" t="s">
        <v>114</v>
      </c>
      <c r="N22" s="72"/>
      <c r="O22" s="4" t="s">
        <v>108</v>
      </c>
      <c r="Q22" s="5">
        <f t="shared" si="8"/>
        <v>0</v>
      </c>
      <c r="R22" s="5">
        <f t="shared" si="8"/>
        <v>0</v>
      </c>
      <c r="S22" s="5">
        <f t="shared" si="8"/>
        <v>0</v>
      </c>
      <c r="T22" s="5">
        <f t="shared" si="8"/>
        <v>0</v>
      </c>
      <c r="U22" s="5">
        <f t="shared" si="8"/>
        <v>0</v>
      </c>
      <c r="V22" s="5">
        <f t="shared" si="8"/>
        <v>0</v>
      </c>
      <c r="W22" s="5">
        <f t="shared" si="8"/>
        <v>0</v>
      </c>
    </row>
    <row r="23" spans="1:23" s="3" customFormat="1" ht="14.4">
      <c r="B23" s="3" t="s">
        <v>115</v>
      </c>
      <c r="C23" s="9">
        <f>SUM(C19:C22)</f>
        <v>35.101600000000005</v>
      </c>
      <c r="D23" s="9">
        <f t="shared" ref="D23:I23" si="9">SUM(D19:D22)</f>
        <v>36.282200000000003</v>
      </c>
      <c r="E23" s="9">
        <f t="shared" si="9"/>
        <v>35.317499999999995</v>
      </c>
      <c r="F23" s="9">
        <f t="shared" si="9"/>
        <v>35.142800000000001</v>
      </c>
      <c r="G23" s="9">
        <f t="shared" si="9"/>
        <v>34.823999999999998</v>
      </c>
      <c r="H23" s="9">
        <f t="shared" si="9"/>
        <v>34.808749999999996</v>
      </c>
      <c r="I23" s="9">
        <f t="shared" si="9"/>
        <v>34.808749999999996</v>
      </c>
      <c r="L23" s="1"/>
      <c r="P23" s="54"/>
      <c r="Q23" s="6">
        <f t="shared" ref="Q23:W23" si="10">SUM(Q19:Q22)</f>
        <v>0</v>
      </c>
      <c r="R23" s="6">
        <f t="shared" si="10"/>
        <v>0</v>
      </c>
      <c r="S23" s="6">
        <f t="shared" si="10"/>
        <v>0</v>
      </c>
      <c r="T23" s="6">
        <f t="shared" si="10"/>
        <v>0</v>
      </c>
      <c r="U23" s="6">
        <f t="shared" si="10"/>
        <v>0</v>
      </c>
      <c r="V23" s="6">
        <f t="shared" si="10"/>
        <v>0</v>
      </c>
      <c r="W23" s="6">
        <f t="shared" si="10"/>
        <v>0</v>
      </c>
    </row>
    <row r="24" spans="1:23" s="3" customFormat="1" ht="14.4">
      <c r="C24" s="9"/>
      <c r="D24" s="9"/>
      <c r="E24" s="9"/>
      <c r="F24" s="9"/>
      <c r="G24" s="9"/>
      <c r="H24" s="9"/>
      <c r="I24" s="9"/>
      <c r="L24" s="1"/>
      <c r="P24" s="54"/>
      <c r="Q24" s="6"/>
      <c r="R24" s="6"/>
      <c r="S24" s="6"/>
      <c r="T24" s="6"/>
      <c r="U24" s="6"/>
      <c r="V24" s="6"/>
      <c r="W24" s="6"/>
    </row>
    <row r="25" spans="1:23" s="12" customFormat="1" ht="14.4">
      <c r="B25" s="12" t="s">
        <v>116</v>
      </c>
      <c r="C25" s="47"/>
      <c r="D25" s="47"/>
      <c r="E25" s="47"/>
      <c r="F25" s="47"/>
      <c r="G25" s="47"/>
      <c r="H25" s="47"/>
      <c r="I25" s="47"/>
      <c r="L25" s="11"/>
      <c r="P25" s="12" t="s">
        <v>116</v>
      </c>
      <c r="Q25" s="191"/>
      <c r="R25" s="191"/>
      <c r="S25" s="191"/>
      <c r="T25" s="191"/>
      <c r="U25" s="191"/>
      <c r="V25" s="191"/>
      <c r="W25" s="191"/>
    </row>
    <row r="26" spans="1:23" s="1" customFormat="1" ht="14.4">
      <c r="A26" s="72" t="s">
        <v>117</v>
      </c>
      <c r="B26" s="72" t="s">
        <v>118</v>
      </c>
      <c r="C26" s="350">
        <v>2.8889999999999998</v>
      </c>
      <c r="D26" s="350">
        <v>1.24</v>
      </c>
      <c r="E26" s="350">
        <v>1.214</v>
      </c>
      <c r="F26" s="350">
        <v>1.786</v>
      </c>
      <c r="G26" s="350">
        <v>1.798</v>
      </c>
      <c r="H26" s="350">
        <v>2.1989999999999998</v>
      </c>
      <c r="I26" s="350">
        <v>1.7609999999999999</v>
      </c>
      <c r="J26" s="72"/>
      <c r="K26" s="79" t="s">
        <v>119</v>
      </c>
      <c r="L26" s="72"/>
      <c r="M26" s="7" t="s">
        <v>120</v>
      </c>
      <c r="N26" s="7"/>
      <c r="O26" s="72" t="s">
        <v>108</v>
      </c>
      <c r="P26" s="2">
        <v>10</v>
      </c>
      <c r="Q26" s="5">
        <f t="shared" ref="Q26:W31" si="11">+$P26/100*C26</f>
        <v>0.28889999999999999</v>
      </c>
      <c r="R26" s="5">
        <f t="shared" si="11"/>
        <v>0.124</v>
      </c>
      <c r="S26" s="5">
        <f t="shared" si="11"/>
        <v>0.12140000000000001</v>
      </c>
      <c r="T26" s="5">
        <f t="shared" si="11"/>
        <v>0.17860000000000001</v>
      </c>
      <c r="U26" s="5">
        <f t="shared" si="11"/>
        <v>0.17980000000000002</v>
      </c>
      <c r="V26" s="5">
        <f t="shared" si="11"/>
        <v>0.21989999999999998</v>
      </c>
      <c r="W26" s="5">
        <f t="shared" si="11"/>
        <v>0.17610000000000001</v>
      </c>
    </row>
    <row r="27" spans="1:23" s="1" customFormat="1" ht="14.4">
      <c r="A27" s="72" t="s">
        <v>117</v>
      </c>
      <c r="B27" s="72" t="s">
        <v>118</v>
      </c>
      <c r="C27" s="77">
        <v>0.20599999999999999</v>
      </c>
      <c r="D27" s="77">
        <v>8.8999999999999996E-2</v>
      </c>
      <c r="E27" s="77">
        <v>8.6999999999999994E-2</v>
      </c>
      <c r="F27" s="77">
        <v>0.128</v>
      </c>
      <c r="G27" s="77">
        <v>0.128</v>
      </c>
      <c r="H27" s="77">
        <v>0.157</v>
      </c>
      <c r="I27" s="77">
        <v>0.126</v>
      </c>
      <c r="J27" s="72"/>
      <c r="K27" s="79" t="s">
        <v>119</v>
      </c>
      <c r="L27" s="72"/>
      <c r="M27" s="72" t="s">
        <v>107</v>
      </c>
      <c r="N27" s="72"/>
      <c r="O27" s="72" t="s">
        <v>108</v>
      </c>
      <c r="P27" s="2">
        <v>10</v>
      </c>
      <c r="Q27" s="5">
        <f t="shared" si="11"/>
        <v>2.06E-2</v>
      </c>
      <c r="R27" s="5">
        <f t="shared" si="11"/>
        <v>8.8999999999999999E-3</v>
      </c>
      <c r="S27" s="5">
        <f t="shared" si="11"/>
        <v>8.6999999999999994E-3</v>
      </c>
      <c r="T27" s="5">
        <f t="shared" si="11"/>
        <v>1.2800000000000001E-2</v>
      </c>
      <c r="U27" s="5">
        <f t="shared" si="11"/>
        <v>1.2800000000000001E-2</v>
      </c>
      <c r="V27" s="5">
        <f t="shared" si="11"/>
        <v>1.5700000000000002E-2</v>
      </c>
      <c r="W27" s="5">
        <f t="shared" si="11"/>
        <v>1.26E-2</v>
      </c>
    </row>
    <row r="28" spans="1:23" s="1" customFormat="1" ht="14.4">
      <c r="A28" s="72" t="s">
        <v>117</v>
      </c>
      <c r="B28" s="72" t="s">
        <v>118</v>
      </c>
      <c r="C28" s="77">
        <v>7.2229999999999999</v>
      </c>
      <c r="D28" s="77">
        <v>3.101</v>
      </c>
      <c r="E28" s="77">
        <v>3.0350000000000001</v>
      </c>
      <c r="F28" s="77">
        <v>4.4649999999999999</v>
      </c>
      <c r="G28" s="77">
        <v>4.4960000000000004</v>
      </c>
      <c r="H28" s="77">
        <v>5.4969999999999999</v>
      </c>
      <c r="I28" s="77">
        <v>4.4039999999999999</v>
      </c>
      <c r="J28" s="72"/>
      <c r="K28" s="79" t="s">
        <v>119</v>
      </c>
      <c r="L28" s="72"/>
      <c r="M28" s="7" t="s">
        <v>121</v>
      </c>
      <c r="N28" s="7"/>
      <c r="O28" s="72" t="s">
        <v>108</v>
      </c>
      <c r="P28" s="2">
        <v>10</v>
      </c>
      <c r="Q28" s="5">
        <f t="shared" si="11"/>
        <v>0.72230000000000005</v>
      </c>
      <c r="R28" s="5">
        <f t="shared" si="11"/>
        <v>0.31010000000000004</v>
      </c>
      <c r="S28" s="5">
        <f t="shared" si="11"/>
        <v>0.30350000000000005</v>
      </c>
      <c r="T28" s="5">
        <f t="shared" si="11"/>
        <v>0.44650000000000001</v>
      </c>
      <c r="U28" s="5">
        <f t="shared" si="11"/>
        <v>0.44960000000000006</v>
      </c>
      <c r="V28" s="5">
        <f t="shared" si="11"/>
        <v>0.54969999999999997</v>
      </c>
      <c r="W28" s="5">
        <f t="shared" si="11"/>
        <v>0.44040000000000001</v>
      </c>
    </row>
    <row r="29" spans="1:23" s="1" customFormat="1" ht="14.4">
      <c r="A29" s="72" t="s">
        <v>122</v>
      </c>
      <c r="B29" s="72" t="s">
        <v>123</v>
      </c>
      <c r="C29" s="77">
        <v>7.7000000000000011</v>
      </c>
      <c r="D29" s="77">
        <v>8.1760000000000002</v>
      </c>
      <c r="E29" s="77">
        <v>4.3680000000000003</v>
      </c>
      <c r="F29" s="77">
        <v>1.7920000000000003</v>
      </c>
      <c r="G29" s="77">
        <v>0.36400000000000005</v>
      </c>
      <c r="H29" s="77">
        <v>0.14000000000000001</v>
      </c>
      <c r="I29" s="77">
        <v>0.11200000000000002</v>
      </c>
      <c r="J29" s="72"/>
      <c r="K29" s="79">
        <v>3.5</v>
      </c>
      <c r="L29" s="72"/>
      <c r="M29" s="7" t="s">
        <v>120</v>
      </c>
      <c r="N29" s="7"/>
      <c r="O29" s="72" t="s">
        <v>108</v>
      </c>
      <c r="P29" s="2">
        <v>100</v>
      </c>
      <c r="Q29" s="5">
        <f t="shared" si="11"/>
        <v>7.7000000000000011</v>
      </c>
      <c r="R29" s="5">
        <f t="shared" si="11"/>
        <v>8.1760000000000002</v>
      </c>
      <c r="S29" s="5">
        <f t="shared" si="11"/>
        <v>4.3680000000000003</v>
      </c>
      <c r="T29" s="5">
        <f t="shared" si="11"/>
        <v>1.7920000000000003</v>
      </c>
      <c r="U29" s="5">
        <f t="shared" si="11"/>
        <v>0.36400000000000005</v>
      </c>
      <c r="V29" s="5">
        <f t="shared" si="11"/>
        <v>0.14000000000000001</v>
      </c>
      <c r="W29" s="5">
        <f t="shared" si="11"/>
        <v>0.11200000000000002</v>
      </c>
    </row>
    <row r="30" spans="1:23" s="1" customFormat="1" ht="14.4">
      <c r="A30" s="72" t="s">
        <v>122</v>
      </c>
      <c r="B30" s="72" t="s">
        <v>124</v>
      </c>
      <c r="C30" s="77">
        <v>0.55000000000000004</v>
      </c>
      <c r="D30" s="77">
        <v>0.58399999999999996</v>
      </c>
      <c r="E30" s="77">
        <v>0.312</v>
      </c>
      <c r="F30" s="77">
        <v>0.128</v>
      </c>
      <c r="G30" s="77">
        <v>2.6000000000000002E-2</v>
      </c>
      <c r="H30" s="77">
        <v>0.01</v>
      </c>
      <c r="I30" s="77">
        <v>8.0000000000000002E-3</v>
      </c>
      <c r="J30" s="72"/>
      <c r="K30" s="79">
        <v>3.5</v>
      </c>
      <c r="L30" s="72"/>
      <c r="M30" s="7" t="s">
        <v>107</v>
      </c>
      <c r="N30" s="7"/>
      <c r="O30" s="72" t="s">
        <v>108</v>
      </c>
      <c r="P30" s="2">
        <v>100</v>
      </c>
      <c r="Q30" s="5">
        <f t="shared" si="11"/>
        <v>0.55000000000000004</v>
      </c>
      <c r="R30" s="5">
        <f t="shared" si="11"/>
        <v>0.58399999999999996</v>
      </c>
      <c r="S30" s="5">
        <f t="shared" si="11"/>
        <v>0.312</v>
      </c>
      <c r="T30" s="5">
        <f t="shared" si="11"/>
        <v>0.128</v>
      </c>
      <c r="U30" s="5">
        <f t="shared" si="11"/>
        <v>2.6000000000000002E-2</v>
      </c>
      <c r="V30" s="5">
        <f t="shared" si="11"/>
        <v>0.01</v>
      </c>
      <c r="W30" s="5">
        <f t="shared" si="11"/>
        <v>8.0000000000000002E-3</v>
      </c>
    </row>
    <row r="31" spans="1:23" s="1" customFormat="1" ht="14.4">
      <c r="A31" s="72" t="s">
        <v>122</v>
      </c>
      <c r="B31" s="72" t="s">
        <v>1056</v>
      </c>
      <c r="C31" s="77">
        <v>19.25</v>
      </c>
      <c r="D31" s="77">
        <v>20.439999999999998</v>
      </c>
      <c r="E31" s="77">
        <v>10.92</v>
      </c>
      <c r="F31" s="77">
        <v>4.4799999999999995</v>
      </c>
      <c r="G31" s="77">
        <v>0.90999999999999992</v>
      </c>
      <c r="H31" s="77">
        <v>0.35</v>
      </c>
      <c r="I31" s="77">
        <v>0.27999999999999997</v>
      </c>
      <c r="J31" s="72"/>
      <c r="K31" s="79">
        <v>3.5</v>
      </c>
      <c r="L31" s="72"/>
      <c r="M31" s="7" t="s">
        <v>121</v>
      </c>
      <c r="N31" s="7"/>
      <c r="O31" s="72" t="s">
        <v>108</v>
      </c>
      <c r="P31" s="2">
        <v>100</v>
      </c>
      <c r="Q31" s="5">
        <f t="shared" si="11"/>
        <v>19.25</v>
      </c>
      <c r="R31" s="5">
        <f t="shared" si="11"/>
        <v>20.439999999999998</v>
      </c>
      <c r="S31" s="5">
        <f t="shared" si="11"/>
        <v>10.92</v>
      </c>
      <c r="T31" s="5">
        <f t="shared" si="11"/>
        <v>4.4799999999999995</v>
      </c>
      <c r="U31" s="5">
        <f t="shared" si="11"/>
        <v>0.90999999999999992</v>
      </c>
      <c r="V31" s="5">
        <f t="shared" si="11"/>
        <v>0.35</v>
      </c>
      <c r="W31" s="5">
        <f t="shared" si="11"/>
        <v>0.27999999999999997</v>
      </c>
    </row>
    <row r="32" spans="1:23" s="3" customFormat="1" ht="14.25" customHeight="1">
      <c r="B32" s="3" t="s">
        <v>125</v>
      </c>
      <c r="C32" s="6">
        <f>SUM(C26:C31)</f>
        <v>37.817999999999998</v>
      </c>
      <c r="D32" s="6">
        <f t="shared" ref="D32:I32" si="12">SUM(D26:D31)</f>
        <v>33.629999999999995</v>
      </c>
      <c r="E32" s="6">
        <f t="shared" si="12"/>
        <v>19.936</v>
      </c>
      <c r="F32" s="6">
        <f t="shared" si="12"/>
        <v>12.779</v>
      </c>
      <c r="G32" s="6">
        <f t="shared" si="12"/>
        <v>7.7220000000000004</v>
      </c>
      <c r="H32" s="6">
        <f t="shared" si="12"/>
        <v>8.3529999999999998</v>
      </c>
      <c r="I32" s="6">
        <f t="shared" si="12"/>
        <v>6.6910000000000007</v>
      </c>
      <c r="L32" s="1"/>
      <c r="P32" s="2"/>
      <c r="Q32" s="6">
        <f t="shared" ref="Q32:W32" si="13">SUM(Q26:Q31)</f>
        <v>28.531800000000004</v>
      </c>
      <c r="R32" s="6">
        <f t="shared" si="13"/>
        <v>29.642999999999997</v>
      </c>
      <c r="S32" s="6">
        <f t="shared" si="13"/>
        <v>16.0336</v>
      </c>
      <c r="T32" s="6">
        <f t="shared" si="13"/>
        <v>7.0379000000000005</v>
      </c>
      <c r="U32" s="6">
        <f t="shared" si="13"/>
        <v>1.9422000000000001</v>
      </c>
      <c r="V32" s="6">
        <f t="shared" si="13"/>
        <v>1.2852999999999999</v>
      </c>
      <c r="W32" s="6">
        <f t="shared" si="13"/>
        <v>1.0290999999999999</v>
      </c>
    </row>
    <row r="33" spans="1:23" s="1" customFormat="1">
      <c r="C33" s="260"/>
      <c r="D33" s="260"/>
      <c r="E33" s="260"/>
      <c r="F33" s="260"/>
      <c r="G33" s="260"/>
      <c r="H33" s="260"/>
      <c r="I33" s="260"/>
      <c r="J33" s="46"/>
      <c r="N33" s="46"/>
      <c r="P33" s="53"/>
      <c r="Q33" s="52"/>
      <c r="R33" s="52"/>
      <c r="S33" s="52"/>
      <c r="T33" s="52"/>
      <c r="U33" s="52"/>
      <c r="V33" s="52"/>
      <c r="W33" s="52"/>
    </row>
    <row r="34" spans="1:23" s="1" customFormat="1" ht="14.4">
      <c r="A34" s="11"/>
      <c r="B34" s="11" t="s">
        <v>126</v>
      </c>
      <c r="C34" s="48"/>
      <c r="D34" s="48"/>
      <c r="E34" s="48"/>
      <c r="F34" s="48"/>
      <c r="G34" s="48"/>
      <c r="H34" s="48"/>
      <c r="I34" s="48"/>
      <c r="J34" s="48"/>
      <c r="K34" s="11"/>
      <c r="L34" s="11"/>
      <c r="M34" s="11"/>
      <c r="N34" s="11"/>
      <c r="O34" s="11"/>
      <c r="P34" s="12" t="s">
        <v>126</v>
      </c>
      <c r="Q34" s="131"/>
      <c r="R34" s="131"/>
      <c r="S34" s="131"/>
      <c r="T34" s="131"/>
      <c r="U34" s="131"/>
      <c r="V34" s="131"/>
      <c r="W34" s="131"/>
    </row>
    <row r="35" spans="1:23" s="201" customFormat="1">
      <c r="A35" s="308">
        <v>7</v>
      </c>
      <c r="B35" s="314" t="s">
        <v>127</v>
      </c>
      <c r="C35" s="315">
        <v>3762.7443833204402</v>
      </c>
      <c r="D35" s="315">
        <v>3754.5100845937818</v>
      </c>
      <c r="E35" s="315">
        <v>3736.5745691791635</v>
      </c>
      <c r="F35" s="315">
        <v>3682.4661594920331</v>
      </c>
      <c r="G35" s="315">
        <v>3645.301114392224</v>
      </c>
      <c r="H35" s="315">
        <v>3612.8071929690627</v>
      </c>
      <c r="I35" s="315">
        <v>3613.5485594141023</v>
      </c>
      <c r="J35" s="309">
        <v>54</v>
      </c>
      <c r="K35" s="310" t="s">
        <v>128</v>
      </c>
      <c r="L35" s="311" t="s">
        <v>129</v>
      </c>
      <c r="M35" s="310" t="s">
        <v>107</v>
      </c>
      <c r="N35" s="310"/>
      <c r="O35" s="311" t="s">
        <v>130</v>
      </c>
      <c r="P35" s="313">
        <v>0</v>
      </c>
      <c r="Q35" s="312">
        <f>$P$35/100*C35</f>
        <v>0</v>
      </c>
      <c r="R35" s="312">
        <f t="shared" ref="R35:W35" si="14">$P$35/100*D35</f>
        <v>0</v>
      </c>
      <c r="S35" s="312">
        <f t="shared" si="14"/>
        <v>0</v>
      </c>
      <c r="T35" s="312">
        <f t="shared" si="14"/>
        <v>0</v>
      </c>
      <c r="U35" s="312">
        <f t="shared" si="14"/>
        <v>0</v>
      </c>
      <c r="V35" s="312">
        <f t="shared" si="14"/>
        <v>0</v>
      </c>
      <c r="W35" s="312">
        <f t="shared" si="14"/>
        <v>0</v>
      </c>
    </row>
    <row r="36" spans="1:23" s="1" customFormat="1">
      <c r="A36" s="308">
        <v>7</v>
      </c>
      <c r="B36" s="314" t="s">
        <v>131</v>
      </c>
      <c r="C36" s="315">
        <v>257.53315499999997</v>
      </c>
      <c r="D36" s="315">
        <v>267.67897999999997</v>
      </c>
      <c r="E36" s="315">
        <v>267.81074000000001</v>
      </c>
      <c r="F36" s="315">
        <v>268.14623999999998</v>
      </c>
      <c r="G36" s="315">
        <v>268.452155</v>
      </c>
      <c r="H36" s="315">
        <v>269.01</v>
      </c>
      <c r="I36" s="315">
        <v>269.52422999999999</v>
      </c>
      <c r="J36" s="309">
        <v>30</v>
      </c>
      <c r="K36" s="310" t="s">
        <v>132</v>
      </c>
      <c r="L36" s="311" t="s">
        <v>133</v>
      </c>
      <c r="M36" s="310" t="s">
        <v>134</v>
      </c>
      <c r="N36" s="310"/>
      <c r="O36" s="311" t="s">
        <v>130</v>
      </c>
      <c r="P36" s="313">
        <v>0</v>
      </c>
      <c r="Q36" s="312">
        <f>$P$36/100*C36</f>
        <v>0</v>
      </c>
      <c r="R36" s="312">
        <f t="shared" ref="R36:W36" si="15">$P$36/100*D36</f>
        <v>0</v>
      </c>
      <c r="S36" s="312">
        <f t="shared" si="15"/>
        <v>0</v>
      </c>
      <c r="T36" s="312">
        <f t="shared" si="15"/>
        <v>0</v>
      </c>
      <c r="U36" s="312">
        <f t="shared" si="15"/>
        <v>0</v>
      </c>
      <c r="V36" s="312">
        <f t="shared" si="15"/>
        <v>0</v>
      </c>
      <c r="W36" s="312">
        <f t="shared" si="15"/>
        <v>0</v>
      </c>
    </row>
    <row r="37" spans="1:23" s="1" customFormat="1">
      <c r="A37" s="308">
        <v>6</v>
      </c>
      <c r="B37" s="314" t="s">
        <v>135</v>
      </c>
      <c r="C37" s="315">
        <v>159.53200000000001</v>
      </c>
      <c r="D37" s="315">
        <v>165.93899999999999</v>
      </c>
      <c r="E37" s="315">
        <v>165.68</v>
      </c>
      <c r="F37" s="315">
        <v>165.602</v>
      </c>
      <c r="G37" s="315">
        <v>165.5</v>
      </c>
      <c r="H37" s="315">
        <v>165.517</v>
      </c>
      <c r="I37" s="315">
        <v>165.28</v>
      </c>
      <c r="J37" s="311">
        <v>100</v>
      </c>
      <c r="K37" s="310" t="s">
        <v>128</v>
      </c>
      <c r="L37" s="311" t="s">
        <v>129</v>
      </c>
      <c r="M37" s="310" t="s">
        <v>136</v>
      </c>
      <c r="N37" s="310"/>
      <c r="O37" s="311" t="s">
        <v>130</v>
      </c>
      <c r="P37" s="313">
        <v>0</v>
      </c>
      <c r="Q37" s="312">
        <f>$P$37/100*C37</f>
        <v>0</v>
      </c>
      <c r="R37" s="312">
        <f t="shared" ref="R37:W37" si="16">$P$37/100*D37</f>
        <v>0</v>
      </c>
      <c r="S37" s="312">
        <f t="shared" si="16"/>
        <v>0</v>
      </c>
      <c r="T37" s="312">
        <f t="shared" si="16"/>
        <v>0</v>
      </c>
      <c r="U37" s="312">
        <f t="shared" si="16"/>
        <v>0</v>
      </c>
      <c r="V37" s="312">
        <f t="shared" si="16"/>
        <v>0</v>
      </c>
      <c r="W37" s="312">
        <f t="shared" si="16"/>
        <v>0</v>
      </c>
    </row>
    <row r="38" spans="1:23" s="1" customFormat="1">
      <c r="A38" s="308">
        <v>16</v>
      </c>
      <c r="B38" s="314" t="s">
        <v>137</v>
      </c>
      <c r="C38" s="315">
        <v>85.067999999999998</v>
      </c>
      <c r="D38" s="315">
        <v>88.766000000000005</v>
      </c>
      <c r="E38" s="315">
        <v>79.415599999999998</v>
      </c>
      <c r="F38" s="315">
        <v>79.415999999999997</v>
      </c>
      <c r="G38" s="315">
        <v>79.415999999999997</v>
      </c>
      <c r="H38" s="315">
        <v>79.683000000000007</v>
      </c>
      <c r="I38" s="315">
        <v>79.683000000000007</v>
      </c>
      <c r="J38" s="311">
        <v>100</v>
      </c>
      <c r="K38" s="310" t="s">
        <v>128</v>
      </c>
      <c r="L38" s="311" t="s">
        <v>129</v>
      </c>
      <c r="M38" s="310" t="s">
        <v>136</v>
      </c>
      <c r="N38" s="310"/>
      <c r="O38" s="311" t="s">
        <v>108</v>
      </c>
      <c r="P38" s="274">
        <v>31</v>
      </c>
      <c r="Q38" s="312">
        <f>$P$38/100*C38</f>
        <v>26.371079999999999</v>
      </c>
      <c r="R38" s="312">
        <f t="shared" ref="R38:W38" si="17">$P$38/100*D38</f>
        <v>27.51746</v>
      </c>
      <c r="S38" s="312">
        <f t="shared" si="17"/>
        <v>24.618835999999998</v>
      </c>
      <c r="T38" s="312">
        <f t="shared" si="17"/>
        <v>24.618959999999998</v>
      </c>
      <c r="U38" s="312">
        <f t="shared" si="17"/>
        <v>24.618959999999998</v>
      </c>
      <c r="V38" s="312">
        <f t="shared" si="17"/>
        <v>24.701730000000001</v>
      </c>
      <c r="W38" s="312">
        <f t="shared" si="17"/>
        <v>24.701730000000001</v>
      </c>
    </row>
    <row r="39" spans="1:23" s="1" customFormat="1">
      <c r="A39" s="308">
        <v>6</v>
      </c>
      <c r="B39" s="314" t="s">
        <v>138</v>
      </c>
      <c r="C39" s="315">
        <v>38.985999999999997</v>
      </c>
      <c r="D39" s="315">
        <v>40.573999999999998</v>
      </c>
      <c r="E39" s="315">
        <v>40.573999999999998</v>
      </c>
      <c r="F39" s="315">
        <v>40.573999999999998</v>
      </c>
      <c r="G39" s="315">
        <v>40.573999999999998</v>
      </c>
      <c r="H39" s="315">
        <v>40.573999999999998</v>
      </c>
      <c r="I39" s="315">
        <v>40.573999999999998</v>
      </c>
      <c r="J39" s="311">
        <v>100</v>
      </c>
      <c r="K39" s="310" t="s">
        <v>128</v>
      </c>
      <c r="L39" s="311" t="s">
        <v>129</v>
      </c>
      <c r="M39" s="310" t="s">
        <v>136</v>
      </c>
      <c r="N39" s="310"/>
      <c r="O39" s="311" t="s">
        <v>108</v>
      </c>
      <c r="P39" s="274"/>
      <c r="Q39" s="312"/>
      <c r="R39" s="312"/>
      <c r="S39" s="312"/>
      <c r="T39" s="312"/>
      <c r="U39" s="312"/>
      <c r="V39" s="312"/>
      <c r="W39" s="312"/>
    </row>
    <row r="40" spans="1:23" s="217" customFormat="1">
      <c r="A40" s="308">
        <v>6</v>
      </c>
      <c r="B40" s="314" t="s">
        <v>139</v>
      </c>
      <c r="C40" s="321">
        <v>3.431</v>
      </c>
      <c r="D40" s="321">
        <v>9.1859999999999999</v>
      </c>
      <c r="E40" s="321">
        <v>2.3959999999999999</v>
      </c>
      <c r="F40" s="321">
        <v>0.60299999999999998</v>
      </c>
      <c r="G40" s="321">
        <v>0.29299999999999998</v>
      </c>
      <c r="H40" s="321">
        <v>6.3E-2</v>
      </c>
      <c r="I40" s="321">
        <v>0</v>
      </c>
      <c r="J40" s="311">
        <v>10</v>
      </c>
      <c r="K40" s="310">
        <v>9</v>
      </c>
      <c r="L40" s="311" t="s">
        <v>140</v>
      </c>
      <c r="M40" s="310" t="s">
        <v>136</v>
      </c>
      <c r="N40" s="310"/>
      <c r="O40" s="311" t="s">
        <v>108</v>
      </c>
      <c r="P40" s="313">
        <v>100</v>
      </c>
      <c r="Q40" s="312">
        <f t="shared" ref="Q40:W41" si="18">$P$40/100*C41</f>
        <v>4.5469999999999997</v>
      </c>
      <c r="R40" s="312">
        <f t="shared" si="18"/>
        <v>6.6890000000000001</v>
      </c>
      <c r="S40" s="312">
        <f t="shared" si="18"/>
        <v>5.2919999999999998</v>
      </c>
      <c r="T40" s="312">
        <f t="shared" si="18"/>
        <v>10.31</v>
      </c>
      <c r="U40" s="312">
        <f t="shared" si="18"/>
        <v>9.3450000000000006</v>
      </c>
      <c r="V40" s="312">
        <f t="shared" si="18"/>
        <v>0</v>
      </c>
      <c r="W40" s="312">
        <f t="shared" si="18"/>
        <v>0</v>
      </c>
    </row>
    <row r="41" spans="1:23" s="217" customFormat="1">
      <c r="A41" s="308">
        <v>6</v>
      </c>
      <c r="B41" s="314" t="s">
        <v>141</v>
      </c>
      <c r="C41" s="315">
        <v>4.5469999999999997</v>
      </c>
      <c r="D41" s="315">
        <v>6.6890000000000001</v>
      </c>
      <c r="E41" s="315">
        <v>5.2919999999999998</v>
      </c>
      <c r="F41" s="315">
        <v>10.31</v>
      </c>
      <c r="G41" s="315">
        <v>9.3450000000000006</v>
      </c>
      <c r="H41" s="315">
        <v>0</v>
      </c>
      <c r="I41" s="315">
        <v>0</v>
      </c>
      <c r="J41" s="311">
        <v>10</v>
      </c>
      <c r="K41" s="310">
        <v>9</v>
      </c>
      <c r="L41" s="311" t="s">
        <v>140</v>
      </c>
      <c r="M41" s="310" t="s">
        <v>136</v>
      </c>
      <c r="N41" s="310"/>
      <c r="O41" s="311" t="s">
        <v>108</v>
      </c>
      <c r="P41" s="313">
        <v>100</v>
      </c>
      <c r="Q41" s="312">
        <f t="shared" si="18"/>
        <v>2.3E-2</v>
      </c>
      <c r="R41" s="312">
        <f t="shared" ref="R41" si="19">$P$40/100*D42</f>
        <v>0.45500000000000002</v>
      </c>
      <c r="S41" s="312">
        <f t="shared" ref="S41" si="20">$P$40/100*E42</f>
        <v>2.99</v>
      </c>
      <c r="T41" s="312">
        <f t="shared" ref="T41" si="21">$P$40/100*F42</f>
        <v>3.069</v>
      </c>
      <c r="U41" s="312">
        <f t="shared" ref="U41" si="22">$P$40/100*G42</f>
        <v>0</v>
      </c>
      <c r="V41" s="312">
        <f t="shared" ref="V41" si="23">$P$40/100*H42</f>
        <v>0</v>
      </c>
      <c r="W41" s="312">
        <f t="shared" ref="W41" si="24">$P$40/100*I42</f>
        <v>0</v>
      </c>
    </row>
    <row r="42" spans="1:23" s="217" customFormat="1">
      <c r="A42" s="308">
        <v>6</v>
      </c>
      <c r="B42" s="314" t="s">
        <v>142</v>
      </c>
      <c r="C42" s="321">
        <v>2.3E-2</v>
      </c>
      <c r="D42" s="315">
        <v>0.45500000000000002</v>
      </c>
      <c r="E42" s="315">
        <v>2.99</v>
      </c>
      <c r="F42" s="315">
        <v>3.069</v>
      </c>
      <c r="G42" s="315">
        <v>0</v>
      </c>
      <c r="H42" s="315">
        <v>0</v>
      </c>
      <c r="I42" s="315">
        <v>0</v>
      </c>
      <c r="J42" s="311">
        <v>10</v>
      </c>
      <c r="K42" s="310">
        <v>9</v>
      </c>
      <c r="L42" s="311" t="s">
        <v>140</v>
      </c>
      <c r="M42" s="310" t="s">
        <v>143</v>
      </c>
      <c r="N42" s="310"/>
      <c r="O42" s="311" t="s">
        <v>108</v>
      </c>
      <c r="P42" s="313">
        <v>100</v>
      </c>
      <c r="Q42" s="312">
        <f t="shared" ref="Q42:W42" si="25">$P$42/100*D42</f>
        <v>0.45500000000000002</v>
      </c>
      <c r="R42" s="312">
        <f t="shared" si="25"/>
        <v>2.99</v>
      </c>
      <c r="S42" s="312">
        <f t="shared" si="25"/>
        <v>3.069</v>
      </c>
      <c r="T42" s="312">
        <f t="shared" si="25"/>
        <v>0</v>
      </c>
      <c r="U42" s="312">
        <f t="shared" si="25"/>
        <v>0</v>
      </c>
      <c r="V42" s="312">
        <f t="shared" si="25"/>
        <v>0</v>
      </c>
      <c r="W42" s="312">
        <f t="shared" si="25"/>
        <v>10</v>
      </c>
    </row>
    <row r="43" spans="1:23" s="217" customFormat="1">
      <c r="A43" s="308">
        <v>6</v>
      </c>
      <c r="B43" s="314" t="s">
        <v>144</v>
      </c>
      <c r="C43" s="315">
        <v>10.154999999999999</v>
      </c>
      <c r="D43" s="315">
        <v>10.494</v>
      </c>
      <c r="E43" s="315">
        <v>10.496</v>
      </c>
      <c r="F43" s="315">
        <v>10.496</v>
      </c>
      <c r="G43" s="315">
        <v>10.496</v>
      </c>
      <c r="H43" s="315">
        <v>10.496</v>
      </c>
      <c r="I43" s="315">
        <v>10.496</v>
      </c>
      <c r="J43" s="311">
        <v>15</v>
      </c>
      <c r="K43" s="310">
        <v>11</v>
      </c>
      <c r="L43" s="311" t="s">
        <v>91</v>
      </c>
      <c r="M43" s="310" t="s">
        <v>97</v>
      </c>
      <c r="N43" s="310"/>
      <c r="O43" s="311" t="s">
        <v>130</v>
      </c>
      <c r="P43" s="313">
        <v>0</v>
      </c>
      <c r="Q43" s="312">
        <f>$P$43/100*C43</f>
        <v>0</v>
      </c>
      <c r="R43" s="312">
        <f t="shared" ref="R43:W43" si="26">$P$43/100*D43</f>
        <v>0</v>
      </c>
      <c r="S43" s="312">
        <f t="shared" si="26"/>
        <v>0</v>
      </c>
      <c r="T43" s="312">
        <f t="shared" si="26"/>
        <v>0</v>
      </c>
      <c r="U43" s="312">
        <f t="shared" si="26"/>
        <v>0</v>
      </c>
      <c r="V43" s="312">
        <f t="shared" si="26"/>
        <v>0</v>
      </c>
      <c r="W43" s="312">
        <f t="shared" si="26"/>
        <v>0</v>
      </c>
    </row>
    <row r="44" spans="1:23" s="217" customFormat="1">
      <c r="A44" s="314">
        <v>7</v>
      </c>
      <c r="B44" s="314" t="s">
        <v>145</v>
      </c>
      <c r="C44" s="316">
        <v>1.1890000000000001</v>
      </c>
      <c r="D44" s="316">
        <v>1.1890000000000001</v>
      </c>
      <c r="E44" s="316">
        <v>1.1890000000000001</v>
      </c>
      <c r="F44" s="316">
        <v>1.1890000000000001</v>
      </c>
      <c r="G44" s="316">
        <v>1.1890000000000001</v>
      </c>
      <c r="H44" s="316">
        <v>1.1890000000000001</v>
      </c>
      <c r="I44" s="316">
        <v>1.1890000000000001</v>
      </c>
      <c r="J44" s="311">
        <v>75</v>
      </c>
      <c r="K44" s="310" t="s">
        <v>146</v>
      </c>
      <c r="L44" s="311" t="s">
        <v>147</v>
      </c>
      <c r="M44" s="310" t="s">
        <v>97</v>
      </c>
      <c r="N44" s="310"/>
      <c r="O44" s="311" t="s">
        <v>130</v>
      </c>
      <c r="P44" s="313">
        <v>0</v>
      </c>
      <c r="Q44" s="312">
        <f>$P$44/100*C44</f>
        <v>0</v>
      </c>
      <c r="R44" s="312">
        <f t="shared" ref="R44:W44" si="27">$P$44/100*D44</f>
        <v>0</v>
      </c>
      <c r="S44" s="312">
        <f t="shared" si="27"/>
        <v>0</v>
      </c>
      <c r="T44" s="312">
        <f t="shared" si="27"/>
        <v>0</v>
      </c>
      <c r="U44" s="312">
        <f t="shared" si="27"/>
        <v>0</v>
      </c>
      <c r="V44" s="312">
        <f t="shared" si="27"/>
        <v>0</v>
      </c>
      <c r="W44" s="312">
        <f t="shared" si="27"/>
        <v>0</v>
      </c>
    </row>
    <row r="45" spans="1:23" s="217" customFormat="1">
      <c r="A45" s="314" t="s">
        <v>148</v>
      </c>
      <c r="B45" s="314" t="s">
        <v>149</v>
      </c>
      <c r="C45" s="316">
        <v>7.2649999999999997</v>
      </c>
      <c r="D45" s="316">
        <v>8.1319999999999997</v>
      </c>
      <c r="E45" s="316">
        <v>8.2750000000000004</v>
      </c>
      <c r="F45" s="316">
        <v>7.1120000000000001</v>
      </c>
      <c r="G45" s="316">
        <v>6.3449999999999998</v>
      </c>
      <c r="H45" s="316">
        <v>6.1719999999999997</v>
      </c>
      <c r="I45" s="316">
        <v>6.2770000000000001</v>
      </c>
      <c r="J45" s="311" t="s">
        <v>148</v>
      </c>
      <c r="K45" s="310">
        <v>9</v>
      </c>
      <c r="L45" s="311" t="s">
        <v>140</v>
      </c>
      <c r="M45" s="310" t="s">
        <v>150</v>
      </c>
      <c r="N45" s="310"/>
      <c r="O45" s="311" t="s">
        <v>108</v>
      </c>
      <c r="P45" s="313">
        <v>50</v>
      </c>
      <c r="Q45" s="312">
        <f>$P$45/100*C45</f>
        <v>3.6324999999999998</v>
      </c>
      <c r="R45" s="312">
        <f t="shared" ref="R45:W45" si="28">$P$45/100*D45</f>
        <v>4.0659999999999998</v>
      </c>
      <c r="S45" s="312">
        <f t="shared" si="28"/>
        <v>4.1375000000000002</v>
      </c>
      <c r="T45" s="312">
        <f t="shared" si="28"/>
        <v>3.556</v>
      </c>
      <c r="U45" s="312">
        <f t="shared" si="28"/>
        <v>3.1724999999999999</v>
      </c>
      <c r="V45" s="312">
        <f t="shared" si="28"/>
        <v>3.0859999999999999</v>
      </c>
      <c r="W45" s="312">
        <f t="shared" si="28"/>
        <v>3.1385000000000001</v>
      </c>
    </row>
    <row r="46" spans="1:23" s="217" customFormat="1">
      <c r="A46" s="314">
        <v>16</v>
      </c>
      <c r="B46" s="314" t="s">
        <v>151</v>
      </c>
      <c r="C46" s="316">
        <v>84.219564000000005</v>
      </c>
      <c r="D46" s="316">
        <v>87.343136999999999</v>
      </c>
      <c r="E46" s="316">
        <v>85.673088000000007</v>
      </c>
      <c r="F46" s="316">
        <v>85.460592000000005</v>
      </c>
      <c r="G46" s="316">
        <v>84.755160000000004</v>
      </c>
      <c r="H46" s="316">
        <v>84.772180000000006</v>
      </c>
      <c r="I46" s="316">
        <v>84.903779999999998</v>
      </c>
      <c r="J46" s="311">
        <v>77</v>
      </c>
      <c r="K46" s="310" t="s">
        <v>148</v>
      </c>
      <c r="L46" s="311"/>
      <c r="M46" s="310" t="s">
        <v>151</v>
      </c>
      <c r="N46" s="310"/>
      <c r="O46" s="311" t="s">
        <v>130</v>
      </c>
      <c r="P46" s="313">
        <v>18</v>
      </c>
      <c r="Q46" s="312">
        <f>$P$46/100*C46</f>
        <v>15.15952152</v>
      </c>
      <c r="R46" s="312">
        <f t="shared" ref="R46:W46" si="29">$P$46/100*D46</f>
        <v>15.72176466</v>
      </c>
      <c r="S46" s="312">
        <f t="shared" si="29"/>
        <v>15.421155840000001</v>
      </c>
      <c r="T46" s="312">
        <f t="shared" si="29"/>
        <v>15.38290656</v>
      </c>
      <c r="U46" s="312">
        <f t="shared" si="29"/>
        <v>15.2559288</v>
      </c>
      <c r="V46" s="312">
        <f t="shared" si="29"/>
        <v>15.2589924</v>
      </c>
      <c r="W46" s="312">
        <f t="shared" si="29"/>
        <v>15.282680399999998</v>
      </c>
    </row>
    <row r="47" spans="1:23" s="1" customFormat="1">
      <c r="A47" s="314">
        <v>16</v>
      </c>
      <c r="B47" s="314" t="s">
        <v>152</v>
      </c>
      <c r="C47" s="316">
        <v>588.45006294730308</v>
      </c>
      <c r="D47" s="316">
        <v>622.00955508689685</v>
      </c>
      <c r="E47" s="316">
        <v>600.70598729170149</v>
      </c>
      <c r="F47" s="316">
        <v>592.19821630682543</v>
      </c>
      <c r="G47" s="316">
        <v>587.67348417254675</v>
      </c>
      <c r="H47" s="316">
        <v>580.72706441710477</v>
      </c>
      <c r="I47" s="316">
        <v>553.77623033842235</v>
      </c>
      <c r="J47" s="311">
        <v>92</v>
      </c>
      <c r="K47" s="310" t="s">
        <v>153</v>
      </c>
      <c r="L47" s="317"/>
      <c r="M47" s="311" t="s">
        <v>152</v>
      </c>
      <c r="N47" s="311"/>
      <c r="O47" s="311" t="s">
        <v>130</v>
      </c>
      <c r="P47" s="313">
        <v>59</v>
      </c>
      <c r="Q47" s="312">
        <f>$P$47/100*C47</f>
        <v>347.18553713890878</v>
      </c>
      <c r="R47" s="312">
        <f t="shared" ref="R47:W47" si="30">$P$47/100*D47</f>
        <v>366.98563750126914</v>
      </c>
      <c r="S47" s="312">
        <f t="shared" si="30"/>
        <v>354.41653250210385</v>
      </c>
      <c r="T47" s="312">
        <f t="shared" si="30"/>
        <v>349.39694762102698</v>
      </c>
      <c r="U47" s="312">
        <f t="shared" si="30"/>
        <v>346.72735566180256</v>
      </c>
      <c r="V47" s="312">
        <f t="shared" si="30"/>
        <v>342.62896800609178</v>
      </c>
      <c r="W47" s="312">
        <f t="shared" si="30"/>
        <v>326.72797589966916</v>
      </c>
    </row>
    <row r="48" spans="1:23" s="1" customFormat="1">
      <c r="A48" s="314">
        <v>16</v>
      </c>
      <c r="B48" s="314" t="s">
        <v>154</v>
      </c>
      <c r="C48" s="316">
        <v>151.459</v>
      </c>
      <c r="D48" s="316">
        <v>136.15299999999999</v>
      </c>
      <c r="E48" s="316">
        <v>131.97</v>
      </c>
      <c r="F48" s="316">
        <v>130.846</v>
      </c>
      <c r="G48" s="316">
        <v>131</v>
      </c>
      <c r="H48" s="316">
        <v>130</v>
      </c>
      <c r="I48" s="316">
        <v>130</v>
      </c>
      <c r="J48" s="311">
        <v>100</v>
      </c>
      <c r="K48" s="310" t="s">
        <v>148</v>
      </c>
      <c r="L48" s="317"/>
      <c r="M48" s="311" t="s">
        <v>152</v>
      </c>
      <c r="N48" s="311"/>
      <c r="O48" s="311" t="s">
        <v>108</v>
      </c>
      <c r="P48" s="313"/>
      <c r="Q48" s="312"/>
      <c r="R48" s="312"/>
      <c r="S48" s="312"/>
      <c r="T48" s="312"/>
      <c r="U48" s="312"/>
      <c r="V48" s="312"/>
      <c r="W48" s="312"/>
    </row>
    <row r="49" spans="1:24" s="1" customFormat="1">
      <c r="A49" s="314">
        <v>16</v>
      </c>
      <c r="B49" s="314" t="s">
        <v>155</v>
      </c>
      <c r="C49" s="316">
        <v>179.66499999999999</v>
      </c>
      <c r="D49" s="316">
        <v>137.047</v>
      </c>
      <c r="E49" s="316">
        <v>137.047</v>
      </c>
      <c r="F49" s="316">
        <v>137.047</v>
      </c>
      <c r="G49" s="316">
        <v>137.13300000000001</v>
      </c>
      <c r="H49" s="316">
        <v>137.047</v>
      </c>
      <c r="I49" s="316">
        <v>137.047</v>
      </c>
      <c r="J49" s="311">
        <v>100</v>
      </c>
      <c r="K49" s="310" t="s">
        <v>148</v>
      </c>
      <c r="L49" s="317"/>
      <c r="M49" s="311" t="s">
        <v>152</v>
      </c>
      <c r="N49" s="311"/>
      <c r="O49" s="311" t="s">
        <v>130</v>
      </c>
      <c r="P49" s="313"/>
      <c r="Q49" s="312"/>
      <c r="R49" s="312"/>
      <c r="S49" s="312"/>
      <c r="T49" s="312"/>
      <c r="U49" s="312"/>
      <c r="V49" s="312"/>
      <c r="W49" s="312"/>
    </row>
    <row r="50" spans="1:24" s="201" customFormat="1">
      <c r="A50" s="314">
        <v>16</v>
      </c>
      <c r="B50" s="314" t="s">
        <v>156</v>
      </c>
      <c r="C50" s="316">
        <v>83.221999999999994</v>
      </c>
      <c r="D50" s="316">
        <v>83.718000000000004</v>
      </c>
      <c r="E50" s="316">
        <v>84.429000000000002</v>
      </c>
      <c r="F50" s="316">
        <v>84.210999999999999</v>
      </c>
      <c r="G50" s="316">
        <v>84.090999999999994</v>
      </c>
      <c r="H50" s="316">
        <v>84.090999999999994</v>
      </c>
      <c r="I50" s="316">
        <v>0</v>
      </c>
      <c r="J50" s="311">
        <v>100</v>
      </c>
      <c r="K50" s="310"/>
      <c r="L50" s="317"/>
      <c r="M50" s="311"/>
      <c r="N50" s="311"/>
      <c r="O50" s="311" t="s">
        <v>108</v>
      </c>
      <c r="P50" s="274"/>
      <c r="Q50" s="312"/>
      <c r="R50" s="312"/>
      <c r="S50" s="312"/>
      <c r="T50" s="312"/>
      <c r="U50" s="312"/>
      <c r="V50" s="312"/>
      <c r="W50" s="312"/>
    </row>
    <row r="51" spans="1:24" s="1" customFormat="1">
      <c r="A51" s="314">
        <v>16</v>
      </c>
      <c r="B51" s="314" t="s">
        <v>157</v>
      </c>
      <c r="C51" s="316">
        <v>2.4470000000000001</v>
      </c>
      <c r="D51" s="316">
        <v>5.0010000000000003</v>
      </c>
      <c r="E51" s="316">
        <v>6.4539999999999997</v>
      </c>
      <c r="F51" s="316">
        <v>7.0270000000000001</v>
      </c>
      <c r="G51" s="316">
        <v>6.3090000000000002</v>
      </c>
      <c r="H51" s="316">
        <v>5.5860000000000003</v>
      </c>
      <c r="I51" s="316">
        <v>6.9779999999999998</v>
      </c>
      <c r="J51" s="309">
        <v>61</v>
      </c>
      <c r="K51" s="310">
        <v>2</v>
      </c>
      <c r="L51" s="317" t="s">
        <v>158</v>
      </c>
      <c r="M51" s="311" t="s">
        <v>159</v>
      </c>
      <c r="N51" s="311"/>
      <c r="O51" s="311" t="s">
        <v>108</v>
      </c>
      <c r="P51" s="274"/>
      <c r="Q51" s="312"/>
      <c r="R51" s="312"/>
      <c r="S51" s="312"/>
      <c r="T51" s="312"/>
      <c r="U51" s="312"/>
      <c r="V51" s="312"/>
      <c r="W51" s="312"/>
      <c r="X51" s="4"/>
    </row>
    <row r="52" spans="1:24" s="1" customFormat="1">
      <c r="A52" s="314">
        <v>16</v>
      </c>
      <c r="B52" s="314" t="s">
        <v>160</v>
      </c>
      <c r="C52" s="316">
        <v>6.8129999999999997</v>
      </c>
      <c r="D52" s="316">
        <v>6.9089999999999998</v>
      </c>
      <c r="E52" s="316">
        <v>7.0449999999999999</v>
      </c>
      <c r="F52" s="316">
        <v>6.8140000000000001</v>
      </c>
      <c r="G52" s="316">
        <v>6.7389999999999999</v>
      </c>
      <c r="H52" s="316">
        <v>6.9189999999999996</v>
      </c>
      <c r="I52" s="316">
        <v>6.9790000000000001</v>
      </c>
      <c r="J52" s="309">
        <v>10</v>
      </c>
      <c r="K52" s="310">
        <v>10</v>
      </c>
      <c r="L52" s="317" t="s">
        <v>161</v>
      </c>
      <c r="M52" s="311" t="s">
        <v>92</v>
      </c>
      <c r="N52" s="311"/>
      <c r="O52" s="311" t="s">
        <v>130</v>
      </c>
      <c r="P52" s="318"/>
      <c r="Q52" s="312"/>
      <c r="R52" s="312"/>
      <c r="S52" s="312"/>
      <c r="T52" s="312"/>
      <c r="U52" s="312"/>
      <c r="V52" s="312"/>
      <c r="W52" s="312"/>
      <c r="X52" s="4"/>
    </row>
    <row r="53" spans="1:24" s="1" customFormat="1">
      <c r="A53" s="314">
        <v>16</v>
      </c>
      <c r="B53" s="314" t="s">
        <v>162</v>
      </c>
      <c r="C53" s="316">
        <v>165.88499999999999</v>
      </c>
      <c r="D53" s="316">
        <v>165.88499999999999</v>
      </c>
      <c r="E53" s="316">
        <v>165.88499999999999</v>
      </c>
      <c r="F53" s="316">
        <v>165.88499999999999</v>
      </c>
      <c r="G53" s="316">
        <v>165.88499999999999</v>
      </c>
      <c r="H53" s="316">
        <v>165.88499999999999</v>
      </c>
      <c r="I53" s="316">
        <v>165.88499999999999</v>
      </c>
      <c r="J53" s="309">
        <v>100</v>
      </c>
      <c r="K53" s="310" t="s">
        <v>148</v>
      </c>
      <c r="L53" s="317"/>
      <c r="M53" s="317" t="s">
        <v>152</v>
      </c>
      <c r="N53" s="311"/>
      <c r="O53" s="311" t="s">
        <v>108</v>
      </c>
      <c r="P53" s="318"/>
      <c r="Q53" s="312"/>
      <c r="R53" s="312"/>
      <c r="S53" s="312"/>
      <c r="T53" s="312"/>
      <c r="U53" s="312"/>
      <c r="V53" s="312"/>
      <c r="W53" s="312"/>
      <c r="X53" s="4"/>
    </row>
    <row r="54" spans="1:24" s="1" customFormat="1">
      <c r="A54" s="314">
        <v>16</v>
      </c>
      <c r="B54" s="314" t="s">
        <v>163</v>
      </c>
      <c r="C54" s="316">
        <v>13</v>
      </c>
      <c r="D54" s="316">
        <v>8</v>
      </c>
      <c r="E54" s="316">
        <v>8</v>
      </c>
      <c r="F54" s="316">
        <v>8</v>
      </c>
      <c r="G54" s="316">
        <v>8</v>
      </c>
      <c r="H54" s="316">
        <v>8</v>
      </c>
      <c r="I54" s="316">
        <v>8</v>
      </c>
      <c r="J54" s="309">
        <v>100</v>
      </c>
      <c r="K54" s="310" t="s">
        <v>164</v>
      </c>
      <c r="L54" s="317" t="s">
        <v>165</v>
      </c>
      <c r="M54" s="317" t="s">
        <v>166</v>
      </c>
      <c r="N54" s="311"/>
      <c r="O54" s="311" t="s">
        <v>108</v>
      </c>
      <c r="P54" s="318"/>
      <c r="Q54" s="312"/>
      <c r="R54" s="312"/>
      <c r="S54" s="312"/>
      <c r="T54" s="312"/>
      <c r="U54" s="312"/>
      <c r="V54" s="312"/>
      <c r="W54" s="312"/>
      <c r="X54" s="4"/>
    </row>
    <row r="55" spans="1:24" s="1" customFormat="1">
      <c r="A55" s="314">
        <v>16</v>
      </c>
      <c r="B55" s="314" t="s">
        <v>167</v>
      </c>
      <c r="C55" s="316">
        <v>55.38</v>
      </c>
      <c r="D55" s="316">
        <v>55.38</v>
      </c>
      <c r="E55" s="316">
        <v>55.38</v>
      </c>
      <c r="F55" s="316">
        <v>55.38</v>
      </c>
      <c r="G55" s="316">
        <v>55.38</v>
      </c>
      <c r="H55" s="316">
        <v>55.38</v>
      </c>
      <c r="I55" s="316">
        <v>55.38</v>
      </c>
      <c r="J55" s="309">
        <v>100</v>
      </c>
      <c r="K55" s="310">
        <v>13</v>
      </c>
      <c r="L55" s="317"/>
      <c r="M55" s="317" t="s">
        <v>152</v>
      </c>
      <c r="N55" s="311"/>
      <c r="O55" s="311" t="s">
        <v>108</v>
      </c>
      <c r="P55" s="318"/>
      <c r="Q55" s="312"/>
      <c r="R55" s="312"/>
      <c r="S55" s="312"/>
      <c r="T55" s="312"/>
      <c r="U55" s="312"/>
      <c r="V55" s="312"/>
      <c r="W55" s="312"/>
      <c r="X55" s="4"/>
    </row>
    <row r="56" spans="1:24" s="1" customFormat="1">
      <c r="A56" s="314">
        <v>16</v>
      </c>
      <c r="B56" s="314" t="s">
        <v>168</v>
      </c>
      <c r="C56" s="316">
        <v>40.738999999999997</v>
      </c>
      <c r="D56" s="316">
        <v>39.152000000000001</v>
      </c>
      <c r="E56" s="316">
        <v>31.611000000000001</v>
      </c>
      <c r="F56" s="316">
        <v>24.681000000000001</v>
      </c>
      <c r="G56" s="316">
        <v>21.637</v>
      </c>
      <c r="H56" s="316">
        <v>17.13</v>
      </c>
      <c r="I56" s="316">
        <v>16.646999999999998</v>
      </c>
      <c r="J56" s="311">
        <v>100</v>
      </c>
      <c r="K56" s="310">
        <v>9</v>
      </c>
      <c r="L56" s="317" t="s">
        <v>140</v>
      </c>
      <c r="M56" s="311" t="s">
        <v>169</v>
      </c>
      <c r="N56" s="311"/>
      <c r="O56" s="311" t="s">
        <v>108</v>
      </c>
      <c r="P56" s="319"/>
      <c r="Q56" s="312"/>
      <c r="R56" s="312"/>
      <c r="S56" s="312"/>
      <c r="T56" s="312"/>
      <c r="U56" s="312"/>
      <c r="V56" s="312"/>
      <c r="W56" s="312"/>
    </row>
    <row r="57" spans="1:24" s="201" customFormat="1">
      <c r="A57" s="314">
        <v>16</v>
      </c>
      <c r="B57" s="314" t="s">
        <v>170</v>
      </c>
      <c r="C57" s="316">
        <v>15.611000000000001</v>
      </c>
      <c r="D57" s="316">
        <v>13.798</v>
      </c>
      <c r="E57" s="316">
        <v>13.795999999999999</v>
      </c>
      <c r="F57" s="316">
        <v>14.172000000000001</v>
      </c>
      <c r="G57" s="316">
        <v>13.138999999999999</v>
      </c>
      <c r="H57" s="316">
        <v>10.645</v>
      </c>
      <c r="I57" s="316">
        <v>10.645</v>
      </c>
      <c r="J57" s="311">
        <v>100</v>
      </c>
      <c r="K57" s="310" t="s">
        <v>171</v>
      </c>
      <c r="L57" s="317"/>
      <c r="M57" s="311" t="s">
        <v>172</v>
      </c>
      <c r="N57" s="311"/>
      <c r="O57" s="311" t="s">
        <v>130</v>
      </c>
      <c r="P57" s="319"/>
      <c r="Q57" s="312"/>
      <c r="R57" s="312"/>
      <c r="S57" s="312"/>
      <c r="T57" s="312"/>
      <c r="U57" s="312"/>
      <c r="V57" s="312"/>
      <c r="W57" s="312"/>
    </row>
    <row r="58" spans="1:24" s="1" customFormat="1">
      <c r="A58" s="314">
        <v>16</v>
      </c>
      <c r="B58" s="314" t="s">
        <v>173</v>
      </c>
      <c r="C58" s="316">
        <v>12.565</v>
      </c>
      <c r="D58" s="316">
        <v>13.103999999999999</v>
      </c>
      <c r="E58" s="316">
        <v>13.055999999999999</v>
      </c>
      <c r="F58" s="316">
        <v>13.07</v>
      </c>
      <c r="G58" s="316">
        <v>13.103999999999999</v>
      </c>
      <c r="H58" s="316">
        <v>13.103999999999999</v>
      </c>
      <c r="I58" s="316">
        <v>13.103999999999999</v>
      </c>
      <c r="J58" s="311">
        <v>100</v>
      </c>
      <c r="K58" s="310">
        <v>7</v>
      </c>
      <c r="L58" s="317" t="s">
        <v>174</v>
      </c>
      <c r="M58" s="311" t="s">
        <v>97</v>
      </c>
      <c r="N58" s="311"/>
      <c r="O58" s="311" t="s">
        <v>130</v>
      </c>
      <c r="P58" s="313"/>
      <c r="Q58" s="312"/>
      <c r="R58" s="312"/>
      <c r="S58" s="312"/>
      <c r="T58" s="312"/>
      <c r="U58" s="312"/>
      <c r="V58" s="312"/>
      <c r="W58" s="312"/>
    </row>
    <row r="59" spans="1:24" s="1" customFormat="1">
      <c r="A59" s="314">
        <v>16</v>
      </c>
      <c r="B59" s="314" t="s">
        <v>175</v>
      </c>
      <c r="C59" s="316">
        <v>0.26700000000000002</v>
      </c>
      <c r="D59" s="316">
        <v>0.27800000000000002</v>
      </c>
      <c r="E59" s="316">
        <v>0.27700000000000002</v>
      </c>
      <c r="F59" s="316">
        <v>0.27700000000000002</v>
      </c>
      <c r="G59" s="316">
        <v>0.27800000000000002</v>
      </c>
      <c r="H59" s="316">
        <v>0.27800000000000002</v>
      </c>
      <c r="I59" s="316">
        <v>0.27800000000000002</v>
      </c>
      <c r="J59" s="311">
        <v>100</v>
      </c>
      <c r="K59" s="310" t="s">
        <v>164</v>
      </c>
      <c r="L59" s="317" t="s">
        <v>165</v>
      </c>
      <c r="M59" s="311" t="s">
        <v>97</v>
      </c>
      <c r="N59" s="311"/>
      <c r="O59" s="311" t="s">
        <v>130</v>
      </c>
      <c r="P59" s="319"/>
      <c r="Q59" s="312"/>
      <c r="R59" s="312"/>
      <c r="S59" s="312"/>
      <c r="T59" s="312"/>
      <c r="U59" s="312"/>
      <c r="V59" s="312"/>
      <c r="W59" s="312"/>
    </row>
    <row r="60" spans="1:24" s="1" customFormat="1">
      <c r="A60" s="314">
        <v>16</v>
      </c>
      <c r="B60" s="314" t="s">
        <v>176</v>
      </c>
      <c r="C60" s="316">
        <v>2.5</v>
      </c>
      <c r="D60" s="316">
        <v>2.5</v>
      </c>
      <c r="E60" s="316">
        <v>2.5</v>
      </c>
      <c r="F60" s="316">
        <v>2.5</v>
      </c>
      <c r="G60" s="316">
        <v>2.5</v>
      </c>
      <c r="H60" s="316">
        <v>2.5</v>
      </c>
      <c r="I60" s="316">
        <v>2.5</v>
      </c>
      <c r="J60" s="311">
        <v>100</v>
      </c>
      <c r="K60" s="310">
        <v>1</v>
      </c>
      <c r="L60" s="317" t="s">
        <v>177</v>
      </c>
      <c r="M60" s="311" t="s">
        <v>152</v>
      </c>
      <c r="N60" s="311"/>
      <c r="O60" s="311" t="s">
        <v>108</v>
      </c>
      <c r="P60" s="320"/>
      <c r="Q60" s="312"/>
      <c r="R60" s="312"/>
      <c r="S60" s="312"/>
      <c r="T60" s="312"/>
      <c r="U60" s="312"/>
      <c r="V60" s="312"/>
      <c r="W60" s="312"/>
    </row>
    <row r="61" spans="1:24" s="1" customFormat="1">
      <c r="A61" s="314">
        <v>16</v>
      </c>
      <c r="B61" s="314" t="s">
        <v>178</v>
      </c>
      <c r="C61" s="316">
        <v>3.1469999999999998</v>
      </c>
      <c r="D61" s="316">
        <v>3.1469999999999998</v>
      </c>
      <c r="E61" s="316">
        <v>3.1469999999999998</v>
      </c>
      <c r="F61" s="316">
        <v>1.5</v>
      </c>
      <c r="G61" s="316">
        <v>1.5</v>
      </c>
      <c r="H61" s="316">
        <v>1.5</v>
      </c>
      <c r="I61" s="316">
        <v>1.5</v>
      </c>
      <c r="J61" s="311">
        <v>100</v>
      </c>
      <c r="K61" s="310" t="s">
        <v>171</v>
      </c>
      <c r="L61" s="317" t="s">
        <v>179</v>
      </c>
      <c r="M61" s="311" t="s">
        <v>152</v>
      </c>
      <c r="N61" s="311"/>
      <c r="O61" s="311" t="s">
        <v>108</v>
      </c>
      <c r="P61" s="319"/>
      <c r="Q61" s="312"/>
      <c r="R61" s="312"/>
      <c r="S61" s="312"/>
      <c r="T61" s="312"/>
      <c r="U61" s="312"/>
      <c r="V61" s="312"/>
      <c r="W61" s="312"/>
    </row>
    <row r="62" spans="1:24" s="1" customFormat="1">
      <c r="A62" s="314">
        <v>16</v>
      </c>
      <c r="B62" s="314" t="s">
        <v>180</v>
      </c>
      <c r="C62" s="316">
        <v>0.94799999999999995</v>
      </c>
      <c r="D62" s="316">
        <v>3.2789999999999999</v>
      </c>
      <c r="E62" s="316">
        <v>3.5139999999999998</v>
      </c>
      <c r="F62" s="316">
        <v>4.2080000000000002</v>
      </c>
      <c r="G62" s="316">
        <v>1.64</v>
      </c>
      <c r="H62" s="316">
        <v>1.4</v>
      </c>
      <c r="I62" s="316">
        <v>1.744</v>
      </c>
      <c r="J62" s="311">
        <v>50</v>
      </c>
      <c r="K62" s="310">
        <v>13</v>
      </c>
      <c r="L62" s="317"/>
      <c r="M62" s="311" t="s">
        <v>108</v>
      </c>
      <c r="N62" s="311"/>
      <c r="O62" s="311" t="s">
        <v>108</v>
      </c>
      <c r="P62" s="319"/>
      <c r="Q62" s="312"/>
      <c r="R62" s="312"/>
      <c r="S62" s="312"/>
      <c r="T62" s="312"/>
      <c r="U62" s="312"/>
      <c r="V62" s="312"/>
      <c r="W62" s="312"/>
    </row>
    <row r="63" spans="1:24" s="1" customFormat="1">
      <c r="A63" s="314">
        <v>16</v>
      </c>
      <c r="B63" s="314" t="s">
        <v>181</v>
      </c>
      <c r="C63" s="316">
        <v>1.0640000000000001</v>
      </c>
      <c r="D63" s="316">
        <v>1.39</v>
      </c>
      <c r="E63" s="316">
        <v>1.46</v>
      </c>
      <c r="F63" s="316">
        <v>1.4930000000000001</v>
      </c>
      <c r="G63" s="316">
        <v>1.5249999999999999</v>
      </c>
      <c r="H63" s="316">
        <v>1.554</v>
      </c>
      <c r="I63" s="316">
        <v>1.554</v>
      </c>
      <c r="J63" s="311">
        <v>100</v>
      </c>
      <c r="K63" s="310" t="s">
        <v>171</v>
      </c>
      <c r="L63" s="317" t="s">
        <v>179</v>
      </c>
      <c r="M63" s="311" t="s">
        <v>100</v>
      </c>
      <c r="N63" s="311"/>
      <c r="O63" s="311" t="s">
        <v>130</v>
      </c>
      <c r="P63" s="319"/>
      <c r="Q63" s="312"/>
      <c r="R63" s="312"/>
      <c r="S63" s="312"/>
      <c r="T63" s="312"/>
      <c r="U63" s="312"/>
      <c r="V63" s="312"/>
      <c r="W63" s="312"/>
    </row>
    <row r="64" spans="1:24" s="1" customFormat="1">
      <c r="A64" s="314">
        <v>16</v>
      </c>
      <c r="B64" s="314" t="s">
        <v>182</v>
      </c>
      <c r="C64" s="316">
        <v>7.1059999999999999</v>
      </c>
      <c r="D64" s="316">
        <v>7.8280000000000003</v>
      </c>
      <c r="E64" s="316">
        <v>9.1829999999999998</v>
      </c>
      <c r="F64" s="316">
        <v>9.4429999999999996</v>
      </c>
      <c r="G64" s="316">
        <v>9.4429999999999996</v>
      </c>
      <c r="H64" s="316">
        <v>9.4429999999999996</v>
      </c>
      <c r="I64" s="316">
        <v>9.4429999999999996</v>
      </c>
      <c r="J64" s="311">
        <v>100</v>
      </c>
      <c r="K64" s="310" t="s">
        <v>171</v>
      </c>
      <c r="L64" s="317" t="s">
        <v>179</v>
      </c>
      <c r="M64" s="311" t="s">
        <v>100</v>
      </c>
      <c r="N64" s="311"/>
      <c r="O64" s="311" t="s">
        <v>130</v>
      </c>
      <c r="P64" s="319"/>
      <c r="Q64" s="312"/>
      <c r="R64" s="312"/>
      <c r="S64" s="312"/>
      <c r="T64" s="312"/>
      <c r="U64" s="312"/>
      <c r="V64" s="312"/>
      <c r="W64" s="312"/>
    </row>
    <row r="65" spans="1:23" s="1" customFormat="1">
      <c r="A65" s="308">
        <v>16</v>
      </c>
      <c r="B65" s="314" t="s">
        <v>183</v>
      </c>
      <c r="C65" s="321">
        <v>36.518000000000001</v>
      </c>
      <c r="D65" s="321">
        <v>37.426000000000002</v>
      </c>
      <c r="E65" s="321">
        <v>37.426000000000002</v>
      </c>
      <c r="F65" s="321">
        <v>37.426000000000002</v>
      </c>
      <c r="G65" s="321">
        <v>37.426000000000002</v>
      </c>
      <c r="H65" s="321">
        <v>37.426000000000002</v>
      </c>
      <c r="I65" s="321">
        <v>37.426000000000002</v>
      </c>
      <c r="J65" s="311">
        <v>100</v>
      </c>
      <c r="K65" s="310">
        <v>3</v>
      </c>
      <c r="L65" s="317" t="s">
        <v>184</v>
      </c>
      <c r="M65" s="311" t="s">
        <v>100</v>
      </c>
      <c r="N65" s="311"/>
      <c r="O65" s="311" t="s">
        <v>108</v>
      </c>
      <c r="P65" s="319"/>
      <c r="Q65" s="312"/>
      <c r="R65" s="312"/>
      <c r="S65" s="312"/>
      <c r="T65" s="312"/>
      <c r="U65" s="312"/>
      <c r="V65" s="312"/>
      <c r="W65" s="312"/>
    </row>
    <row r="66" spans="1:23" s="1" customFormat="1">
      <c r="A66" s="322">
        <v>16</v>
      </c>
      <c r="B66" s="314" t="s">
        <v>185</v>
      </c>
      <c r="C66" s="315">
        <v>61.476999999999997</v>
      </c>
      <c r="D66" s="315">
        <v>64.096000000000004</v>
      </c>
      <c r="E66" s="315">
        <v>65.540000000000006</v>
      </c>
      <c r="F66" s="315">
        <v>65.548000000000002</v>
      </c>
      <c r="G66" s="315">
        <v>65.516000000000005</v>
      </c>
      <c r="H66" s="315">
        <v>65.486999999999995</v>
      </c>
      <c r="I66" s="315">
        <v>65.486999999999995</v>
      </c>
      <c r="J66" s="311">
        <v>100</v>
      </c>
      <c r="K66" s="310" t="s">
        <v>171</v>
      </c>
      <c r="L66" s="317" t="s">
        <v>179</v>
      </c>
      <c r="M66" s="311" t="s">
        <v>100</v>
      </c>
      <c r="N66" s="311"/>
      <c r="O66" s="311" t="s">
        <v>130</v>
      </c>
      <c r="P66" s="319"/>
      <c r="Q66" s="312"/>
      <c r="R66" s="312"/>
      <c r="S66" s="312"/>
      <c r="T66" s="312"/>
      <c r="U66" s="312"/>
      <c r="V66" s="312"/>
      <c r="W66" s="312"/>
    </row>
    <row r="67" spans="1:23" s="1" customFormat="1">
      <c r="A67" s="324">
        <v>16</v>
      </c>
      <c r="B67" s="323" t="s">
        <v>186</v>
      </c>
      <c r="C67" s="315">
        <v>10.86</v>
      </c>
      <c r="D67" s="315">
        <v>11.739000000000001</v>
      </c>
      <c r="E67" s="315">
        <v>12.066000000000001</v>
      </c>
      <c r="F67" s="315">
        <v>12.066000000000001</v>
      </c>
      <c r="G67" s="315">
        <v>12.066000000000001</v>
      </c>
      <c r="H67" s="315">
        <v>12.066000000000001</v>
      </c>
      <c r="I67" s="315">
        <v>12.066000000000001</v>
      </c>
      <c r="J67" s="311">
        <v>100</v>
      </c>
      <c r="K67" s="310" t="s">
        <v>171</v>
      </c>
      <c r="L67" s="317" t="s">
        <v>179</v>
      </c>
      <c r="M67" s="311" t="s">
        <v>100</v>
      </c>
      <c r="N67" s="311"/>
      <c r="O67" s="311" t="s">
        <v>130</v>
      </c>
      <c r="P67" s="313"/>
      <c r="Q67" s="312"/>
      <c r="R67" s="312"/>
      <c r="S67" s="312"/>
      <c r="T67" s="312"/>
      <c r="U67" s="312"/>
      <c r="V67" s="312"/>
      <c r="W67" s="312"/>
    </row>
    <row r="68" spans="1:23" s="1" customFormat="1">
      <c r="A68" s="324">
        <v>16</v>
      </c>
      <c r="B68" s="323" t="s">
        <v>187</v>
      </c>
      <c r="C68" s="315">
        <v>0</v>
      </c>
      <c r="D68" s="315">
        <v>0</v>
      </c>
      <c r="E68" s="315">
        <v>2.75</v>
      </c>
      <c r="F68" s="315">
        <v>2.75</v>
      </c>
      <c r="G68" s="315">
        <v>2.75</v>
      </c>
      <c r="H68" s="315">
        <v>2.75</v>
      </c>
      <c r="I68" s="315">
        <v>2.75</v>
      </c>
      <c r="J68" s="311">
        <v>100</v>
      </c>
      <c r="K68" s="310" t="s">
        <v>171</v>
      </c>
      <c r="L68" s="317" t="s">
        <v>179</v>
      </c>
      <c r="M68" s="311" t="s">
        <v>100</v>
      </c>
      <c r="N68" s="311"/>
      <c r="O68" s="311" t="s">
        <v>130</v>
      </c>
      <c r="P68" s="313"/>
      <c r="Q68" s="312"/>
      <c r="R68" s="312"/>
      <c r="S68" s="312"/>
      <c r="T68" s="312"/>
      <c r="U68" s="312"/>
      <c r="V68" s="312"/>
      <c r="W68" s="312"/>
    </row>
    <row r="69" spans="1:23" s="1" customFormat="1">
      <c r="A69" s="324">
        <v>16</v>
      </c>
      <c r="B69" s="323" t="s">
        <v>188</v>
      </c>
      <c r="C69" s="315">
        <v>5.1999999999999998E-2</v>
      </c>
      <c r="D69" s="315">
        <v>5.5E-2</v>
      </c>
      <c r="E69" s="315">
        <v>5.3999999999999999E-2</v>
      </c>
      <c r="F69" s="315">
        <v>5.5E-2</v>
      </c>
      <c r="G69" s="315">
        <v>5.5E-2</v>
      </c>
      <c r="H69" s="315">
        <v>5.5E-2</v>
      </c>
      <c r="I69" s="315">
        <v>5.5E-2</v>
      </c>
      <c r="J69" s="311">
        <v>10</v>
      </c>
      <c r="K69" s="310">
        <v>6</v>
      </c>
      <c r="L69" s="317" t="s">
        <v>189</v>
      </c>
      <c r="M69" s="311" t="s">
        <v>190</v>
      </c>
      <c r="N69" s="311"/>
      <c r="O69" s="311" t="s">
        <v>130</v>
      </c>
      <c r="P69" s="313"/>
      <c r="Q69" s="312"/>
      <c r="R69" s="312"/>
      <c r="S69" s="312"/>
      <c r="T69" s="312"/>
      <c r="U69" s="312"/>
      <c r="V69" s="312"/>
      <c r="W69" s="312"/>
    </row>
    <row r="70" spans="1:23" s="1" customFormat="1">
      <c r="A70" s="324">
        <v>16</v>
      </c>
      <c r="B70" s="323" t="s">
        <v>191</v>
      </c>
      <c r="C70" s="315">
        <v>0.81499999999999995</v>
      </c>
      <c r="D70" s="315">
        <v>0.84899999999999998</v>
      </c>
      <c r="E70" s="315">
        <v>0.84599999999999997</v>
      </c>
      <c r="F70" s="315">
        <v>0.84699999999999998</v>
      </c>
      <c r="G70" s="315">
        <v>0.84899999999999998</v>
      </c>
      <c r="H70" s="315">
        <v>0.84899999999999998</v>
      </c>
      <c r="I70" s="315">
        <v>0.84899999999999998</v>
      </c>
      <c r="J70" s="311">
        <v>20</v>
      </c>
      <c r="K70" s="310">
        <v>10</v>
      </c>
      <c r="L70" s="317" t="s">
        <v>161</v>
      </c>
      <c r="M70" s="311" t="s">
        <v>191</v>
      </c>
      <c r="N70" s="311"/>
      <c r="O70" s="311" t="s">
        <v>130</v>
      </c>
      <c r="P70" s="313"/>
      <c r="Q70" s="312"/>
      <c r="R70" s="312"/>
      <c r="S70" s="312"/>
      <c r="T70" s="312"/>
      <c r="U70" s="312"/>
      <c r="V70" s="312"/>
      <c r="W70" s="312"/>
    </row>
    <row r="71" spans="1:23" s="1" customFormat="1">
      <c r="A71" s="324">
        <v>16</v>
      </c>
      <c r="B71" s="323" t="s">
        <v>192</v>
      </c>
      <c r="C71" s="315">
        <v>0.125</v>
      </c>
      <c r="D71" s="315">
        <v>0.13</v>
      </c>
      <c r="E71" s="315">
        <v>0.13</v>
      </c>
      <c r="F71" s="315">
        <v>0.13</v>
      </c>
      <c r="G71" s="315">
        <v>0.13</v>
      </c>
      <c r="H71" s="315">
        <v>0.13</v>
      </c>
      <c r="I71" s="315">
        <v>0.13</v>
      </c>
      <c r="J71" s="311">
        <v>10</v>
      </c>
      <c r="K71" s="310">
        <v>7</v>
      </c>
      <c r="L71" s="317" t="s">
        <v>174</v>
      </c>
      <c r="M71" s="323" t="s">
        <v>192</v>
      </c>
      <c r="N71" s="311"/>
      <c r="O71" s="311" t="s">
        <v>130</v>
      </c>
      <c r="P71" s="313"/>
      <c r="Q71" s="312"/>
      <c r="R71" s="312"/>
      <c r="S71" s="312"/>
      <c r="T71" s="312"/>
      <c r="U71" s="312"/>
      <c r="V71" s="312"/>
      <c r="W71" s="312"/>
    </row>
    <row r="72" spans="1:23" s="1" customFormat="1">
      <c r="A72" s="324">
        <v>95</v>
      </c>
      <c r="B72" s="323" t="s">
        <v>193</v>
      </c>
      <c r="C72" s="325">
        <v>15.634</v>
      </c>
      <c r="D72" s="325">
        <v>15.855</v>
      </c>
      <c r="E72" s="325">
        <v>14.065</v>
      </c>
      <c r="F72" s="325">
        <v>13.798999999999999</v>
      </c>
      <c r="G72" s="325">
        <v>12.929</v>
      </c>
      <c r="H72" s="325">
        <v>13.435</v>
      </c>
      <c r="I72" s="325">
        <v>13.435</v>
      </c>
      <c r="J72" s="311">
        <v>27</v>
      </c>
      <c r="K72" s="310">
        <v>10</v>
      </c>
      <c r="L72" s="317" t="s">
        <v>161</v>
      </c>
      <c r="M72" s="311" t="s">
        <v>92</v>
      </c>
      <c r="N72" s="311"/>
      <c r="O72" s="311" t="s">
        <v>130</v>
      </c>
      <c r="P72" s="319"/>
      <c r="Q72" s="312"/>
      <c r="R72" s="312"/>
      <c r="S72" s="312"/>
      <c r="T72" s="312"/>
      <c r="U72" s="312"/>
      <c r="V72" s="312"/>
      <c r="W72" s="312"/>
    </row>
    <row r="73" spans="1:23" s="1" customFormat="1">
      <c r="A73" s="324" t="s">
        <v>194</v>
      </c>
      <c r="B73" s="323" t="s">
        <v>195</v>
      </c>
      <c r="C73" s="325">
        <v>0.42799999999999999</v>
      </c>
      <c r="D73" s="325">
        <v>0.441</v>
      </c>
      <c r="E73" s="325">
        <v>0.441</v>
      </c>
      <c r="F73" s="325">
        <v>0.441</v>
      </c>
      <c r="G73" s="325">
        <v>0.441</v>
      </c>
      <c r="H73" s="325">
        <v>0.441</v>
      </c>
      <c r="I73" s="325">
        <v>0.441</v>
      </c>
      <c r="J73" s="311">
        <v>6</v>
      </c>
      <c r="K73" s="310">
        <v>10</v>
      </c>
      <c r="L73" s="317" t="s">
        <v>161</v>
      </c>
      <c r="M73" s="311" t="s">
        <v>92</v>
      </c>
      <c r="N73" s="311"/>
      <c r="O73" s="311" t="s">
        <v>130</v>
      </c>
      <c r="P73" s="319"/>
      <c r="Q73" s="312"/>
      <c r="R73" s="312"/>
      <c r="S73" s="312"/>
      <c r="T73" s="312"/>
      <c r="U73" s="312"/>
      <c r="V73" s="312"/>
      <c r="W73" s="312"/>
    </row>
    <row r="74" spans="1:23" s="1" customFormat="1">
      <c r="A74" s="308" t="s">
        <v>194</v>
      </c>
      <c r="B74" s="314" t="s">
        <v>196</v>
      </c>
      <c r="C74" s="315">
        <v>1.18</v>
      </c>
      <c r="D74" s="315">
        <v>2.5289999999999999</v>
      </c>
      <c r="E74" s="315">
        <v>2.0539999999999998</v>
      </c>
      <c r="F74" s="315">
        <v>2.0539999999999998</v>
      </c>
      <c r="G74" s="315">
        <v>2.0539999999999998</v>
      </c>
      <c r="H74" s="315">
        <v>2.0539999999999998</v>
      </c>
      <c r="I74" s="315">
        <v>2.0539999999999998</v>
      </c>
      <c r="J74" s="326"/>
      <c r="K74" s="326">
        <v>10</v>
      </c>
      <c r="L74" s="326" t="s">
        <v>161</v>
      </c>
      <c r="M74" s="326" t="s">
        <v>108</v>
      </c>
      <c r="N74" s="326"/>
      <c r="O74" s="326" t="s">
        <v>108</v>
      </c>
      <c r="P74" s="319"/>
      <c r="Q74" s="312"/>
      <c r="R74" s="312"/>
      <c r="S74" s="312"/>
      <c r="T74" s="312"/>
      <c r="U74" s="312"/>
      <c r="V74" s="312"/>
      <c r="W74" s="312"/>
    </row>
    <row r="75" spans="1:23" s="1" customFormat="1">
      <c r="A75" s="308" t="s">
        <v>194</v>
      </c>
      <c r="B75" s="314" t="s">
        <v>197</v>
      </c>
      <c r="C75" s="327">
        <v>1.706</v>
      </c>
      <c r="D75" s="328">
        <v>1.93</v>
      </c>
      <c r="E75" s="328">
        <v>1.93</v>
      </c>
      <c r="F75" s="328">
        <v>1.93</v>
      </c>
      <c r="G75" s="328">
        <v>1.93</v>
      </c>
      <c r="H75" s="328">
        <v>1.93</v>
      </c>
      <c r="I75" s="328">
        <v>1.93</v>
      </c>
      <c r="J75" s="311">
        <v>100</v>
      </c>
      <c r="K75" s="310">
        <v>10</v>
      </c>
      <c r="L75" s="317" t="s">
        <v>161</v>
      </c>
      <c r="M75" s="311" t="s">
        <v>97</v>
      </c>
      <c r="N75" s="311"/>
      <c r="O75" s="311" t="s">
        <v>130</v>
      </c>
      <c r="P75" s="319"/>
      <c r="Q75" s="312"/>
      <c r="R75" s="312"/>
      <c r="S75" s="312"/>
      <c r="T75" s="312"/>
      <c r="U75" s="312"/>
      <c r="V75" s="312"/>
      <c r="W75" s="312"/>
    </row>
    <row r="76" spans="1:23" s="1" customFormat="1">
      <c r="A76" s="308">
        <v>16</v>
      </c>
      <c r="B76" s="314" t="s">
        <v>198</v>
      </c>
      <c r="C76" s="327">
        <v>23.003</v>
      </c>
      <c r="D76" s="328">
        <v>0.19800000000000001</v>
      </c>
      <c r="E76" s="328">
        <v>0</v>
      </c>
      <c r="F76" s="328">
        <v>0</v>
      </c>
      <c r="G76" s="328">
        <v>0</v>
      </c>
      <c r="H76" s="328">
        <v>0</v>
      </c>
      <c r="I76" s="328">
        <v>0</v>
      </c>
      <c r="J76" s="311">
        <v>100</v>
      </c>
      <c r="K76" s="310">
        <v>6</v>
      </c>
      <c r="L76" s="317" t="s">
        <v>189</v>
      </c>
      <c r="M76" s="311" t="s">
        <v>148</v>
      </c>
      <c r="N76" s="311"/>
      <c r="O76" s="311" t="s">
        <v>108</v>
      </c>
      <c r="P76" s="319">
        <v>100</v>
      </c>
      <c r="Q76" s="312">
        <f>+$P76/100*C76</f>
        <v>23.003</v>
      </c>
      <c r="R76" s="312">
        <f t="shared" ref="R76:W78" si="31">+$P76/100*D76</f>
        <v>0.19800000000000001</v>
      </c>
      <c r="S76" s="312">
        <f t="shared" si="31"/>
        <v>0</v>
      </c>
      <c r="T76" s="312">
        <f t="shared" si="31"/>
        <v>0</v>
      </c>
      <c r="U76" s="312">
        <f t="shared" si="31"/>
        <v>0</v>
      </c>
      <c r="V76" s="312">
        <f t="shared" si="31"/>
        <v>0</v>
      </c>
      <c r="W76" s="312">
        <f t="shared" si="31"/>
        <v>0</v>
      </c>
    </row>
    <row r="77" spans="1:23" s="1" customFormat="1">
      <c r="A77" s="308">
        <v>16</v>
      </c>
      <c r="B77" s="314" t="s">
        <v>199</v>
      </c>
      <c r="C77" s="327">
        <v>21.945</v>
      </c>
      <c r="D77" s="328">
        <v>15.936999999999999</v>
      </c>
      <c r="E77" s="328">
        <v>15.199</v>
      </c>
      <c r="F77" s="328">
        <v>17.420000000000002</v>
      </c>
      <c r="G77" s="328">
        <v>11.837</v>
      </c>
      <c r="H77" s="328">
        <v>10.157999999999999</v>
      </c>
      <c r="I77" s="328">
        <v>6.9160000000000004</v>
      </c>
      <c r="J77" s="311">
        <v>100</v>
      </c>
      <c r="K77" s="310">
        <v>6</v>
      </c>
      <c r="L77" s="317" t="s">
        <v>189</v>
      </c>
      <c r="M77" s="311" t="s">
        <v>148</v>
      </c>
      <c r="N77" s="311"/>
      <c r="O77" s="311" t="s">
        <v>108</v>
      </c>
      <c r="P77" s="319">
        <v>100</v>
      </c>
      <c r="Q77" s="312">
        <f>+$P77/100*C77</f>
        <v>21.945</v>
      </c>
      <c r="R77" s="312">
        <f t="shared" si="31"/>
        <v>15.936999999999999</v>
      </c>
      <c r="S77" s="312">
        <f t="shared" si="31"/>
        <v>15.199</v>
      </c>
      <c r="T77" s="312">
        <f t="shared" si="31"/>
        <v>17.420000000000002</v>
      </c>
      <c r="U77" s="312">
        <f t="shared" si="31"/>
        <v>11.837</v>
      </c>
      <c r="V77" s="312">
        <f t="shared" si="31"/>
        <v>10.157999999999999</v>
      </c>
      <c r="W77" s="312">
        <f t="shared" si="31"/>
        <v>6.9160000000000004</v>
      </c>
    </row>
    <row r="78" spans="1:23" s="1" customFormat="1">
      <c r="A78" s="308">
        <v>16</v>
      </c>
      <c r="B78" s="314" t="s">
        <v>200</v>
      </c>
      <c r="C78" s="327">
        <v>15.835000000000001</v>
      </c>
      <c r="D78" s="328">
        <v>17.738</v>
      </c>
      <c r="E78" s="328">
        <v>22.933</v>
      </c>
      <c r="F78" s="328">
        <v>32.893999999999998</v>
      </c>
      <c r="G78" s="328">
        <v>33.057000000000002</v>
      </c>
      <c r="H78" s="328">
        <v>33.03</v>
      </c>
      <c r="I78" s="328">
        <v>45.674999999999997</v>
      </c>
      <c r="J78" s="311">
        <v>100</v>
      </c>
      <c r="K78" s="310">
        <v>7</v>
      </c>
      <c r="L78" s="317" t="s">
        <v>174</v>
      </c>
      <c r="M78" s="311" t="s">
        <v>148</v>
      </c>
      <c r="N78" s="311"/>
      <c r="O78" s="311" t="s">
        <v>108</v>
      </c>
      <c r="P78" s="319">
        <v>100</v>
      </c>
      <c r="Q78" s="312">
        <f>+$P78/100*C78</f>
        <v>15.835000000000001</v>
      </c>
      <c r="R78" s="312">
        <f t="shared" si="31"/>
        <v>17.738</v>
      </c>
      <c r="S78" s="312">
        <f t="shared" si="31"/>
        <v>22.933</v>
      </c>
      <c r="T78" s="312">
        <f t="shared" si="31"/>
        <v>32.893999999999998</v>
      </c>
      <c r="U78" s="312">
        <f t="shared" si="31"/>
        <v>33.057000000000002</v>
      </c>
      <c r="V78" s="312">
        <f t="shared" si="31"/>
        <v>33.03</v>
      </c>
      <c r="W78" s="312">
        <f t="shared" si="31"/>
        <v>45.674999999999997</v>
      </c>
    </row>
    <row r="79" spans="1:23" s="3" customFormat="1" ht="14.4">
      <c r="A79" s="329"/>
      <c r="B79" s="329" t="s">
        <v>201</v>
      </c>
      <c r="C79" s="330">
        <f>SUM(C35:C78)</f>
        <v>5934.5391652677408</v>
      </c>
      <c r="D79" s="330">
        <f t="shared" ref="D79:I79" si="32">SUM(D35:D78)</f>
        <v>5914.4577566806811</v>
      </c>
      <c r="E79" s="330">
        <f t="shared" si="32"/>
        <v>5857.2599844708648</v>
      </c>
      <c r="F79" s="330">
        <f t="shared" si="32"/>
        <v>5800.5562077988607</v>
      </c>
      <c r="G79" s="330">
        <f t="shared" si="32"/>
        <v>5739.6829135647722</v>
      </c>
      <c r="H79" s="330">
        <f t="shared" si="32"/>
        <v>5681.2834373861697</v>
      </c>
      <c r="I79" s="330">
        <f t="shared" si="32"/>
        <v>5582.1497997525275</v>
      </c>
      <c r="J79" s="330"/>
      <c r="K79" s="329"/>
      <c r="L79" s="326"/>
      <c r="M79" s="329"/>
      <c r="N79" s="329"/>
      <c r="O79" s="329"/>
      <c r="P79" s="331"/>
      <c r="Q79" s="332">
        <f t="shared" ref="Q79:W79" si="33">SUM(Q35:Q78)</f>
        <v>458.15663865890872</v>
      </c>
      <c r="R79" s="332">
        <f t="shared" si="33"/>
        <v>458.29786216126911</v>
      </c>
      <c r="S79" s="332">
        <f t="shared" si="33"/>
        <v>448.07702434210387</v>
      </c>
      <c r="T79" s="332">
        <f t="shared" si="33"/>
        <v>456.647814181027</v>
      </c>
      <c r="U79" s="332">
        <f t="shared" si="33"/>
        <v>444.01374446180256</v>
      </c>
      <c r="V79" s="332">
        <f t="shared" si="33"/>
        <v>428.86369040609179</v>
      </c>
      <c r="W79" s="332">
        <f t="shared" si="33"/>
        <v>432.44188629966914</v>
      </c>
    </row>
    <row r="80" spans="1:23">
      <c r="C80" s="284"/>
      <c r="D80" s="284"/>
      <c r="E80" s="284"/>
      <c r="F80" s="284"/>
      <c r="G80" s="284"/>
      <c r="H80" s="284"/>
      <c r="I80" s="284"/>
    </row>
    <row r="81" spans="1:24" s="11" customFormat="1" ht="14.4">
      <c r="B81" s="12" t="s">
        <v>202</v>
      </c>
      <c r="C81" s="48"/>
      <c r="D81" s="48"/>
      <c r="E81" s="48"/>
      <c r="F81" s="48"/>
      <c r="G81" s="48"/>
      <c r="H81" s="48"/>
      <c r="I81" s="48"/>
      <c r="P81" s="12" t="s">
        <v>202</v>
      </c>
      <c r="Q81" s="131"/>
      <c r="R81" s="131"/>
      <c r="S81" s="131"/>
      <c r="T81" s="131"/>
      <c r="U81" s="131"/>
      <c r="V81" s="131"/>
      <c r="W81" s="131"/>
    </row>
    <row r="82" spans="1:24" s="210" customFormat="1">
      <c r="A82" s="72" t="s">
        <v>203</v>
      </c>
      <c r="B82" s="72" t="s">
        <v>204</v>
      </c>
      <c r="C82" s="72">
        <v>2.7</v>
      </c>
      <c r="D82" s="72">
        <v>2.4039999999999999</v>
      </c>
      <c r="E82" s="72">
        <v>2.8570000000000002</v>
      </c>
      <c r="F82" s="72">
        <v>2.8570000000000002</v>
      </c>
      <c r="G82" s="72">
        <v>2.8570000000000002</v>
      </c>
      <c r="H82" s="72">
        <v>2.8570000000000002</v>
      </c>
      <c r="I82" s="72">
        <v>2.8570000000000002</v>
      </c>
      <c r="J82" s="72">
        <v>100</v>
      </c>
      <c r="K82" s="72">
        <v>14</v>
      </c>
      <c r="L82" s="72" t="s">
        <v>205</v>
      </c>
      <c r="M82" s="72" t="s">
        <v>206</v>
      </c>
      <c r="N82" s="72"/>
      <c r="O82" s="4" t="s">
        <v>130</v>
      </c>
      <c r="P82" s="10">
        <v>100</v>
      </c>
      <c r="Q82" s="5">
        <f t="shared" ref="Q82:W89" si="34">+$P82/100*C82</f>
        <v>2.7</v>
      </c>
      <c r="R82" s="5">
        <f t="shared" si="34"/>
        <v>2.4039999999999999</v>
      </c>
      <c r="S82" s="5">
        <f t="shared" si="34"/>
        <v>2.8570000000000002</v>
      </c>
      <c r="T82" s="5">
        <f t="shared" si="34"/>
        <v>2.8570000000000002</v>
      </c>
      <c r="U82" s="5">
        <f t="shared" si="34"/>
        <v>2.8570000000000002</v>
      </c>
      <c r="V82" s="5">
        <f t="shared" si="34"/>
        <v>2.8570000000000002</v>
      </c>
      <c r="W82" s="5">
        <f t="shared" si="34"/>
        <v>2.8570000000000002</v>
      </c>
      <c r="X82" s="211"/>
    </row>
    <row r="83" spans="1:24" s="210" customFormat="1">
      <c r="A83" s="72" t="s">
        <v>207</v>
      </c>
      <c r="B83" s="72" t="s">
        <v>208</v>
      </c>
      <c r="C83" s="72">
        <v>76.284999999999997</v>
      </c>
      <c r="D83" s="72">
        <v>86.156999999999996</v>
      </c>
      <c r="E83" s="72">
        <v>88.721999999999994</v>
      </c>
      <c r="F83" s="72">
        <v>94.622</v>
      </c>
      <c r="G83" s="72">
        <v>101.521</v>
      </c>
      <c r="H83" s="72">
        <v>101.521</v>
      </c>
      <c r="I83" s="72">
        <v>104.005</v>
      </c>
      <c r="J83" s="72">
        <v>100</v>
      </c>
      <c r="K83" s="72">
        <v>14</v>
      </c>
      <c r="L83" s="72" t="s">
        <v>205</v>
      </c>
      <c r="M83" s="72" t="s">
        <v>209</v>
      </c>
      <c r="N83" s="72"/>
      <c r="O83" s="4" t="s">
        <v>130</v>
      </c>
      <c r="P83" s="10">
        <v>100</v>
      </c>
      <c r="Q83" s="5">
        <f t="shared" si="34"/>
        <v>76.284999999999997</v>
      </c>
      <c r="R83" s="5">
        <f t="shared" si="34"/>
        <v>86.156999999999996</v>
      </c>
      <c r="S83" s="5">
        <f t="shared" si="34"/>
        <v>88.721999999999994</v>
      </c>
      <c r="T83" s="5">
        <f t="shared" si="34"/>
        <v>94.622</v>
      </c>
      <c r="U83" s="5">
        <f t="shared" si="34"/>
        <v>101.521</v>
      </c>
      <c r="V83" s="5">
        <f t="shared" si="34"/>
        <v>101.521</v>
      </c>
      <c r="W83" s="5">
        <f t="shared" si="34"/>
        <v>104.005</v>
      </c>
      <c r="X83" s="211"/>
    </row>
    <row r="84" spans="1:24" s="210" customFormat="1">
      <c r="A84" s="72" t="s">
        <v>207</v>
      </c>
      <c r="B84" s="72" t="s">
        <v>210</v>
      </c>
      <c r="C84" s="72">
        <v>13.497</v>
      </c>
      <c r="D84" s="72">
        <v>16.128</v>
      </c>
      <c r="E84" s="72">
        <v>18.79</v>
      </c>
      <c r="F84" s="72">
        <v>19.477</v>
      </c>
      <c r="G84" s="72">
        <v>19.811</v>
      </c>
      <c r="H84" s="72">
        <v>20.378</v>
      </c>
      <c r="I84" s="72">
        <v>20.85</v>
      </c>
      <c r="J84" s="72">
        <v>100</v>
      </c>
      <c r="K84" s="72">
        <v>14</v>
      </c>
      <c r="L84" s="72" t="s">
        <v>205</v>
      </c>
      <c r="M84" s="72" t="s">
        <v>209</v>
      </c>
      <c r="N84" s="72"/>
      <c r="O84" s="4" t="s">
        <v>130</v>
      </c>
      <c r="P84" s="10">
        <v>100</v>
      </c>
      <c r="Q84" s="5">
        <f t="shared" si="34"/>
        <v>13.497</v>
      </c>
      <c r="R84" s="5">
        <f t="shared" si="34"/>
        <v>16.128</v>
      </c>
      <c r="S84" s="5">
        <f t="shared" si="34"/>
        <v>18.79</v>
      </c>
      <c r="T84" s="5">
        <f t="shared" si="34"/>
        <v>19.477</v>
      </c>
      <c r="U84" s="5">
        <f t="shared" si="34"/>
        <v>19.811</v>
      </c>
      <c r="V84" s="5">
        <f t="shared" si="34"/>
        <v>20.378</v>
      </c>
      <c r="W84" s="5">
        <f t="shared" si="34"/>
        <v>20.85</v>
      </c>
      <c r="X84" s="211"/>
    </row>
    <row r="85" spans="1:24" s="210" customFormat="1">
      <c r="A85" s="72" t="s">
        <v>207</v>
      </c>
      <c r="B85" s="72" t="s">
        <v>211</v>
      </c>
      <c r="C85" s="72">
        <v>4.79</v>
      </c>
      <c r="D85" s="72">
        <v>6.0049999999999999</v>
      </c>
      <c r="E85" s="72">
        <v>6.4290000000000003</v>
      </c>
      <c r="F85" s="72">
        <v>7.0339999999999998</v>
      </c>
      <c r="G85" s="72">
        <v>7.4880000000000004</v>
      </c>
      <c r="H85" s="72">
        <v>7.7140000000000004</v>
      </c>
      <c r="I85" s="72">
        <v>7.9029999999999996</v>
      </c>
      <c r="J85" s="72">
        <v>100</v>
      </c>
      <c r="K85" s="72">
        <v>14</v>
      </c>
      <c r="L85" s="72" t="s">
        <v>205</v>
      </c>
      <c r="M85" s="72" t="s">
        <v>209</v>
      </c>
      <c r="N85" s="72"/>
      <c r="O85" s="4" t="s">
        <v>130</v>
      </c>
      <c r="P85" s="10">
        <v>100</v>
      </c>
      <c r="Q85" s="5">
        <f t="shared" si="34"/>
        <v>4.79</v>
      </c>
      <c r="R85" s="5">
        <f t="shared" si="34"/>
        <v>6.0049999999999999</v>
      </c>
      <c r="S85" s="5">
        <f t="shared" si="34"/>
        <v>6.4290000000000003</v>
      </c>
      <c r="T85" s="5">
        <f t="shared" si="34"/>
        <v>7.0339999999999998</v>
      </c>
      <c r="U85" s="5">
        <f t="shared" si="34"/>
        <v>7.4880000000000004</v>
      </c>
      <c r="V85" s="5">
        <f t="shared" si="34"/>
        <v>7.7140000000000004</v>
      </c>
      <c r="W85" s="5">
        <f t="shared" si="34"/>
        <v>7.9029999999999996</v>
      </c>
      <c r="X85" s="211"/>
    </row>
    <row r="86" spans="1:24" s="210" customFormat="1">
      <c r="A86" s="72" t="s">
        <v>203</v>
      </c>
      <c r="B86" s="72" t="s">
        <v>212</v>
      </c>
      <c r="C86" s="72">
        <v>111.685</v>
      </c>
      <c r="D86" s="72">
        <v>111.685</v>
      </c>
      <c r="E86" s="72">
        <v>111.685</v>
      </c>
      <c r="F86" s="72">
        <v>111.685</v>
      </c>
      <c r="G86" s="72">
        <v>111.685</v>
      </c>
      <c r="H86" s="72">
        <v>111.685</v>
      </c>
      <c r="I86" s="72">
        <v>111.685</v>
      </c>
      <c r="J86" s="72">
        <v>100</v>
      </c>
      <c r="K86" s="72">
        <v>14</v>
      </c>
      <c r="L86" s="72" t="s">
        <v>205</v>
      </c>
      <c r="M86" s="72" t="s">
        <v>206</v>
      </c>
      <c r="N86" s="72"/>
      <c r="O86" s="4" t="s">
        <v>108</v>
      </c>
      <c r="P86" s="10">
        <v>100</v>
      </c>
      <c r="Q86" s="5">
        <f t="shared" si="34"/>
        <v>111.685</v>
      </c>
      <c r="R86" s="5">
        <f t="shared" si="34"/>
        <v>111.685</v>
      </c>
      <c r="S86" s="5">
        <f t="shared" si="34"/>
        <v>111.685</v>
      </c>
      <c r="T86" s="5">
        <f t="shared" si="34"/>
        <v>111.685</v>
      </c>
      <c r="U86" s="5">
        <f t="shared" si="34"/>
        <v>111.685</v>
      </c>
      <c r="V86" s="5">
        <f t="shared" si="34"/>
        <v>111.685</v>
      </c>
      <c r="W86" s="5">
        <f t="shared" si="34"/>
        <v>111.685</v>
      </c>
      <c r="X86" s="211"/>
    </row>
    <row r="87" spans="1:24" s="212" customFormat="1">
      <c r="A87" s="4"/>
      <c r="B87" s="4" t="s">
        <v>213</v>
      </c>
      <c r="C87" s="72">
        <v>33.219000000000001</v>
      </c>
      <c r="D87" s="72">
        <v>61.505000000000003</v>
      </c>
      <c r="E87" s="72">
        <v>46.932000000000002</v>
      </c>
      <c r="F87" s="72">
        <v>61.456000000000003</v>
      </c>
      <c r="G87" s="72">
        <v>67.015000000000001</v>
      </c>
      <c r="H87" s="72">
        <v>72.570999999999998</v>
      </c>
      <c r="I87" s="72">
        <v>79.688000000000002</v>
      </c>
      <c r="J87" s="72">
        <v>100</v>
      </c>
      <c r="K87" s="72">
        <v>14</v>
      </c>
      <c r="L87" s="72" t="s">
        <v>205</v>
      </c>
      <c r="M87" s="72" t="s">
        <v>121</v>
      </c>
      <c r="N87" s="72"/>
      <c r="O87" s="7" t="s">
        <v>108</v>
      </c>
      <c r="P87" s="10">
        <v>100</v>
      </c>
      <c r="Q87" s="5">
        <f t="shared" si="34"/>
        <v>33.219000000000001</v>
      </c>
      <c r="R87" s="5">
        <f t="shared" si="34"/>
        <v>61.505000000000003</v>
      </c>
      <c r="S87" s="5">
        <f t="shared" si="34"/>
        <v>46.932000000000002</v>
      </c>
      <c r="T87" s="5">
        <f t="shared" si="34"/>
        <v>61.456000000000003</v>
      </c>
      <c r="U87" s="5">
        <f t="shared" si="34"/>
        <v>67.015000000000001</v>
      </c>
      <c r="V87" s="5">
        <f t="shared" si="34"/>
        <v>72.570999999999998</v>
      </c>
      <c r="W87" s="5">
        <f t="shared" si="34"/>
        <v>79.688000000000002</v>
      </c>
      <c r="X87" s="225"/>
    </row>
    <row r="88" spans="1:24">
      <c r="A88" s="72" t="s">
        <v>214</v>
      </c>
      <c r="B88" s="72" t="s">
        <v>215</v>
      </c>
      <c r="C88" s="72">
        <v>11.500999999999999</v>
      </c>
      <c r="D88" s="72">
        <v>26.976000000000003</v>
      </c>
      <c r="E88" s="72">
        <v>27.879999999999995</v>
      </c>
      <c r="F88" s="72">
        <v>38.594999999999999</v>
      </c>
      <c r="G88" s="72">
        <v>57.512</v>
      </c>
      <c r="H88" s="72">
        <v>56.554999999999993</v>
      </c>
      <c r="I88" s="72">
        <v>55.871999999999993</v>
      </c>
      <c r="J88" s="72">
        <v>100</v>
      </c>
      <c r="K88" s="72">
        <v>14</v>
      </c>
      <c r="L88" s="72" t="s">
        <v>205</v>
      </c>
      <c r="M88" s="72" t="s">
        <v>148</v>
      </c>
      <c r="N88" s="72"/>
      <c r="O88" s="7" t="s">
        <v>108</v>
      </c>
      <c r="P88" s="10">
        <v>100</v>
      </c>
      <c r="Q88" s="5">
        <f t="shared" si="34"/>
        <v>11.500999999999999</v>
      </c>
      <c r="R88" s="5">
        <f t="shared" si="34"/>
        <v>26.976000000000003</v>
      </c>
      <c r="S88" s="5">
        <f t="shared" si="34"/>
        <v>27.879999999999995</v>
      </c>
      <c r="T88" s="5">
        <f t="shared" si="34"/>
        <v>38.594999999999999</v>
      </c>
      <c r="U88" s="5">
        <f t="shared" si="34"/>
        <v>57.512</v>
      </c>
      <c r="V88" s="5">
        <f t="shared" si="34"/>
        <v>56.554999999999993</v>
      </c>
      <c r="W88" s="5">
        <f t="shared" si="34"/>
        <v>55.871999999999993</v>
      </c>
      <c r="X88" s="5"/>
    </row>
    <row r="89" spans="1:24" s="212" customFormat="1">
      <c r="A89" s="72" t="s">
        <v>214</v>
      </c>
      <c r="B89" s="72" t="s">
        <v>216</v>
      </c>
      <c r="C89" s="72">
        <v>0</v>
      </c>
      <c r="D89" s="72">
        <v>8.8520000000000003</v>
      </c>
      <c r="E89" s="72">
        <v>12.484</v>
      </c>
      <c r="F89" s="72">
        <v>14.827</v>
      </c>
      <c r="G89" s="72">
        <v>18.079999999999998</v>
      </c>
      <c r="H89" s="72">
        <v>14.087</v>
      </c>
      <c r="I89" s="72">
        <v>14.112</v>
      </c>
      <c r="J89" s="72"/>
      <c r="K89" s="72">
        <v>14</v>
      </c>
      <c r="L89" s="72" t="s">
        <v>205</v>
      </c>
      <c r="M89" s="72" t="s">
        <v>217</v>
      </c>
      <c r="N89" s="72"/>
      <c r="O89" s="7" t="s">
        <v>108</v>
      </c>
      <c r="P89" s="10">
        <v>100</v>
      </c>
      <c r="Q89" s="5">
        <f t="shared" si="34"/>
        <v>0</v>
      </c>
      <c r="R89" s="5">
        <f t="shared" si="34"/>
        <v>8.8520000000000003</v>
      </c>
      <c r="S89" s="5">
        <f t="shared" si="34"/>
        <v>12.484</v>
      </c>
      <c r="T89" s="5">
        <f t="shared" si="34"/>
        <v>14.827</v>
      </c>
      <c r="U89" s="5">
        <f t="shared" si="34"/>
        <v>18.079999999999998</v>
      </c>
      <c r="V89" s="5">
        <f t="shared" si="34"/>
        <v>14.087</v>
      </c>
      <c r="W89" s="5">
        <f t="shared" si="34"/>
        <v>14.112</v>
      </c>
      <c r="X89" s="225"/>
    </row>
    <row r="90" spans="1:24" s="3" customFormat="1" ht="14.4">
      <c r="B90" s="3" t="s">
        <v>218</v>
      </c>
      <c r="C90" s="9">
        <f t="shared" ref="C90:I90" si="35">SUM(C82:C89)</f>
        <v>253.67699999999999</v>
      </c>
      <c r="D90" s="9">
        <f t="shared" si="35"/>
        <v>319.71199999999999</v>
      </c>
      <c r="E90" s="9">
        <f t="shared" si="35"/>
        <v>315.779</v>
      </c>
      <c r="F90" s="9">
        <f t="shared" si="35"/>
        <v>350.553</v>
      </c>
      <c r="G90" s="9">
        <f t="shared" si="35"/>
        <v>385.96899999999999</v>
      </c>
      <c r="H90" s="9">
        <f t="shared" si="35"/>
        <v>387.36799999999999</v>
      </c>
      <c r="I90" s="9">
        <f t="shared" si="35"/>
        <v>396.97200000000004</v>
      </c>
      <c r="J90" s="9"/>
      <c r="L90" s="1"/>
      <c r="P90" s="54"/>
      <c r="Q90" s="6">
        <f t="shared" ref="Q90:W90" si="36">SUM(Q82:Q89)</f>
        <v>253.67699999999999</v>
      </c>
      <c r="R90" s="6">
        <f t="shared" si="36"/>
        <v>319.71199999999999</v>
      </c>
      <c r="S90" s="6">
        <f t="shared" si="36"/>
        <v>315.779</v>
      </c>
      <c r="T90" s="6">
        <f t="shared" si="36"/>
        <v>350.553</v>
      </c>
      <c r="U90" s="6">
        <f t="shared" si="36"/>
        <v>385.96899999999999</v>
      </c>
      <c r="V90" s="6">
        <f t="shared" si="36"/>
        <v>387.36799999999999</v>
      </c>
      <c r="W90" s="6">
        <f t="shared" si="36"/>
        <v>396.97200000000004</v>
      </c>
    </row>
    <row r="91" spans="1:24" s="3" customFormat="1" ht="14.4">
      <c r="C91" s="9"/>
      <c r="D91" s="9"/>
      <c r="E91" s="9"/>
      <c r="F91" s="9"/>
      <c r="G91" s="9"/>
      <c r="H91" s="9"/>
      <c r="I91" s="9"/>
      <c r="K91" s="9"/>
      <c r="L91" s="1"/>
      <c r="P91" s="54"/>
      <c r="Q91" s="6"/>
      <c r="R91" s="6"/>
      <c r="S91" s="6"/>
      <c r="T91" s="6"/>
      <c r="U91" s="6"/>
      <c r="V91" s="6"/>
      <c r="W91" s="6"/>
    </row>
    <row r="92" spans="1:24" s="3" customFormat="1" ht="14.4">
      <c r="A92" s="12"/>
      <c r="B92" s="12" t="s">
        <v>219</v>
      </c>
      <c r="C92" s="47"/>
      <c r="D92" s="47"/>
      <c r="E92" s="47"/>
      <c r="F92" s="47"/>
      <c r="G92" s="47"/>
      <c r="H92" s="47"/>
      <c r="I92" s="47"/>
      <c r="J92" s="22"/>
      <c r="K92" s="21"/>
      <c r="L92" s="69"/>
      <c r="M92" s="69"/>
      <c r="N92" s="69"/>
      <c r="O92" s="21"/>
      <c r="P92" s="21" t="s">
        <v>219</v>
      </c>
      <c r="Q92" s="191"/>
      <c r="R92" s="191"/>
      <c r="S92" s="191"/>
      <c r="T92" s="191"/>
      <c r="U92" s="191"/>
      <c r="V92" s="191"/>
      <c r="W92" s="191"/>
    </row>
    <row r="93" spans="1:24" s="3" customFormat="1" ht="14.4">
      <c r="A93" s="317" t="s">
        <v>221</v>
      </c>
      <c r="B93" s="317" t="s">
        <v>222</v>
      </c>
      <c r="C93" s="333">
        <v>4.367</v>
      </c>
      <c r="D93" s="333">
        <v>4.4370000000000003</v>
      </c>
      <c r="E93" s="333">
        <v>4.2939999999999996</v>
      </c>
      <c r="F93" s="333">
        <v>4.0179999999999998</v>
      </c>
      <c r="G93" s="333">
        <v>3.7029999999999998</v>
      </c>
      <c r="H93" s="333">
        <v>3.5590000000000002</v>
      </c>
      <c r="I93" s="333">
        <v>3.863</v>
      </c>
      <c r="J93" s="334">
        <v>25</v>
      </c>
      <c r="K93" s="317">
        <v>4</v>
      </c>
      <c r="L93" s="337" t="s">
        <v>223</v>
      </c>
      <c r="M93" s="317" t="s">
        <v>224</v>
      </c>
      <c r="N93" s="317"/>
      <c r="O93" s="317" t="s">
        <v>130</v>
      </c>
      <c r="P93" s="335"/>
      <c r="Q93" s="312">
        <f t="shared" ref="Q93:Q120" si="37">$P93*C93/100</f>
        <v>0</v>
      </c>
      <c r="R93" s="312">
        <f t="shared" ref="R93:R120" si="38">$P93*D93/100</f>
        <v>0</v>
      </c>
      <c r="S93" s="312">
        <f t="shared" ref="S93:S120" si="39">$P93*E93/100</f>
        <v>0</v>
      </c>
      <c r="T93" s="312">
        <f t="shared" ref="T93:T120" si="40">$P93*F93/100</f>
        <v>0</v>
      </c>
      <c r="U93" s="312">
        <f t="shared" ref="U93:U120" si="41">$P93*G93/100</f>
        <v>0</v>
      </c>
      <c r="V93" s="312">
        <f t="shared" ref="V93:V120" si="42">$P93*H93/100</f>
        <v>0</v>
      </c>
      <c r="W93" s="312">
        <f t="shared" ref="W93:W120" si="43">$P93*I93/100</f>
        <v>0</v>
      </c>
    </row>
    <row r="94" spans="1:24" s="3" customFormat="1" ht="14.4">
      <c r="A94" s="317" t="s">
        <v>225</v>
      </c>
      <c r="B94" s="317" t="s">
        <v>226</v>
      </c>
      <c r="C94" s="333">
        <v>1.8660000000000001</v>
      </c>
      <c r="D94" s="333">
        <v>0</v>
      </c>
      <c r="E94" s="333">
        <v>0</v>
      </c>
      <c r="F94" s="333">
        <v>0</v>
      </c>
      <c r="G94" s="333">
        <v>0</v>
      </c>
      <c r="H94" s="333">
        <v>0</v>
      </c>
      <c r="I94" s="333">
        <v>0</v>
      </c>
      <c r="J94" s="334">
        <v>0.3</v>
      </c>
      <c r="K94" s="317">
        <v>4</v>
      </c>
      <c r="L94" s="337" t="s">
        <v>223</v>
      </c>
      <c r="M94" s="317" t="s">
        <v>227</v>
      </c>
      <c r="N94" s="317"/>
      <c r="O94" s="317" t="s">
        <v>130</v>
      </c>
      <c r="P94" s="335"/>
      <c r="Q94" s="312">
        <f t="shared" si="37"/>
        <v>0</v>
      </c>
      <c r="R94" s="312">
        <f t="shared" si="38"/>
        <v>0</v>
      </c>
      <c r="S94" s="312">
        <f t="shared" si="39"/>
        <v>0</v>
      </c>
      <c r="T94" s="312">
        <f t="shared" si="40"/>
        <v>0</v>
      </c>
      <c r="U94" s="312">
        <f t="shared" si="41"/>
        <v>0</v>
      </c>
      <c r="V94" s="312">
        <f t="shared" si="42"/>
        <v>0</v>
      </c>
      <c r="W94" s="312">
        <f t="shared" si="43"/>
        <v>0</v>
      </c>
    </row>
    <row r="95" spans="1:24" s="3" customFormat="1" ht="14.4">
      <c r="A95" s="317" t="s">
        <v>225</v>
      </c>
      <c r="B95" s="317" t="s">
        <v>228</v>
      </c>
      <c r="C95" s="333">
        <v>0.09</v>
      </c>
      <c r="D95" s="333">
        <v>0.09</v>
      </c>
      <c r="E95" s="333">
        <v>0.09</v>
      </c>
      <c r="F95" s="333">
        <v>0.09</v>
      </c>
      <c r="G95" s="336">
        <v>0.09</v>
      </c>
      <c r="H95" s="336">
        <v>0.09</v>
      </c>
      <c r="I95" s="336">
        <v>0.09</v>
      </c>
      <c r="J95" s="334">
        <v>0</v>
      </c>
      <c r="K95" s="317">
        <v>4</v>
      </c>
      <c r="L95" s="337" t="s">
        <v>223</v>
      </c>
      <c r="M95" s="317" t="s">
        <v>229</v>
      </c>
      <c r="N95" s="317"/>
      <c r="O95" s="317" t="s">
        <v>130</v>
      </c>
      <c r="P95" s="335"/>
      <c r="Q95" s="312">
        <f t="shared" si="37"/>
        <v>0</v>
      </c>
      <c r="R95" s="312">
        <f t="shared" si="38"/>
        <v>0</v>
      </c>
      <c r="S95" s="312">
        <f t="shared" si="39"/>
        <v>0</v>
      </c>
      <c r="T95" s="312">
        <f t="shared" si="40"/>
        <v>0</v>
      </c>
      <c r="U95" s="312">
        <f t="shared" si="41"/>
        <v>0</v>
      </c>
      <c r="V95" s="312">
        <f t="shared" si="42"/>
        <v>0</v>
      </c>
      <c r="W95" s="312">
        <f t="shared" si="43"/>
        <v>0</v>
      </c>
    </row>
    <row r="96" spans="1:24" s="3" customFormat="1" ht="14.4">
      <c r="A96" s="317" t="s">
        <v>225</v>
      </c>
      <c r="B96" s="317" t="s">
        <v>230</v>
      </c>
      <c r="C96" s="333">
        <v>0.45</v>
      </c>
      <c r="D96" s="333">
        <v>0.45</v>
      </c>
      <c r="E96" s="333">
        <v>0.45</v>
      </c>
      <c r="F96" s="333">
        <v>0</v>
      </c>
      <c r="G96" s="333">
        <v>0.45</v>
      </c>
      <c r="H96" s="333">
        <v>0.45</v>
      </c>
      <c r="I96" s="333">
        <v>0.45</v>
      </c>
      <c r="J96" s="334">
        <v>0.1</v>
      </c>
      <c r="K96" s="317">
        <v>4</v>
      </c>
      <c r="L96" s="337" t="s">
        <v>223</v>
      </c>
      <c r="M96" s="317" t="s">
        <v>231</v>
      </c>
      <c r="N96" s="317"/>
      <c r="O96" s="317" t="s">
        <v>130</v>
      </c>
      <c r="P96" s="335"/>
      <c r="Q96" s="312">
        <f t="shared" si="37"/>
        <v>0</v>
      </c>
      <c r="R96" s="312">
        <f t="shared" si="38"/>
        <v>0</v>
      </c>
      <c r="S96" s="312">
        <f t="shared" si="39"/>
        <v>0</v>
      </c>
      <c r="T96" s="312">
        <f t="shared" si="40"/>
        <v>0</v>
      </c>
      <c r="U96" s="312">
        <f t="shared" si="41"/>
        <v>0</v>
      </c>
      <c r="V96" s="312">
        <f t="shared" si="42"/>
        <v>0</v>
      </c>
      <c r="W96" s="312">
        <f t="shared" si="43"/>
        <v>0</v>
      </c>
    </row>
    <row r="97" spans="1:23" s="3" customFormat="1" ht="14.4">
      <c r="A97" s="317" t="s">
        <v>225</v>
      </c>
      <c r="B97" s="317" t="s">
        <v>232</v>
      </c>
      <c r="C97" s="333">
        <v>0.36299999999999999</v>
      </c>
      <c r="D97" s="333">
        <v>0.36299999999999999</v>
      </c>
      <c r="E97" s="333">
        <v>0.36299999999999999</v>
      </c>
      <c r="F97" s="333">
        <v>0.36299999999999999</v>
      </c>
      <c r="G97" s="333">
        <v>0.36299999999999999</v>
      </c>
      <c r="H97" s="333">
        <v>0.36299999999999999</v>
      </c>
      <c r="I97" s="333">
        <v>0.36299999999999999</v>
      </c>
      <c r="J97" s="334">
        <v>0.1</v>
      </c>
      <c r="K97" s="317">
        <v>4</v>
      </c>
      <c r="L97" s="337" t="s">
        <v>223</v>
      </c>
      <c r="M97" s="317" t="s">
        <v>233</v>
      </c>
      <c r="N97" s="317"/>
      <c r="O97" s="317" t="s">
        <v>130</v>
      </c>
      <c r="P97" s="335"/>
      <c r="Q97" s="312">
        <f t="shared" si="37"/>
        <v>0</v>
      </c>
      <c r="R97" s="312">
        <f t="shared" si="38"/>
        <v>0</v>
      </c>
      <c r="S97" s="312">
        <f t="shared" si="39"/>
        <v>0</v>
      </c>
      <c r="T97" s="312">
        <f t="shared" si="40"/>
        <v>0</v>
      </c>
      <c r="U97" s="312">
        <f t="shared" si="41"/>
        <v>0</v>
      </c>
      <c r="V97" s="312">
        <f t="shared" si="42"/>
        <v>0</v>
      </c>
      <c r="W97" s="312">
        <f t="shared" si="43"/>
        <v>0</v>
      </c>
    </row>
    <row r="98" spans="1:23" s="3" customFormat="1" ht="14.4">
      <c r="A98" s="317" t="s">
        <v>234</v>
      </c>
      <c r="B98" s="317" t="s">
        <v>235</v>
      </c>
      <c r="C98" s="333">
        <v>0</v>
      </c>
      <c r="D98" s="333">
        <v>0</v>
      </c>
      <c r="E98" s="333">
        <v>0</v>
      </c>
      <c r="F98" s="333">
        <v>0</v>
      </c>
      <c r="G98" s="333">
        <v>0</v>
      </c>
      <c r="H98" s="333">
        <v>0</v>
      </c>
      <c r="I98" s="333">
        <v>0</v>
      </c>
      <c r="J98" s="334">
        <v>0</v>
      </c>
      <c r="K98" s="317">
        <v>4</v>
      </c>
      <c r="L98" s="337" t="s">
        <v>223</v>
      </c>
      <c r="M98" s="317" t="s">
        <v>236</v>
      </c>
      <c r="N98" s="317"/>
      <c r="O98" s="317" t="s">
        <v>130</v>
      </c>
      <c r="P98" s="335"/>
      <c r="Q98" s="312">
        <f t="shared" ref="Q98" si="44">$P98*C98/100</f>
        <v>0</v>
      </c>
      <c r="R98" s="312">
        <f t="shared" ref="R98" si="45">$P98*D98/100</f>
        <v>0</v>
      </c>
      <c r="S98" s="312">
        <f t="shared" ref="S98" si="46">$P98*E98/100</f>
        <v>0</v>
      </c>
      <c r="T98" s="312">
        <f t="shared" ref="T98" si="47">$P98*F98/100</f>
        <v>0</v>
      </c>
      <c r="U98" s="312">
        <f t="shared" ref="U98" si="48">$P98*G98/100</f>
        <v>0</v>
      </c>
      <c r="V98" s="312">
        <f t="shared" ref="V98" si="49">$P98*H98/100</f>
        <v>0</v>
      </c>
      <c r="W98" s="312">
        <f t="shared" ref="W98" si="50">$P98*I98/100</f>
        <v>0</v>
      </c>
    </row>
    <row r="99" spans="1:23" s="3" customFormat="1" ht="14.4">
      <c r="A99" s="317" t="s">
        <v>225</v>
      </c>
      <c r="B99" s="317" t="s">
        <v>237</v>
      </c>
      <c r="C99" s="333">
        <v>2.3E-2</v>
      </c>
      <c r="D99" s="333">
        <v>2.3E-2</v>
      </c>
      <c r="E99" s="333">
        <v>0</v>
      </c>
      <c r="F99" s="333">
        <v>0</v>
      </c>
      <c r="G99" s="333">
        <v>0</v>
      </c>
      <c r="H99" s="333">
        <v>0</v>
      </c>
      <c r="I99" s="333">
        <v>0</v>
      </c>
      <c r="J99" s="334">
        <v>0</v>
      </c>
      <c r="K99" s="317">
        <v>4</v>
      </c>
      <c r="L99" s="337" t="s">
        <v>223</v>
      </c>
      <c r="M99" s="317" t="s">
        <v>237</v>
      </c>
      <c r="N99" s="317"/>
      <c r="O99" s="317" t="s">
        <v>130</v>
      </c>
      <c r="P99" s="335"/>
      <c r="Q99" s="312">
        <f t="shared" si="37"/>
        <v>0</v>
      </c>
      <c r="R99" s="312">
        <f t="shared" si="38"/>
        <v>0</v>
      </c>
      <c r="S99" s="312">
        <f t="shared" si="39"/>
        <v>0</v>
      </c>
      <c r="T99" s="312">
        <f t="shared" si="40"/>
        <v>0</v>
      </c>
      <c r="U99" s="312">
        <f t="shared" si="41"/>
        <v>0</v>
      </c>
      <c r="V99" s="312">
        <f t="shared" si="42"/>
        <v>0</v>
      </c>
      <c r="W99" s="312">
        <f t="shared" si="43"/>
        <v>0</v>
      </c>
    </row>
    <row r="100" spans="1:23" s="3" customFormat="1" ht="14.4">
      <c r="A100" s="317" t="s">
        <v>225</v>
      </c>
      <c r="B100" s="317" t="s">
        <v>238</v>
      </c>
      <c r="C100" s="333">
        <v>0.45</v>
      </c>
      <c r="D100" s="333">
        <v>0.45</v>
      </c>
      <c r="E100" s="333">
        <v>0.6</v>
      </c>
      <c r="F100" s="333">
        <v>0.2</v>
      </c>
      <c r="G100" s="333">
        <v>0.2</v>
      </c>
      <c r="H100" s="333">
        <v>0.2</v>
      </c>
      <c r="I100" s="333">
        <v>0.2</v>
      </c>
      <c r="J100" s="334">
        <v>0.1</v>
      </c>
      <c r="K100" s="317">
        <v>4</v>
      </c>
      <c r="L100" s="337" t="s">
        <v>223</v>
      </c>
      <c r="M100" s="317" t="s">
        <v>239</v>
      </c>
      <c r="N100" s="317"/>
      <c r="O100" s="317" t="s">
        <v>130</v>
      </c>
      <c r="P100" s="335"/>
      <c r="Q100" s="312">
        <f t="shared" si="37"/>
        <v>0</v>
      </c>
      <c r="R100" s="312">
        <f t="shared" si="38"/>
        <v>0</v>
      </c>
      <c r="S100" s="312">
        <f t="shared" si="39"/>
        <v>0</v>
      </c>
      <c r="T100" s="312">
        <f t="shared" si="40"/>
        <v>0</v>
      </c>
      <c r="U100" s="312">
        <f t="shared" si="41"/>
        <v>0</v>
      </c>
      <c r="V100" s="312">
        <f t="shared" si="42"/>
        <v>0</v>
      </c>
      <c r="W100" s="312">
        <f t="shared" si="43"/>
        <v>0</v>
      </c>
    </row>
    <row r="101" spans="1:23" s="3" customFormat="1" ht="14.4">
      <c r="A101" s="317" t="s">
        <v>225</v>
      </c>
      <c r="B101" s="317" t="s">
        <v>240</v>
      </c>
      <c r="C101" s="333">
        <v>0.67500000000000004</v>
      </c>
      <c r="D101" s="333">
        <v>0.67500000000000004</v>
      </c>
      <c r="E101" s="333">
        <v>0.67500000000000004</v>
      </c>
      <c r="F101" s="333">
        <v>0.67500000000000004</v>
      </c>
      <c r="G101" s="333">
        <v>0.67500000000000004</v>
      </c>
      <c r="H101" s="333">
        <v>0.67500000000000004</v>
      </c>
      <c r="I101" s="333">
        <v>0.67500000000000004</v>
      </c>
      <c r="J101" s="334">
        <v>0.1</v>
      </c>
      <c r="K101" s="317">
        <v>4</v>
      </c>
      <c r="L101" s="337" t="s">
        <v>223</v>
      </c>
      <c r="M101" s="317" t="s">
        <v>241</v>
      </c>
      <c r="N101" s="317"/>
      <c r="O101" s="317" t="s">
        <v>130</v>
      </c>
      <c r="P101" s="335"/>
      <c r="Q101" s="312">
        <f t="shared" si="37"/>
        <v>0</v>
      </c>
      <c r="R101" s="312">
        <f t="shared" si="38"/>
        <v>0</v>
      </c>
      <c r="S101" s="312">
        <f t="shared" si="39"/>
        <v>0</v>
      </c>
      <c r="T101" s="312">
        <f t="shared" si="40"/>
        <v>0</v>
      </c>
      <c r="U101" s="312">
        <f t="shared" si="41"/>
        <v>0</v>
      </c>
      <c r="V101" s="312">
        <f t="shared" si="42"/>
        <v>0</v>
      </c>
      <c r="W101" s="312">
        <f t="shared" si="43"/>
        <v>0</v>
      </c>
    </row>
    <row r="102" spans="1:23" s="3" customFormat="1" ht="14.4">
      <c r="A102" s="317" t="s">
        <v>225</v>
      </c>
      <c r="B102" s="317" t="s">
        <v>242</v>
      </c>
      <c r="C102" s="333">
        <v>1.1659999999999999</v>
      </c>
      <c r="D102" s="317">
        <v>1.1659999999999999</v>
      </c>
      <c r="E102" s="317">
        <v>1.3660000000000001</v>
      </c>
      <c r="F102" s="317">
        <v>1.3660000000000001</v>
      </c>
      <c r="G102" s="317">
        <v>1.3660000000000001</v>
      </c>
      <c r="H102" s="317">
        <v>1.3660000000000001</v>
      </c>
      <c r="I102" s="317">
        <v>1.3660000000000001</v>
      </c>
      <c r="J102" s="317">
        <v>0.2</v>
      </c>
      <c r="K102" s="317">
        <v>4</v>
      </c>
      <c r="L102" s="337" t="s">
        <v>223</v>
      </c>
      <c r="M102" s="317" t="s">
        <v>243</v>
      </c>
      <c r="N102" s="317"/>
      <c r="O102" s="317" t="s">
        <v>130</v>
      </c>
      <c r="P102" s="317"/>
      <c r="Q102" s="312">
        <f t="shared" si="37"/>
        <v>0</v>
      </c>
      <c r="R102" s="312">
        <f t="shared" si="38"/>
        <v>0</v>
      </c>
      <c r="S102" s="312">
        <f t="shared" si="39"/>
        <v>0</v>
      </c>
      <c r="T102" s="312">
        <f t="shared" si="40"/>
        <v>0</v>
      </c>
      <c r="U102" s="312">
        <f t="shared" si="41"/>
        <v>0</v>
      </c>
      <c r="V102" s="312">
        <f t="shared" si="42"/>
        <v>0</v>
      </c>
      <c r="W102" s="312">
        <f t="shared" si="43"/>
        <v>0</v>
      </c>
    </row>
    <row r="103" spans="1:23" s="3" customFormat="1" ht="14.4">
      <c r="A103" s="317" t="s">
        <v>244</v>
      </c>
      <c r="B103" s="317" t="s">
        <v>245</v>
      </c>
      <c r="C103" s="333">
        <v>0.35</v>
      </c>
      <c r="D103" s="333">
        <v>0.35</v>
      </c>
      <c r="E103" s="333">
        <v>0.45</v>
      </c>
      <c r="F103" s="333">
        <v>0.45</v>
      </c>
      <c r="G103" s="333">
        <v>0.45</v>
      </c>
      <c r="H103" s="333">
        <v>0.45</v>
      </c>
      <c r="I103" s="333">
        <v>0.45</v>
      </c>
      <c r="J103" s="317">
        <v>0.1</v>
      </c>
      <c r="K103" s="317">
        <v>4</v>
      </c>
      <c r="L103" s="337" t="s">
        <v>223</v>
      </c>
      <c r="M103" s="317" t="s">
        <v>243</v>
      </c>
      <c r="N103" s="317"/>
      <c r="O103" s="317" t="s">
        <v>130</v>
      </c>
      <c r="P103" s="317"/>
      <c r="Q103" s="312">
        <f t="shared" si="37"/>
        <v>0</v>
      </c>
      <c r="R103" s="312">
        <f t="shared" si="38"/>
        <v>0</v>
      </c>
      <c r="S103" s="312">
        <f t="shared" si="39"/>
        <v>0</v>
      </c>
      <c r="T103" s="312">
        <f t="shared" si="40"/>
        <v>0</v>
      </c>
      <c r="U103" s="312">
        <f t="shared" si="41"/>
        <v>0</v>
      </c>
      <c r="V103" s="312">
        <f t="shared" si="42"/>
        <v>0</v>
      </c>
      <c r="W103" s="312">
        <f t="shared" si="43"/>
        <v>0</v>
      </c>
    </row>
    <row r="104" spans="1:23" s="3" customFormat="1" ht="14.4">
      <c r="A104" s="317" t="s">
        <v>225</v>
      </c>
      <c r="B104" s="317" t="s">
        <v>246</v>
      </c>
      <c r="C104" s="333">
        <v>0</v>
      </c>
      <c r="D104" s="333">
        <v>0.25</v>
      </c>
      <c r="E104" s="333">
        <v>0.25</v>
      </c>
      <c r="F104" s="333">
        <v>0.25</v>
      </c>
      <c r="G104" s="333">
        <v>0.25</v>
      </c>
      <c r="H104" s="333">
        <v>0</v>
      </c>
      <c r="I104" s="333">
        <v>0</v>
      </c>
      <c r="J104" s="317"/>
      <c r="K104" s="317"/>
      <c r="L104" s="337"/>
      <c r="M104" s="317"/>
      <c r="N104" s="317"/>
      <c r="O104" s="317" t="s">
        <v>130</v>
      </c>
      <c r="P104" s="317"/>
      <c r="Q104" s="312">
        <f t="shared" ref="Q104" si="51">$P104*C104/100</f>
        <v>0</v>
      </c>
      <c r="R104" s="312">
        <f t="shared" ref="R104" si="52">$P104*D104/100</f>
        <v>0</v>
      </c>
      <c r="S104" s="312">
        <f t="shared" ref="S104" si="53">$P104*E104/100</f>
        <v>0</v>
      </c>
      <c r="T104" s="312">
        <f t="shared" ref="T104" si="54">$P104*F104/100</f>
        <v>0</v>
      </c>
      <c r="U104" s="312">
        <f t="shared" ref="U104" si="55">$P104*G104/100</f>
        <v>0</v>
      </c>
      <c r="V104" s="312">
        <f t="shared" ref="V104" si="56">$P104*H104/100</f>
        <v>0</v>
      </c>
      <c r="W104" s="312">
        <f t="shared" ref="W104" si="57">$P104*I104/100</f>
        <v>0</v>
      </c>
    </row>
    <row r="105" spans="1:23" s="3" customFormat="1" ht="14.4">
      <c r="A105" s="317"/>
      <c r="B105" s="317" t="s">
        <v>247</v>
      </c>
      <c r="C105" s="333">
        <v>41</v>
      </c>
      <c r="D105" s="333">
        <v>51</v>
      </c>
      <c r="E105" s="333">
        <v>51</v>
      </c>
      <c r="F105" s="333">
        <v>51</v>
      </c>
      <c r="G105" s="333">
        <v>51</v>
      </c>
      <c r="H105" s="333">
        <v>51</v>
      </c>
      <c r="I105" s="333">
        <v>51</v>
      </c>
      <c r="J105" s="317">
        <v>100</v>
      </c>
      <c r="K105" s="317">
        <v>8</v>
      </c>
      <c r="L105" s="337" t="s">
        <v>248</v>
      </c>
      <c r="M105" s="317" t="s">
        <v>247</v>
      </c>
      <c r="N105" s="317"/>
      <c r="O105" s="317" t="s">
        <v>130</v>
      </c>
      <c r="P105" s="317">
        <v>20</v>
      </c>
      <c r="Q105" s="312">
        <f t="shared" si="37"/>
        <v>8.1999999999999993</v>
      </c>
      <c r="R105" s="312">
        <f t="shared" si="38"/>
        <v>10.199999999999999</v>
      </c>
      <c r="S105" s="312">
        <f t="shared" si="39"/>
        <v>10.199999999999999</v>
      </c>
      <c r="T105" s="312">
        <f t="shared" si="40"/>
        <v>10.199999999999999</v>
      </c>
      <c r="U105" s="312">
        <f t="shared" si="41"/>
        <v>10.199999999999999</v>
      </c>
      <c r="V105" s="312">
        <f t="shared" si="42"/>
        <v>10.199999999999999</v>
      </c>
      <c r="W105" s="312">
        <f t="shared" si="43"/>
        <v>10.199999999999999</v>
      </c>
    </row>
    <row r="106" spans="1:23" s="3" customFormat="1" ht="14.4">
      <c r="A106" s="317" t="s">
        <v>249</v>
      </c>
      <c r="B106" s="317" t="s">
        <v>250</v>
      </c>
      <c r="C106" s="333">
        <v>31</v>
      </c>
      <c r="D106" s="333">
        <v>31</v>
      </c>
      <c r="E106" s="333">
        <v>31</v>
      </c>
      <c r="F106" s="333">
        <v>31</v>
      </c>
      <c r="G106" s="333">
        <v>31</v>
      </c>
      <c r="H106" s="333">
        <v>31</v>
      </c>
      <c r="I106" s="333">
        <v>31</v>
      </c>
      <c r="J106" s="317">
        <v>100</v>
      </c>
      <c r="K106" s="317">
        <v>8</v>
      </c>
      <c r="L106" s="337" t="s">
        <v>248</v>
      </c>
      <c r="M106" s="317" t="s">
        <v>251</v>
      </c>
      <c r="N106" s="317"/>
      <c r="O106" s="317" t="s">
        <v>130</v>
      </c>
      <c r="P106" s="317">
        <v>50</v>
      </c>
      <c r="Q106" s="312">
        <f t="shared" si="37"/>
        <v>15.5</v>
      </c>
      <c r="R106" s="312">
        <f t="shared" si="38"/>
        <v>15.5</v>
      </c>
      <c r="S106" s="312">
        <f t="shared" si="39"/>
        <v>15.5</v>
      </c>
      <c r="T106" s="312">
        <f t="shared" si="40"/>
        <v>15.5</v>
      </c>
      <c r="U106" s="312">
        <f t="shared" si="41"/>
        <v>15.5</v>
      </c>
      <c r="V106" s="312">
        <f t="shared" si="42"/>
        <v>15.5</v>
      </c>
      <c r="W106" s="312">
        <f t="shared" si="43"/>
        <v>15.5</v>
      </c>
    </row>
    <row r="107" spans="1:23" s="3" customFormat="1" ht="14.4">
      <c r="A107" s="317"/>
      <c r="B107" s="317" t="s">
        <v>252</v>
      </c>
      <c r="C107" s="333">
        <v>26</v>
      </c>
      <c r="D107" s="333">
        <v>33</v>
      </c>
      <c r="E107" s="333">
        <v>33</v>
      </c>
      <c r="F107" s="333">
        <v>33</v>
      </c>
      <c r="G107" s="333">
        <v>33</v>
      </c>
      <c r="H107" s="333">
        <v>33</v>
      </c>
      <c r="I107" s="333">
        <v>33</v>
      </c>
      <c r="J107" s="317">
        <v>0</v>
      </c>
      <c r="K107" s="317">
        <v>8</v>
      </c>
      <c r="L107" s="337" t="s">
        <v>248</v>
      </c>
      <c r="M107" s="317" t="s">
        <v>253</v>
      </c>
      <c r="N107" s="317"/>
      <c r="O107" s="317" t="s">
        <v>130</v>
      </c>
      <c r="P107" s="317">
        <v>80</v>
      </c>
      <c r="Q107" s="312">
        <f t="shared" si="37"/>
        <v>20.8</v>
      </c>
      <c r="R107" s="312">
        <f t="shared" si="38"/>
        <v>26.4</v>
      </c>
      <c r="S107" s="312">
        <f t="shared" si="39"/>
        <v>26.4</v>
      </c>
      <c r="T107" s="312">
        <f t="shared" si="40"/>
        <v>26.4</v>
      </c>
      <c r="U107" s="312">
        <f t="shared" si="41"/>
        <v>26.4</v>
      </c>
      <c r="V107" s="312">
        <f t="shared" si="42"/>
        <v>26.4</v>
      </c>
      <c r="W107" s="312">
        <f t="shared" si="43"/>
        <v>26.4</v>
      </c>
    </row>
    <row r="108" spans="1:23" s="3" customFormat="1" ht="14.4">
      <c r="A108" s="317" t="s">
        <v>254</v>
      </c>
      <c r="B108" s="317" t="s">
        <v>255</v>
      </c>
      <c r="C108" s="333">
        <v>47.427</v>
      </c>
      <c r="D108" s="333">
        <v>43.564999999999998</v>
      </c>
      <c r="E108" s="333">
        <v>39.627644000000004</v>
      </c>
      <c r="F108" s="333">
        <v>41.207644000000002</v>
      </c>
      <c r="G108" s="333">
        <v>39.510000000000005</v>
      </c>
      <c r="H108" s="333">
        <v>37.803999999999995</v>
      </c>
      <c r="I108" s="333">
        <v>38.492000000000004</v>
      </c>
      <c r="J108" s="317">
        <v>82</v>
      </c>
      <c r="K108" s="317">
        <v>1</v>
      </c>
      <c r="L108" s="337" t="s">
        <v>177</v>
      </c>
      <c r="M108" s="317" t="s">
        <v>256</v>
      </c>
      <c r="N108" s="317"/>
      <c r="O108" s="317" t="s">
        <v>130</v>
      </c>
      <c r="P108" s="317"/>
      <c r="Q108" s="312">
        <f t="shared" si="37"/>
        <v>0</v>
      </c>
      <c r="R108" s="312">
        <f t="shared" si="38"/>
        <v>0</v>
      </c>
      <c r="S108" s="312">
        <f t="shared" si="39"/>
        <v>0</v>
      </c>
      <c r="T108" s="312">
        <f t="shared" si="40"/>
        <v>0</v>
      </c>
      <c r="U108" s="312">
        <f t="shared" si="41"/>
        <v>0</v>
      </c>
      <c r="V108" s="312">
        <f t="shared" si="42"/>
        <v>0</v>
      </c>
      <c r="W108" s="312">
        <f t="shared" si="43"/>
        <v>0</v>
      </c>
    </row>
    <row r="109" spans="1:23" s="3" customFormat="1" ht="14.4">
      <c r="A109" s="317"/>
      <c r="B109" s="317" t="s">
        <v>257</v>
      </c>
      <c r="C109" s="333">
        <v>41.65</v>
      </c>
      <c r="D109" s="333">
        <v>44.579000000000001</v>
      </c>
      <c r="E109" s="333">
        <v>40.066000000000003</v>
      </c>
      <c r="F109" s="333">
        <v>39.134</v>
      </c>
      <c r="G109" s="333">
        <v>38.832999999999998</v>
      </c>
      <c r="H109" s="333">
        <v>38.707999999999998</v>
      </c>
      <c r="I109" s="333">
        <v>38.712000000000003</v>
      </c>
      <c r="J109" s="317">
        <v>100</v>
      </c>
      <c r="K109" s="317">
        <v>2</v>
      </c>
      <c r="L109" s="337" t="s">
        <v>158</v>
      </c>
      <c r="M109" s="317" t="s">
        <v>258</v>
      </c>
      <c r="N109" s="317"/>
      <c r="O109" s="317" t="s">
        <v>130</v>
      </c>
      <c r="P109" s="317"/>
      <c r="Q109" s="312">
        <f t="shared" si="37"/>
        <v>0</v>
      </c>
      <c r="R109" s="312">
        <f t="shared" si="38"/>
        <v>0</v>
      </c>
      <c r="S109" s="312">
        <f t="shared" si="39"/>
        <v>0</v>
      </c>
      <c r="T109" s="312">
        <f t="shared" si="40"/>
        <v>0</v>
      </c>
      <c r="U109" s="312">
        <f t="shared" si="41"/>
        <v>0</v>
      </c>
      <c r="V109" s="312">
        <f t="shared" si="42"/>
        <v>0</v>
      </c>
      <c r="W109" s="312">
        <f t="shared" si="43"/>
        <v>0</v>
      </c>
    </row>
    <row r="110" spans="1:23" s="3" customFormat="1" ht="14.4">
      <c r="A110" s="317" t="s">
        <v>225</v>
      </c>
      <c r="B110" s="317" t="s">
        <v>259</v>
      </c>
      <c r="C110" s="317">
        <v>0.47499999999999998</v>
      </c>
      <c r="D110" s="317">
        <v>0.22500000000000001</v>
      </c>
      <c r="E110" s="317">
        <v>0.22500000000000001</v>
      </c>
      <c r="F110" s="317">
        <v>0.22500000000000001</v>
      </c>
      <c r="G110" s="317">
        <v>0.22500000000000001</v>
      </c>
      <c r="H110" s="317">
        <v>0.22500000000000001</v>
      </c>
      <c r="I110" s="317">
        <v>0.22500000000000001</v>
      </c>
      <c r="J110" s="317">
        <v>0.1</v>
      </c>
      <c r="K110" s="317">
        <v>4</v>
      </c>
      <c r="L110" s="337" t="s">
        <v>223</v>
      </c>
      <c r="M110" s="317" t="s">
        <v>260</v>
      </c>
      <c r="N110" s="317"/>
      <c r="O110" s="317" t="s">
        <v>108</v>
      </c>
      <c r="P110" s="317"/>
      <c r="Q110" s="312">
        <f t="shared" si="37"/>
        <v>0</v>
      </c>
      <c r="R110" s="312">
        <f t="shared" si="38"/>
        <v>0</v>
      </c>
      <c r="S110" s="312">
        <f t="shared" si="39"/>
        <v>0</v>
      </c>
      <c r="T110" s="312">
        <f t="shared" si="40"/>
        <v>0</v>
      </c>
      <c r="U110" s="312">
        <f t="shared" si="41"/>
        <v>0</v>
      </c>
      <c r="V110" s="312">
        <f t="shared" si="42"/>
        <v>0</v>
      </c>
      <c r="W110" s="312">
        <f t="shared" si="43"/>
        <v>0</v>
      </c>
    </row>
    <row r="111" spans="1:23" s="3" customFormat="1" ht="14.4">
      <c r="A111" s="317" t="s">
        <v>225</v>
      </c>
      <c r="B111" s="317" t="s">
        <v>261</v>
      </c>
      <c r="C111" s="333">
        <v>0</v>
      </c>
      <c r="D111" s="333">
        <v>0.35</v>
      </c>
      <c r="E111" s="333">
        <v>0.35</v>
      </c>
      <c r="F111" s="333">
        <v>0.35</v>
      </c>
      <c r="G111" s="333">
        <v>0.35</v>
      </c>
      <c r="H111" s="333">
        <v>0.35</v>
      </c>
      <c r="I111" s="333">
        <v>0.35</v>
      </c>
      <c r="J111" s="317">
        <v>0</v>
      </c>
      <c r="K111" s="317">
        <v>4</v>
      </c>
      <c r="L111" s="337" t="s">
        <v>223</v>
      </c>
      <c r="M111" s="317" t="s">
        <v>227</v>
      </c>
      <c r="N111" s="317"/>
      <c r="O111" s="317" t="s">
        <v>108</v>
      </c>
      <c r="P111" s="317"/>
      <c r="Q111" s="312">
        <f t="shared" si="37"/>
        <v>0</v>
      </c>
      <c r="R111" s="312">
        <f t="shared" si="38"/>
        <v>0</v>
      </c>
      <c r="S111" s="312">
        <f t="shared" si="39"/>
        <v>0</v>
      </c>
      <c r="T111" s="312">
        <f t="shared" si="40"/>
        <v>0</v>
      </c>
      <c r="U111" s="312">
        <f t="shared" si="41"/>
        <v>0</v>
      </c>
      <c r="V111" s="312">
        <f t="shared" si="42"/>
        <v>0</v>
      </c>
      <c r="W111" s="312">
        <f t="shared" si="43"/>
        <v>0</v>
      </c>
    </row>
    <row r="112" spans="1:23" s="3" customFormat="1" ht="14.4">
      <c r="A112" s="317" t="s">
        <v>225</v>
      </c>
      <c r="B112" s="317" t="s">
        <v>262</v>
      </c>
      <c r="C112" s="333">
        <v>0</v>
      </c>
      <c r="D112" s="333">
        <v>0</v>
      </c>
      <c r="E112" s="333">
        <v>1.5</v>
      </c>
      <c r="F112" s="333">
        <v>1.5</v>
      </c>
      <c r="G112" s="333">
        <v>1.5</v>
      </c>
      <c r="H112" s="333">
        <v>0</v>
      </c>
      <c r="I112" s="333">
        <v>0</v>
      </c>
      <c r="J112" s="317">
        <v>0</v>
      </c>
      <c r="K112" s="317">
        <v>4</v>
      </c>
      <c r="L112" s="337" t="s">
        <v>223</v>
      </c>
      <c r="M112" s="317" t="s">
        <v>227</v>
      </c>
      <c r="N112" s="317"/>
      <c r="O112" s="317" t="s">
        <v>108</v>
      </c>
      <c r="P112" s="317"/>
      <c r="Q112" s="312">
        <f t="shared" si="37"/>
        <v>0</v>
      </c>
      <c r="R112" s="312">
        <f t="shared" si="38"/>
        <v>0</v>
      </c>
      <c r="S112" s="312">
        <f t="shared" si="39"/>
        <v>0</v>
      </c>
      <c r="T112" s="312">
        <f t="shared" si="40"/>
        <v>0</v>
      </c>
      <c r="U112" s="312">
        <f t="shared" si="41"/>
        <v>0</v>
      </c>
      <c r="V112" s="312">
        <f t="shared" si="42"/>
        <v>0</v>
      </c>
      <c r="W112" s="312">
        <f t="shared" si="43"/>
        <v>0</v>
      </c>
    </row>
    <row r="113" spans="1:24" s="3" customFormat="1" ht="14.4">
      <c r="A113" s="317" t="s">
        <v>225</v>
      </c>
      <c r="B113" s="317" t="s">
        <v>263</v>
      </c>
      <c r="C113" s="333">
        <v>0</v>
      </c>
      <c r="D113" s="333">
        <v>0.52800000000000002</v>
      </c>
      <c r="E113" s="333">
        <v>0.65</v>
      </c>
      <c r="F113" s="333">
        <v>0.65</v>
      </c>
      <c r="G113" s="333">
        <v>0.65</v>
      </c>
      <c r="H113" s="333">
        <v>0.65</v>
      </c>
      <c r="I113" s="333">
        <v>0.65</v>
      </c>
      <c r="J113" s="317">
        <v>100</v>
      </c>
      <c r="K113" s="317">
        <v>4</v>
      </c>
      <c r="L113" s="337" t="s">
        <v>223</v>
      </c>
      <c r="M113" s="317" t="s">
        <v>260</v>
      </c>
      <c r="N113" s="317"/>
      <c r="O113" s="317" t="s">
        <v>108</v>
      </c>
      <c r="P113" s="317"/>
      <c r="Q113" s="312">
        <f t="shared" si="37"/>
        <v>0</v>
      </c>
      <c r="R113" s="312">
        <f t="shared" si="38"/>
        <v>0</v>
      </c>
      <c r="S113" s="312">
        <f t="shared" si="39"/>
        <v>0</v>
      </c>
      <c r="T113" s="312">
        <f t="shared" si="40"/>
        <v>0</v>
      </c>
      <c r="U113" s="312">
        <f t="shared" si="41"/>
        <v>0</v>
      </c>
      <c r="V113" s="312">
        <f t="shared" si="42"/>
        <v>0</v>
      </c>
      <c r="W113" s="312">
        <f t="shared" si="43"/>
        <v>0</v>
      </c>
    </row>
    <row r="114" spans="1:24" s="3" customFormat="1" ht="14.1" customHeight="1">
      <c r="A114" s="317" t="s">
        <v>244</v>
      </c>
      <c r="B114" s="317" t="s">
        <v>264</v>
      </c>
      <c r="C114" s="333">
        <v>0</v>
      </c>
      <c r="D114" s="333">
        <v>0.15</v>
      </c>
      <c r="E114" s="333">
        <v>0.2</v>
      </c>
      <c r="F114" s="333">
        <v>0.2</v>
      </c>
      <c r="G114" s="333">
        <v>0.2</v>
      </c>
      <c r="H114" s="333">
        <v>0.2</v>
      </c>
      <c r="I114" s="333">
        <v>0.2</v>
      </c>
      <c r="J114" s="317">
        <v>100</v>
      </c>
      <c r="K114" s="317">
        <v>4</v>
      </c>
      <c r="L114" s="337" t="s">
        <v>223</v>
      </c>
      <c r="M114" s="317" t="s">
        <v>260</v>
      </c>
      <c r="N114" s="317"/>
      <c r="O114" s="317" t="s">
        <v>108</v>
      </c>
      <c r="P114" s="317"/>
      <c r="Q114" s="312">
        <f t="shared" si="37"/>
        <v>0</v>
      </c>
      <c r="R114" s="312">
        <f t="shared" si="38"/>
        <v>0</v>
      </c>
      <c r="S114" s="312">
        <f t="shared" si="39"/>
        <v>0</v>
      </c>
      <c r="T114" s="312">
        <f t="shared" si="40"/>
        <v>0</v>
      </c>
      <c r="U114" s="312">
        <f t="shared" si="41"/>
        <v>0</v>
      </c>
      <c r="V114" s="312">
        <f t="shared" si="42"/>
        <v>0</v>
      </c>
      <c r="W114" s="312">
        <f t="shared" si="43"/>
        <v>0</v>
      </c>
    </row>
    <row r="115" spans="1:24" s="3" customFormat="1" ht="14.4">
      <c r="A115" s="317" t="s">
        <v>244</v>
      </c>
      <c r="B115" s="317" t="s">
        <v>265</v>
      </c>
      <c r="C115" s="333">
        <v>0</v>
      </c>
      <c r="D115" s="333">
        <v>0.16</v>
      </c>
      <c r="E115" s="333">
        <v>0.16</v>
      </c>
      <c r="F115" s="333">
        <v>0.16</v>
      </c>
      <c r="G115" s="333">
        <v>0.15</v>
      </c>
      <c r="H115" s="333">
        <v>0.15</v>
      </c>
      <c r="I115" s="333">
        <v>0.15</v>
      </c>
      <c r="J115" s="317">
        <v>100</v>
      </c>
      <c r="K115" s="317">
        <v>4</v>
      </c>
      <c r="L115" s="337" t="s">
        <v>223</v>
      </c>
      <c r="M115" s="317" t="s">
        <v>260</v>
      </c>
      <c r="N115" s="317"/>
      <c r="O115" s="317" t="s">
        <v>108</v>
      </c>
      <c r="P115" s="317"/>
      <c r="Q115" s="312">
        <f t="shared" si="37"/>
        <v>0</v>
      </c>
      <c r="R115" s="312">
        <f t="shared" si="38"/>
        <v>0</v>
      </c>
      <c r="S115" s="312">
        <f t="shared" si="39"/>
        <v>0</v>
      </c>
      <c r="T115" s="312">
        <f t="shared" si="40"/>
        <v>0</v>
      </c>
      <c r="U115" s="312">
        <f t="shared" si="41"/>
        <v>0</v>
      </c>
      <c r="V115" s="312">
        <f t="shared" si="42"/>
        <v>0</v>
      </c>
      <c r="W115" s="312">
        <f t="shared" si="43"/>
        <v>0</v>
      </c>
      <c r="X115" s="6"/>
    </row>
    <row r="116" spans="1:24" s="3" customFormat="1" ht="14.4">
      <c r="A116" s="317" t="s">
        <v>266</v>
      </c>
      <c r="B116" s="317" t="s">
        <v>267</v>
      </c>
      <c r="C116" s="333">
        <v>25</v>
      </c>
      <c r="D116" s="333">
        <v>25</v>
      </c>
      <c r="E116" s="333">
        <v>25</v>
      </c>
      <c r="F116" s="333">
        <v>25</v>
      </c>
      <c r="G116" s="333">
        <v>25</v>
      </c>
      <c r="H116" s="333">
        <v>25</v>
      </c>
      <c r="I116" s="333">
        <v>25</v>
      </c>
      <c r="J116" s="317">
        <v>100</v>
      </c>
      <c r="K116" s="317">
        <v>8</v>
      </c>
      <c r="L116" s="337" t="s">
        <v>248</v>
      </c>
      <c r="M116" s="317" t="s">
        <v>268</v>
      </c>
      <c r="N116" s="317"/>
      <c r="O116" s="317" t="s">
        <v>108</v>
      </c>
      <c r="P116" s="317">
        <v>50</v>
      </c>
      <c r="Q116" s="312">
        <f t="shared" si="37"/>
        <v>12.5</v>
      </c>
      <c r="R116" s="312">
        <f t="shared" si="38"/>
        <v>12.5</v>
      </c>
      <c r="S116" s="312">
        <f t="shared" si="39"/>
        <v>12.5</v>
      </c>
      <c r="T116" s="312">
        <f t="shared" si="40"/>
        <v>12.5</v>
      </c>
      <c r="U116" s="312">
        <f t="shared" si="41"/>
        <v>12.5</v>
      </c>
      <c r="V116" s="312">
        <f t="shared" si="42"/>
        <v>12.5</v>
      </c>
      <c r="W116" s="312">
        <f t="shared" si="43"/>
        <v>12.5</v>
      </c>
    </row>
    <row r="117" spans="1:24" s="3" customFormat="1" ht="14.4">
      <c r="A117" s="317"/>
      <c r="B117" s="317" t="s">
        <v>269</v>
      </c>
      <c r="C117" s="333">
        <v>2</v>
      </c>
      <c r="D117" s="333">
        <v>2</v>
      </c>
      <c r="E117" s="333">
        <v>2</v>
      </c>
      <c r="F117" s="333">
        <v>2</v>
      </c>
      <c r="G117" s="333">
        <v>2</v>
      </c>
      <c r="H117" s="333">
        <v>2</v>
      </c>
      <c r="I117" s="333">
        <v>2</v>
      </c>
      <c r="J117" s="317">
        <v>100</v>
      </c>
      <c r="K117" s="317">
        <v>8</v>
      </c>
      <c r="L117" s="317" t="s">
        <v>248</v>
      </c>
      <c r="M117" s="317" t="s">
        <v>268</v>
      </c>
      <c r="N117" s="317"/>
      <c r="O117" s="317" t="s">
        <v>108</v>
      </c>
      <c r="P117" s="317">
        <v>50</v>
      </c>
      <c r="Q117" s="312">
        <f t="shared" ref="Q117:W118" si="58">$P117*C117/100</f>
        <v>1</v>
      </c>
      <c r="R117" s="312">
        <f t="shared" si="58"/>
        <v>1</v>
      </c>
      <c r="S117" s="312">
        <f t="shared" si="58"/>
        <v>1</v>
      </c>
      <c r="T117" s="312">
        <f t="shared" si="58"/>
        <v>1</v>
      </c>
      <c r="U117" s="312">
        <f t="shared" si="58"/>
        <v>1</v>
      </c>
      <c r="V117" s="312">
        <f t="shared" si="58"/>
        <v>1</v>
      </c>
      <c r="W117" s="312">
        <f t="shared" si="58"/>
        <v>1</v>
      </c>
    </row>
    <row r="118" spans="1:24" s="3" customFormat="1" ht="14.4">
      <c r="A118" s="317"/>
      <c r="B118" s="317" t="s">
        <v>270</v>
      </c>
      <c r="C118" s="333">
        <v>1</v>
      </c>
      <c r="D118" s="333">
        <v>0</v>
      </c>
      <c r="E118" s="333">
        <v>0</v>
      </c>
      <c r="F118" s="333">
        <v>0</v>
      </c>
      <c r="G118" s="333">
        <v>0</v>
      </c>
      <c r="H118" s="333">
        <v>0</v>
      </c>
      <c r="I118" s="333">
        <v>0</v>
      </c>
      <c r="J118" s="317">
        <v>100</v>
      </c>
      <c r="K118" s="317">
        <v>9</v>
      </c>
      <c r="L118" s="317" t="s">
        <v>248</v>
      </c>
      <c r="M118" s="317" t="s">
        <v>268</v>
      </c>
      <c r="N118" s="317"/>
      <c r="O118" s="317" t="s">
        <v>108</v>
      </c>
      <c r="P118" s="317">
        <v>50</v>
      </c>
      <c r="Q118" s="312">
        <f t="shared" si="58"/>
        <v>0.5</v>
      </c>
      <c r="R118" s="312">
        <f t="shared" si="58"/>
        <v>0</v>
      </c>
      <c r="S118" s="312">
        <f t="shared" si="58"/>
        <v>0</v>
      </c>
      <c r="T118" s="312">
        <f t="shared" si="58"/>
        <v>0</v>
      </c>
      <c r="U118" s="312">
        <f t="shared" si="58"/>
        <v>0</v>
      </c>
      <c r="V118" s="312">
        <f t="shared" si="58"/>
        <v>0</v>
      </c>
      <c r="W118" s="312">
        <f t="shared" si="58"/>
        <v>0</v>
      </c>
    </row>
    <row r="119" spans="1:24" s="3" customFormat="1" ht="14.4">
      <c r="A119" s="338" t="s">
        <v>271</v>
      </c>
      <c r="B119" s="317" t="s">
        <v>272</v>
      </c>
      <c r="C119" s="335">
        <v>44.197000000000003</v>
      </c>
      <c r="D119" s="335">
        <v>75.772999999999996</v>
      </c>
      <c r="E119" s="335">
        <v>85.5</v>
      </c>
      <c r="F119" s="335">
        <v>61.466000000000001</v>
      </c>
      <c r="G119" s="335">
        <v>41.4</v>
      </c>
      <c r="H119" s="335">
        <v>11.1</v>
      </c>
      <c r="I119" s="335">
        <v>19.141999999999999</v>
      </c>
      <c r="J119" s="339">
        <v>100</v>
      </c>
      <c r="K119" s="335">
        <v>4</v>
      </c>
      <c r="L119" s="335" t="s">
        <v>223</v>
      </c>
      <c r="M119" s="317" t="s">
        <v>148</v>
      </c>
      <c r="N119" s="317"/>
      <c r="O119" s="317" t="s">
        <v>108</v>
      </c>
      <c r="P119" s="317">
        <v>100</v>
      </c>
      <c r="Q119" s="312">
        <f t="shared" si="37"/>
        <v>44.19700000000001</v>
      </c>
      <c r="R119" s="312">
        <f t="shared" si="38"/>
        <v>75.772999999999996</v>
      </c>
      <c r="S119" s="312">
        <f t="shared" si="39"/>
        <v>85.5</v>
      </c>
      <c r="T119" s="312">
        <f t="shared" si="40"/>
        <v>61.466000000000001</v>
      </c>
      <c r="U119" s="312">
        <f t="shared" si="41"/>
        <v>41.4</v>
      </c>
      <c r="V119" s="312">
        <f t="shared" si="42"/>
        <v>11.1</v>
      </c>
      <c r="W119" s="312">
        <f t="shared" si="43"/>
        <v>19.141999999999999</v>
      </c>
    </row>
    <row r="120" spans="1:24">
      <c r="B120" s="72"/>
      <c r="C120" s="72"/>
      <c r="D120" s="72"/>
      <c r="E120" s="72"/>
      <c r="F120" s="72"/>
      <c r="G120" s="72"/>
      <c r="H120" s="72"/>
      <c r="I120" s="72"/>
      <c r="J120" s="72"/>
      <c r="K120" s="72"/>
      <c r="L120" s="72"/>
      <c r="M120" s="72"/>
      <c r="N120" s="72"/>
      <c r="O120" s="72"/>
      <c r="P120" s="72">
        <v>1000</v>
      </c>
      <c r="Q120" s="5">
        <f t="shared" si="37"/>
        <v>0</v>
      </c>
      <c r="R120" s="5">
        <f t="shared" si="38"/>
        <v>0</v>
      </c>
      <c r="S120" s="5">
        <f t="shared" si="39"/>
        <v>0</v>
      </c>
      <c r="T120" s="5">
        <f t="shared" si="40"/>
        <v>0</v>
      </c>
      <c r="U120" s="5">
        <f t="shared" si="41"/>
        <v>0</v>
      </c>
      <c r="V120" s="5">
        <f t="shared" si="42"/>
        <v>0</v>
      </c>
      <c r="W120" s="5">
        <f t="shared" si="43"/>
        <v>0</v>
      </c>
    </row>
    <row r="121" spans="1:24" s="3" customFormat="1" ht="14.4">
      <c r="A121" s="241"/>
      <c r="B121" s="3" t="s">
        <v>277</v>
      </c>
      <c r="C121" s="9">
        <f t="shared" ref="C121:I121" si="59">SUM(C93:C120)</f>
        <v>269.54899999999998</v>
      </c>
      <c r="D121" s="9">
        <f t="shared" si="59"/>
        <v>315.58399999999995</v>
      </c>
      <c r="E121" s="9">
        <f t="shared" si="59"/>
        <v>318.816644</v>
      </c>
      <c r="F121" s="9">
        <f t="shared" si="59"/>
        <v>294.304644</v>
      </c>
      <c r="G121" s="9">
        <f t="shared" si="59"/>
        <v>272.36500000000001</v>
      </c>
      <c r="H121" s="9">
        <f t="shared" si="59"/>
        <v>238.33999999999997</v>
      </c>
      <c r="I121" s="9">
        <f t="shared" si="59"/>
        <v>247.37799999999999</v>
      </c>
      <c r="J121" s="9"/>
      <c r="L121" s="1"/>
      <c r="P121" s="54"/>
      <c r="Q121" s="6">
        <f t="shared" ref="Q121:W121" si="60">+SUM(Q93:Q120)</f>
        <v>102.697</v>
      </c>
      <c r="R121" s="6">
        <f t="shared" si="60"/>
        <v>141.37299999999999</v>
      </c>
      <c r="S121" s="6">
        <f t="shared" si="60"/>
        <v>151.1</v>
      </c>
      <c r="T121" s="6">
        <f t="shared" si="60"/>
        <v>127.066</v>
      </c>
      <c r="U121" s="6">
        <f t="shared" si="60"/>
        <v>107</v>
      </c>
      <c r="V121" s="6">
        <f t="shared" si="60"/>
        <v>76.699999999999989</v>
      </c>
      <c r="W121" s="6">
        <f t="shared" si="60"/>
        <v>84.74199999999999</v>
      </c>
    </row>
    <row r="122" spans="1:24" s="1" customFormat="1">
      <c r="A122" s="240"/>
      <c r="C122" s="46"/>
      <c r="D122" s="46"/>
      <c r="E122" s="46"/>
      <c r="F122" s="46"/>
      <c r="G122" s="46"/>
      <c r="H122" s="46"/>
      <c r="I122" s="46"/>
      <c r="P122" s="53"/>
      <c r="Q122" s="52"/>
      <c r="R122" s="52"/>
      <c r="S122" s="52"/>
      <c r="T122" s="52"/>
      <c r="U122" s="52"/>
      <c r="V122" s="52"/>
      <c r="W122" s="52"/>
    </row>
    <row r="123" spans="1:24" s="13" customFormat="1" ht="14.4">
      <c r="B123" s="13" t="s">
        <v>1096</v>
      </c>
      <c r="L123" s="14"/>
      <c r="P123" s="12" t="s">
        <v>1097</v>
      </c>
      <c r="Q123" s="132"/>
      <c r="R123" s="132"/>
      <c r="S123" s="132"/>
      <c r="T123" s="132"/>
      <c r="U123" s="132"/>
      <c r="V123" s="132"/>
      <c r="W123" s="132"/>
    </row>
    <row r="124" spans="1:24" s="3" customFormat="1" ht="14.4">
      <c r="A124" s="329" t="s">
        <v>278</v>
      </c>
      <c r="B124" s="329" t="s">
        <v>279</v>
      </c>
      <c r="C124" s="351"/>
      <c r="D124" s="351"/>
      <c r="E124" s="351"/>
      <c r="F124" s="351"/>
      <c r="G124" s="351"/>
      <c r="H124" s="351"/>
      <c r="I124" s="351"/>
      <c r="J124" s="329"/>
      <c r="K124" s="329"/>
      <c r="L124" s="326"/>
      <c r="M124" s="329"/>
      <c r="N124" s="329"/>
      <c r="O124" s="329"/>
      <c r="P124" s="54"/>
      <c r="Q124" s="52"/>
      <c r="R124" s="52"/>
      <c r="S124" s="52"/>
      <c r="T124" s="52"/>
      <c r="U124" s="52"/>
      <c r="V124" s="52"/>
      <c r="W124" s="52"/>
    </row>
    <row r="125" spans="1:24" ht="13.5" customHeight="1">
      <c r="A125" s="340">
        <v>1</v>
      </c>
      <c r="B125" s="321" t="s">
        <v>280</v>
      </c>
      <c r="C125" s="312">
        <v>3.2479999999999998</v>
      </c>
      <c r="D125" s="312">
        <v>3.036</v>
      </c>
      <c r="E125" s="312">
        <v>6.0960000000000001</v>
      </c>
      <c r="F125" s="312">
        <v>5.4119999999999999</v>
      </c>
      <c r="G125" s="312">
        <v>3.4990000000000001</v>
      </c>
      <c r="H125" s="312">
        <v>3.3740000000000001</v>
      </c>
      <c r="I125" s="312">
        <v>3.8739999999999997</v>
      </c>
      <c r="J125" s="321">
        <v>100</v>
      </c>
      <c r="K125" s="321">
        <v>6</v>
      </c>
      <c r="L125" s="337" t="s">
        <v>189</v>
      </c>
      <c r="M125" s="321" t="s">
        <v>281</v>
      </c>
      <c r="N125" s="321"/>
      <c r="O125" s="321" t="s">
        <v>108</v>
      </c>
      <c r="P125" s="10">
        <v>0</v>
      </c>
      <c r="Q125" s="5">
        <f t="shared" ref="Q125:Q151" si="61">+$P125/100*C125</f>
        <v>0</v>
      </c>
      <c r="R125" s="5">
        <f t="shared" ref="R125:R151" si="62">+$P125/100*D125</f>
        <v>0</v>
      </c>
      <c r="S125" s="5">
        <f t="shared" ref="S125:S151" si="63">+$P125/100*E125</f>
        <v>0</v>
      </c>
      <c r="T125" s="5">
        <f t="shared" ref="T125:T151" si="64">+$P125/100*F125</f>
        <v>0</v>
      </c>
      <c r="U125" s="5">
        <f t="shared" ref="U125:U151" si="65">+$P125/100*G125</f>
        <v>0</v>
      </c>
      <c r="V125" s="5">
        <f t="shared" ref="V125:V151" si="66">+$P125/100*H125</f>
        <v>0</v>
      </c>
      <c r="W125" s="5">
        <f t="shared" ref="W125:W151" si="67">+$P125/100*I125</f>
        <v>0</v>
      </c>
    </row>
    <row r="126" spans="1:24" ht="15" customHeight="1">
      <c r="A126" s="340">
        <v>1</v>
      </c>
      <c r="B126" s="321" t="s">
        <v>282</v>
      </c>
      <c r="C126" s="312">
        <v>0.74760000000000004</v>
      </c>
      <c r="D126" s="312">
        <v>0.73140000000000005</v>
      </c>
      <c r="E126" s="312">
        <v>0.73060000000000003</v>
      </c>
      <c r="F126" s="312">
        <v>0.74140000000000006</v>
      </c>
      <c r="G126" s="312">
        <v>1.3168000000000002</v>
      </c>
      <c r="H126" s="312">
        <v>0.85920000000000007</v>
      </c>
      <c r="I126" s="312">
        <v>0.85920000000000007</v>
      </c>
      <c r="J126" s="321">
        <v>20</v>
      </c>
      <c r="K126" s="321">
        <v>4</v>
      </c>
      <c r="L126" s="337" t="s">
        <v>223</v>
      </c>
      <c r="M126" s="321" t="s">
        <v>283</v>
      </c>
      <c r="N126" s="321"/>
      <c r="O126" s="321" t="s">
        <v>108</v>
      </c>
      <c r="P126" s="10">
        <v>0</v>
      </c>
      <c r="Q126" s="5">
        <f t="shared" si="61"/>
        <v>0</v>
      </c>
      <c r="R126" s="5">
        <f t="shared" si="62"/>
        <v>0</v>
      </c>
      <c r="S126" s="5">
        <f t="shared" si="63"/>
        <v>0</v>
      </c>
      <c r="T126" s="5">
        <f t="shared" si="64"/>
        <v>0</v>
      </c>
      <c r="U126" s="5">
        <f t="shared" si="65"/>
        <v>0</v>
      </c>
      <c r="V126" s="5">
        <f t="shared" si="66"/>
        <v>0</v>
      </c>
      <c r="W126" s="5">
        <f t="shared" si="67"/>
        <v>0</v>
      </c>
    </row>
    <row r="127" spans="1:24" ht="15" customHeight="1">
      <c r="A127" s="340">
        <v>1</v>
      </c>
      <c r="B127" s="321" t="s">
        <v>284</v>
      </c>
      <c r="C127" s="312">
        <v>4.5913500000000003</v>
      </c>
      <c r="D127" s="312">
        <v>7.3852999999999991</v>
      </c>
      <c r="E127" s="312">
        <v>10.982950000000001</v>
      </c>
      <c r="F127" s="312">
        <v>10.754949999999999</v>
      </c>
      <c r="G127" s="312">
        <v>11.511150000000001</v>
      </c>
      <c r="H127" s="312">
        <v>11.7895</v>
      </c>
      <c r="I127" s="312">
        <v>11.729649999999999</v>
      </c>
      <c r="J127" s="159">
        <v>95</v>
      </c>
      <c r="K127" s="321" t="s">
        <v>285</v>
      </c>
      <c r="L127" s="317"/>
      <c r="M127" s="321" t="s">
        <v>286</v>
      </c>
      <c r="N127" s="321"/>
      <c r="O127" s="321" t="s">
        <v>108</v>
      </c>
      <c r="P127" s="10">
        <v>100</v>
      </c>
      <c r="Q127" s="5">
        <f t="shared" si="61"/>
        <v>4.5913500000000003</v>
      </c>
      <c r="R127" s="5">
        <f t="shared" si="62"/>
        <v>7.3852999999999991</v>
      </c>
      <c r="S127" s="5">
        <f t="shared" si="63"/>
        <v>10.982950000000001</v>
      </c>
      <c r="T127" s="5">
        <f t="shared" si="64"/>
        <v>10.754949999999999</v>
      </c>
      <c r="U127" s="5">
        <f t="shared" si="65"/>
        <v>11.511150000000001</v>
      </c>
      <c r="V127" s="5">
        <f t="shared" si="66"/>
        <v>11.7895</v>
      </c>
      <c r="W127" s="5">
        <f t="shared" si="67"/>
        <v>11.729649999999999</v>
      </c>
    </row>
    <row r="128" spans="1:24" ht="14.4">
      <c r="A128" s="340">
        <v>1</v>
      </c>
      <c r="B128" s="321" t="s">
        <v>287</v>
      </c>
      <c r="C128" s="312">
        <v>3.00725</v>
      </c>
      <c r="D128" s="312">
        <v>3.3330000000000002</v>
      </c>
      <c r="E128" s="312">
        <v>3.3330000000000002</v>
      </c>
      <c r="F128" s="312">
        <v>3.3330000000000002</v>
      </c>
      <c r="G128" s="312">
        <v>3.2989999999999999</v>
      </c>
      <c r="H128" s="312">
        <v>3.2989999999999999</v>
      </c>
      <c r="I128" s="312">
        <v>3.2989999999999999</v>
      </c>
      <c r="J128" s="321">
        <v>25</v>
      </c>
      <c r="K128" s="321">
        <v>6</v>
      </c>
      <c r="L128" s="337" t="s">
        <v>189</v>
      </c>
      <c r="M128" s="321" t="s">
        <v>97</v>
      </c>
      <c r="N128" s="321"/>
      <c r="O128" s="321" t="s">
        <v>130</v>
      </c>
      <c r="P128" s="10">
        <v>100</v>
      </c>
      <c r="Q128" s="5">
        <f t="shared" si="61"/>
        <v>3.00725</v>
      </c>
      <c r="R128" s="5">
        <f t="shared" si="62"/>
        <v>3.3330000000000002</v>
      </c>
      <c r="S128" s="5">
        <f t="shared" si="63"/>
        <v>3.3330000000000002</v>
      </c>
      <c r="T128" s="5">
        <f t="shared" si="64"/>
        <v>3.3330000000000002</v>
      </c>
      <c r="U128" s="5">
        <f t="shared" si="65"/>
        <v>3.2989999999999999</v>
      </c>
      <c r="V128" s="5">
        <f t="shared" si="66"/>
        <v>3.2989999999999999</v>
      </c>
      <c r="W128" s="5">
        <f t="shared" si="67"/>
        <v>3.2989999999999999</v>
      </c>
    </row>
    <row r="129" spans="1:23">
      <c r="A129" s="340">
        <v>1</v>
      </c>
      <c r="B129" s="321" t="s">
        <v>288</v>
      </c>
      <c r="C129" s="312">
        <v>6.8617850000000011</v>
      </c>
      <c r="D129" s="312">
        <v>7.1279950000000012</v>
      </c>
      <c r="E129" s="312">
        <v>6.9912500000000009</v>
      </c>
      <c r="F129" s="312">
        <v>6.9532050000000005</v>
      </c>
      <c r="G129" s="312">
        <v>6.8747700000000007</v>
      </c>
      <c r="H129" s="312">
        <v>6.8262950000000009</v>
      </c>
      <c r="I129" s="312">
        <v>6.8061700000000007</v>
      </c>
      <c r="J129" s="321">
        <v>3.5</v>
      </c>
      <c r="K129" s="321">
        <v>11</v>
      </c>
      <c r="L129" s="317" t="s">
        <v>289</v>
      </c>
      <c r="M129" s="321" t="s">
        <v>92</v>
      </c>
      <c r="N129" s="321"/>
      <c r="O129" s="321" t="s">
        <v>130</v>
      </c>
      <c r="P129" s="10">
        <v>0</v>
      </c>
      <c r="Q129" s="5">
        <f t="shared" si="61"/>
        <v>0</v>
      </c>
      <c r="R129" s="5">
        <f t="shared" si="62"/>
        <v>0</v>
      </c>
      <c r="S129" s="5">
        <f t="shared" si="63"/>
        <v>0</v>
      </c>
      <c r="T129" s="5">
        <f t="shared" si="64"/>
        <v>0</v>
      </c>
      <c r="U129" s="5">
        <f t="shared" si="65"/>
        <v>0</v>
      </c>
      <c r="V129" s="5">
        <f t="shared" si="66"/>
        <v>0</v>
      </c>
      <c r="W129" s="5">
        <f t="shared" si="67"/>
        <v>0</v>
      </c>
    </row>
    <row r="130" spans="1:23" ht="14.4">
      <c r="A130" s="340">
        <v>1</v>
      </c>
      <c r="B130" s="321" t="s">
        <v>1073</v>
      </c>
      <c r="C130" s="312">
        <v>1.5708</v>
      </c>
      <c r="D130" s="312">
        <v>1.6173</v>
      </c>
      <c r="E130" s="312">
        <v>2.8374000000000001</v>
      </c>
      <c r="F130" s="312">
        <v>1.8977999999999999</v>
      </c>
      <c r="G130" s="312">
        <v>2.4554999999999998</v>
      </c>
      <c r="H130" s="312">
        <v>2.6267999999999998</v>
      </c>
      <c r="I130" s="312">
        <v>2.6514000000000002</v>
      </c>
      <c r="J130" s="321">
        <v>30</v>
      </c>
      <c r="K130" s="321">
        <v>4</v>
      </c>
      <c r="L130" s="337" t="s">
        <v>223</v>
      </c>
      <c r="M130" s="321" t="s">
        <v>291</v>
      </c>
      <c r="N130" s="321"/>
      <c r="O130" s="321" t="s">
        <v>108</v>
      </c>
      <c r="P130" s="10">
        <v>100</v>
      </c>
      <c r="Q130" s="5">
        <f t="shared" si="61"/>
        <v>1.5708</v>
      </c>
      <c r="R130" s="5">
        <f t="shared" si="62"/>
        <v>1.6173</v>
      </c>
      <c r="S130" s="5">
        <f t="shared" si="63"/>
        <v>2.8374000000000001</v>
      </c>
      <c r="T130" s="5">
        <f t="shared" si="64"/>
        <v>1.8977999999999999</v>
      </c>
      <c r="U130" s="5">
        <f t="shared" si="65"/>
        <v>2.4554999999999998</v>
      </c>
      <c r="V130" s="5">
        <f t="shared" si="66"/>
        <v>2.6267999999999998</v>
      </c>
      <c r="W130" s="5">
        <f t="shared" si="67"/>
        <v>2.6514000000000002</v>
      </c>
    </row>
    <row r="131" spans="1:23" s="86" customFormat="1">
      <c r="A131" s="340">
        <v>1</v>
      </c>
      <c r="B131" s="321" t="s">
        <v>292</v>
      </c>
      <c r="C131" s="312">
        <v>15.344100000000001</v>
      </c>
      <c r="D131" s="312">
        <v>17.873999999999999</v>
      </c>
      <c r="E131" s="312">
        <v>28.529100000000003</v>
      </c>
      <c r="F131" s="312">
        <v>32.823900000000002</v>
      </c>
      <c r="G131" s="312">
        <v>25.452900000000003</v>
      </c>
      <c r="H131" s="312">
        <v>23.5989</v>
      </c>
      <c r="I131" s="312">
        <v>11.0502</v>
      </c>
      <c r="J131" s="321">
        <v>90</v>
      </c>
      <c r="K131" s="321" t="s">
        <v>293</v>
      </c>
      <c r="L131" s="321"/>
      <c r="M131" s="321" t="s">
        <v>294</v>
      </c>
      <c r="N131" s="321"/>
      <c r="O131" s="321" t="s">
        <v>108</v>
      </c>
      <c r="P131" s="4">
        <v>100</v>
      </c>
      <c r="Q131" s="5">
        <f t="shared" si="61"/>
        <v>15.344100000000001</v>
      </c>
      <c r="R131" s="5">
        <f t="shared" si="62"/>
        <v>17.873999999999999</v>
      </c>
      <c r="S131" s="5">
        <f t="shared" si="63"/>
        <v>28.529100000000003</v>
      </c>
      <c r="T131" s="5">
        <f t="shared" si="64"/>
        <v>32.823900000000002</v>
      </c>
      <c r="U131" s="5">
        <f t="shared" si="65"/>
        <v>25.452900000000003</v>
      </c>
      <c r="V131" s="5">
        <f t="shared" si="66"/>
        <v>23.5989</v>
      </c>
      <c r="W131" s="5">
        <f t="shared" si="67"/>
        <v>11.0502</v>
      </c>
    </row>
    <row r="132" spans="1:23" s="3" customFormat="1" ht="14.4">
      <c r="A132" s="340">
        <v>1</v>
      </c>
      <c r="B132" s="321" t="s">
        <v>295</v>
      </c>
      <c r="C132" s="312">
        <v>0</v>
      </c>
      <c r="D132" s="312">
        <v>3.18</v>
      </c>
      <c r="E132" s="312">
        <v>3.8414999999999999</v>
      </c>
      <c r="F132" s="312">
        <v>3.3</v>
      </c>
      <c r="G132" s="312">
        <v>3.8664999999999998</v>
      </c>
      <c r="H132" s="312">
        <v>7.3010000000000002</v>
      </c>
      <c r="I132" s="312">
        <v>16.073499999999999</v>
      </c>
      <c r="J132" s="321">
        <v>50</v>
      </c>
      <c r="K132" s="321">
        <v>9</v>
      </c>
      <c r="L132" s="337" t="s">
        <v>140</v>
      </c>
      <c r="M132" s="321" t="s">
        <v>296</v>
      </c>
      <c r="N132" s="321"/>
      <c r="O132" s="321" t="s">
        <v>108</v>
      </c>
      <c r="P132" s="4">
        <v>100</v>
      </c>
      <c r="Q132" s="5">
        <f t="shared" si="61"/>
        <v>0</v>
      </c>
      <c r="R132" s="5">
        <f t="shared" si="62"/>
        <v>3.18</v>
      </c>
      <c r="S132" s="5">
        <f t="shared" si="63"/>
        <v>3.8414999999999999</v>
      </c>
      <c r="T132" s="5">
        <f t="shared" si="64"/>
        <v>3.3</v>
      </c>
      <c r="U132" s="5">
        <f t="shared" si="65"/>
        <v>3.8664999999999998</v>
      </c>
      <c r="V132" s="5">
        <f t="shared" si="66"/>
        <v>7.3010000000000002</v>
      </c>
      <c r="W132" s="5">
        <f t="shared" si="67"/>
        <v>16.073499999999999</v>
      </c>
    </row>
    <row r="133" spans="1:23" s="86" customFormat="1">
      <c r="A133" s="340">
        <v>1</v>
      </c>
      <c r="B133" s="321" t="s">
        <v>297</v>
      </c>
      <c r="C133" s="312">
        <v>19.054400000000001</v>
      </c>
      <c r="D133" s="312">
        <v>21.382400000000001</v>
      </c>
      <c r="E133" s="312">
        <v>7.7456000000000005</v>
      </c>
      <c r="F133" s="312">
        <v>0</v>
      </c>
      <c r="G133" s="312">
        <v>0</v>
      </c>
      <c r="H133" s="312">
        <v>0</v>
      </c>
      <c r="I133" s="312">
        <v>0</v>
      </c>
      <c r="J133" s="321">
        <v>80</v>
      </c>
      <c r="K133" s="321">
        <v>4.5999999999999996</v>
      </c>
      <c r="L133" s="321"/>
      <c r="M133" s="321" t="s">
        <v>298</v>
      </c>
      <c r="N133" s="321"/>
      <c r="O133" s="321" t="s">
        <v>108</v>
      </c>
      <c r="P133" s="4">
        <v>100</v>
      </c>
      <c r="Q133" s="5">
        <f t="shared" si="61"/>
        <v>19.054400000000001</v>
      </c>
      <c r="R133" s="5">
        <f t="shared" si="62"/>
        <v>21.382400000000001</v>
      </c>
      <c r="S133" s="5">
        <f t="shared" si="63"/>
        <v>7.7456000000000005</v>
      </c>
      <c r="T133" s="5">
        <f t="shared" si="64"/>
        <v>0</v>
      </c>
      <c r="U133" s="5">
        <f t="shared" si="65"/>
        <v>0</v>
      </c>
      <c r="V133" s="5">
        <f t="shared" si="66"/>
        <v>0</v>
      </c>
      <c r="W133" s="5">
        <f t="shared" si="67"/>
        <v>0</v>
      </c>
    </row>
    <row r="134" spans="1:23" s="86" customFormat="1">
      <c r="A134" s="340">
        <v>1</v>
      </c>
      <c r="B134" s="321" t="s">
        <v>299</v>
      </c>
      <c r="C134" s="312">
        <v>0</v>
      </c>
      <c r="D134" s="312">
        <v>18.87595</v>
      </c>
      <c r="E134" s="312">
        <v>17.170849999999998</v>
      </c>
      <c r="F134" s="312">
        <v>17.170849999999998</v>
      </c>
      <c r="G134" s="312">
        <v>13.039</v>
      </c>
      <c r="H134" s="312">
        <v>9.7350499999999993</v>
      </c>
      <c r="I134" s="312">
        <v>9.7350499999999993</v>
      </c>
      <c r="J134" s="321">
        <v>85</v>
      </c>
      <c r="K134" s="321" t="s">
        <v>300</v>
      </c>
      <c r="L134" s="321"/>
      <c r="M134" s="321" t="s">
        <v>301</v>
      </c>
      <c r="N134" s="321"/>
      <c r="O134" s="321" t="s">
        <v>108</v>
      </c>
      <c r="P134" s="4">
        <v>100</v>
      </c>
      <c r="Q134" s="5">
        <f t="shared" si="61"/>
        <v>0</v>
      </c>
      <c r="R134" s="5">
        <f t="shared" si="62"/>
        <v>18.87595</v>
      </c>
      <c r="S134" s="5">
        <f t="shared" si="63"/>
        <v>17.170849999999998</v>
      </c>
      <c r="T134" s="5">
        <f t="shared" si="64"/>
        <v>17.170849999999998</v>
      </c>
      <c r="U134" s="5">
        <f t="shared" si="65"/>
        <v>13.039</v>
      </c>
      <c r="V134" s="5">
        <f t="shared" si="66"/>
        <v>9.7350499999999993</v>
      </c>
      <c r="W134" s="5">
        <f t="shared" si="67"/>
        <v>9.7350499999999993</v>
      </c>
    </row>
    <row r="135" spans="1:23" s="86" customFormat="1" ht="14.4">
      <c r="A135" s="340">
        <v>1</v>
      </c>
      <c r="B135" s="321" t="s">
        <v>302</v>
      </c>
      <c r="C135" s="312">
        <v>0</v>
      </c>
      <c r="D135" s="312">
        <v>0.5</v>
      </c>
      <c r="E135" s="312">
        <v>0.5</v>
      </c>
      <c r="F135" s="312">
        <v>0.5</v>
      </c>
      <c r="G135" s="312">
        <v>15.433999999999999</v>
      </c>
      <c r="H135" s="312">
        <v>15.379</v>
      </c>
      <c r="I135" s="312">
        <v>35.622</v>
      </c>
      <c r="J135" s="321">
        <v>100</v>
      </c>
      <c r="K135" s="321">
        <v>6</v>
      </c>
      <c r="L135" s="337" t="s">
        <v>189</v>
      </c>
      <c r="M135" s="321" t="s">
        <v>301</v>
      </c>
      <c r="N135" s="321"/>
      <c r="O135" s="321" t="s">
        <v>108</v>
      </c>
      <c r="P135" s="4">
        <v>100</v>
      </c>
      <c r="Q135" s="5">
        <f t="shared" ref="Q135:Q136" si="68">+$P135/100*C135</f>
        <v>0</v>
      </c>
      <c r="R135" s="5">
        <f t="shared" ref="R135:R136" si="69">+$P135/100*D135</f>
        <v>0.5</v>
      </c>
      <c r="S135" s="5">
        <f t="shared" ref="S135:S136" si="70">+$P135/100*E135</f>
        <v>0.5</v>
      </c>
      <c r="T135" s="5">
        <f t="shared" ref="T135:T136" si="71">+$P135/100*F135</f>
        <v>0.5</v>
      </c>
      <c r="U135" s="5">
        <f t="shared" ref="U135:U136" si="72">+$P135/100*G135</f>
        <v>15.433999999999999</v>
      </c>
      <c r="V135" s="5">
        <f t="shared" ref="V135:V136" si="73">+$P135/100*H135</f>
        <v>15.379</v>
      </c>
      <c r="W135" s="5">
        <f t="shared" si="67"/>
        <v>35.622</v>
      </c>
    </row>
    <row r="136" spans="1:23" s="86" customFormat="1" ht="14.4">
      <c r="A136" s="340">
        <v>1</v>
      </c>
      <c r="B136" s="321" t="s">
        <v>303</v>
      </c>
      <c r="C136" s="312">
        <v>0</v>
      </c>
      <c r="D136" s="312">
        <v>0</v>
      </c>
      <c r="E136" s="312">
        <v>41.597000000000001</v>
      </c>
      <c r="F136" s="312">
        <v>17.097999999999999</v>
      </c>
      <c r="G136" s="312">
        <v>1.3049999999999999</v>
      </c>
      <c r="H136" s="312">
        <v>0</v>
      </c>
      <c r="I136" s="312">
        <v>0</v>
      </c>
      <c r="J136" s="321">
        <v>100</v>
      </c>
      <c r="K136" s="321">
        <v>6</v>
      </c>
      <c r="L136" s="337" t="s">
        <v>189</v>
      </c>
      <c r="M136" s="321" t="s">
        <v>301</v>
      </c>
      <c r="N136" s="321"/>
      <c r="O136" s="321" t="s">
        <v>108</v>
      </c>
      <c r="P136" s="4">
        <v>100</v>
      </c>
      <c r="Q136" s="5">
        <f t="shared" si="68"/>
        <v>0</v>
      </c>
      <c r="R136" s="5">
        <f t="shared" si="69"/>
        <v>0</v>
      </c>
      <c r="S136" s="5">
        <f t="shared" si="70"/>
        <v>41.597000000000001</v>
      </c>
      <c r="T136" s="5">
        <f t="shared" si="71"/>
        <v>17.097999999999999</v>
      </c>
      <c r="U136" s="5">
        <f t="shared" si="72"/>
        <v>1.3049999999999999</v>
      </c>
      <c r="V136" s="5">
        <f t="shared" si="73"/>
        <v>0</v>
      </c>
      <c r="W136" s="5">
        <f t="shared" si="67"/>
        <v>0</v>
      </c>
    </row>
    <row r="137" spans="1:23" ht="13.5" customHeight="1">
      <c r="A137" s="341" t="s">
        <v>304</v>
      </c>
      <c r="B137" s="332" t="s">
        <v>305</v>
      </c>
      <c r="C137" s="342"/>
      <c r="D137" s="342"/>
      <c r="E137" s="342"/>
      <c r="F137" s="342"/>
      <c r="G137" s="342"/>
      <c r="H137" s="342"/>
      <c r="I137" s="342"/>
      <c r="J137" s="321"/>
      <c r="K137" s="321"/>
      <c r="L137" s="321"/>
      <c r="M137" s="321"/>
      <c r="N137" s="321"/>
      <c r="O137" s="321"/>
      <c r="Q137" s="5">
        <f t="shared" si="61"/>
        <v>0</v>
      </c>
      <c r="R137" s="5">
        <f t="shared" si="62"/>
        <v>0</v>
      </c>
      <c r="S137" s="5">
        <f t="shared" si="63"/>
        <v>0</v>
      </c>
      <c r="T137" s="5">
        <f t="shared" si="64"/>
        <v>0</v>
      </c>
      <c r="U137" s="5">
        <f t="shared" si="65"/>
        <v>0</v>
      </c>
      <c r="V137" s="5">
        <f t="shared" si="66"/>
        <v>0</v>
      </c>
      <c r="W137" s="5">
        <f t="shared" si="67"/>
        <v>0</v>
      </c>
    </row>
    <row r="138" spans="1:23" ht="13.5" customHeight="1">
      <c r="A138" s="340">
        <v>2</v>
      </c>
      <c r="B138" s="321" t="s">
        <v>306</v>
      </c>
      <c r="C138" s="342">
        <v>9.5571000000000002</v>
      </c>
      <c r="D138" s="342">
        <v>5.8680000000000003</v>
      </c>
      <c r="E138" s="342">
        <v>12.792</v>
      </c>
      <c r="F138" s="342">
        <v>12.157</v>
      </c>
      <c r="G138" s="342">
        <v>17.495999999999999</v>
      </c>
      <c r="H138" s="342">
        <v>17.495999999999999</v>
      </c>
      <c r="I138" s="342">
        <v>17.495999999999999</v>
      </c>
      <c r="J138" s="321">
        <v>90</v>
      </c>
      <c r="K138" s="321" t="s">
        <v>307</v>
      </c>
      <c r="L138" s="321"/>
      <c r="M138" s="321" t="s">
        <v>308</v>
      </c>
      <c r="N138" s="321"/>
      <c r="O138" s="321" t="s">
        <v>108</v>
      </c>
      <c r="P138" s="10">
        <v>100</v>
      </c>
      <c r="Q138" s="5">
        <f t="shared" si="61"/>
        <v>9.5571000000000002</v>
      </c>
      <c r="R138" s="5">
        <f t="shared" si="62"/>
        <v>5.8680000000000003</v>
      </c>
      <c r="S138" s="5">
        <f t="shared" si="63"/>
        <v>12.792</v>
      </c>
      <c r="T138" s="5">
        <f t="shared" si="64"/>
        <v>12.157</v>
      </c>
      <c r="U138" s="5">
        <f t="shared" si="65"/>
        <v>17.495999999999999</v>
      </c>
      <c r="V138" s="5">
        <f t="shared" si="66"/>
        <v>17.495999999999999</v>
      </c>
      <c r="W138" s="5">
        <f t="shared" si="67"/>
        <v>17.495999999999999</v>
      </c>
    </row>
    <row r="139" spans="1:23" ht="13.5" customHeight="1">
      <c r="A139" s="340">
        <v>2</v>
      </c>
      <c r="B139" s="321" t="s">
        <v>309</v>
      </c>
      <c r="C139" s="342">
        <v>28.378799999999998</v>
      </c>
      <c r="D139" s="342">
        <v>28.675799999999999</v>
      </c>
      <c r="E139" s="342">
        <v>15.978</v>
      </c>
      <c r="F139" s="342">
        <v>7.798</v>
      </c>
      <c r="G139" s="342">
        <v>0</v>
      </c>
      <c r="H139" s="342">
        <v>0</v>
      </c>
      <c r="I139" s="342">
        <v>0</v>
      </c>
      <c r="J139" s="321">
        <v>90</v>
      </c>
      <c r="K139" s="321" t="s">
        <v>307</v>
      </c>
      <c r="L139" s="321"/>
      <c r="M139" s="321" t="s">
        <v>121</v>
      </c>
      <c r="N139" s="321"/>
      <c r="O139" s="321" t="s">
        <v>108</v>
      </c>
      <c r="P139" s="10">
        <v>100</v>
      </c>
      <c r="Q139" s="5">
        <f>+$P139/100*C139</f>
        <v>28.378799999999998</v>
      </c>
      <c r="R139" s="5">
        <f>+$P139/100*D139</f>
        <v>28.675799999999999</v>
      </c>
      <c r="S139" s="5">
        <f>+$P139/100*E139</f>
        <v>15.978</v>
      </c>
      <c r="T139" s="5">
        <f t="shared" si="64"/>
        <v>7.798</v>
      </c>
      <c r="U139" s="5">
        <f t="shared" si="65"/>
        <v>0</v>
      </c>
      <c r="V139" s="5">
        <f>+$P139/100*H139</f>
        <v>0</v>
      </c>
      <c r="W139" s="5">
        <f>+$P139/100*I139</f>
        <v>0</v>
      </c>
    </row>
    <row r="140" spans="1:23" ht="14.4">
      <c r="A140" s="340">
        <v>2</v>
      </c>
      <c r="B140" s="321" t="s">
        <v>310</v>
      </c>
      <c r="C140" s="342">
        <v>20.672000000000001</v>
      </c>
      <c r="D140" s="342">
        <v>22.446999999999999</v>
      </c>
      <c r="E140" s="342">
        <v>23.645</v>
      </c>
      <c r="F140" s="342">
        <v>21.99</v>
      </c>
      <c r="G140" s="342">
        <v>21.972000000000001</v>
      </c>
      <c r="H140" s="342">
        <v>21.972999999999999</v>
      </c>
      <c r="I140" s="342">
        <v>21.972999999999999</v>
      </c>
      <c r="J140" s="321">
        <v>100</v>
      </c>
      <c r="K140" s="321">
        <v>6</v>
      </c>
      <c r="L140" s="337" t="s">
        <v>189</v>
      </c>
      <c r="M140" s="321" t="s">
        <v>308</v>
      </c>
      <c r="N140" s="321"/>
      <c r="O140" s="321" t="s">
        <v>108</v>
      </c>
      <c r="P140" s="10">
        <v>100</v>
      </c>
      <c r="Q140" s="5">
        <f t="shared" si="61"/>
        <v>20.672000000000001</v>
      </c>
      <c r="R140" s="5">
        <f t="shared" si="62"/>
        <v>22.446999999999999</v>
      </c>
      <c r="S140" s="5">
        <f t="shared" si="63"/>
        <v>23.645</v>
      </c>
      <c r="T140" s="5">
        <f t="shared" si="64"/>
        <v>21.99</v>
      </c>
      <c r="U140" s="5">
        <f t="shared" si="65"/>
        <v>21.972000000000001</v>
      </c>
      <c r="V140" s="5">
        <f t="shared" si="66"/>
        <v>21.972999999999999</v>
      </c>
      <c r="W140" s="5">
        <f t="shared" si="67"/>
        <v>21.972999999999999</v>
      </c>
    </row>
    <row r="141" spans="1:23" s="86" customFormat="1" ht="14.4">
      <c r="A141" s="340">
        <v>2</v>
      </c>
      <c r="B141" s="321" t="s">
        <v>311</v>
      </c>
      <c r="C141" s="342">
        <v>0.64700000000000002</v>
      </c>
      <c r="D141" s="342">
        <v>5.8529999999999998</v>
      </c>
      <c r="E141" s="342">
        <v>6.2640000000000002</v>
      </c>
      <c r="F141" s="342">
        <v>4.2960000000000003</v>
      </c>
      <c r="G141" s="342">
        <v>4.3550000000000004</v>
      </c>
      <c r="H141" s="342">
        <v>8.2230000000000008</v>
      </c>
      <c r="I141" s="342">
        <v>7.766</v>
      </c>
      <c r="J141" s="321">
        <v>100</v>
      </c>
      <c r="K141" s="321">
        <v>6</v>
      </c>
      <c r="L141" s="337" t="s">
        <v>189</v>
      </c>
      <c r="M141" s="342" t="s">
        <v>308</v>
      </c>
      <c r="N141" s="342"/>
      <c r="O141" s="342" t="s">
        <v>108</v>
      </c>
      <c r="P141" s="10">
        <v>100</v>
      </c>
      <c r="Q141" s="5">
        <f t="shared" si="61"/>
        <v>0.64700000000000002</v>
      </c>
      <c r="R141" s="5">
        <f t="shared" si="62"/>
        <v>5.8529999999999998</v>
      </c>
      <c r="S141" s="5">
        <f t="shared" si="63"/>
        <v>6.2640000000000002</v>
      </c>
      <c r="T141" s="5">
        <f t="shared" si="64"/>
        <v>4.2960000000000003</v>
      </c>
      <c r="U141" s="5">
        <f t="shared" si="65"/>
        <v>4.3550000000000004</v>
      </c>
      <c r="V141" s="5">
        <f t="shared" si="66"/>
        <v>8.2230000000000008</v>
      </c>
      <c r="W141" s="5">
        <f t="shared" si="67"/>
        <v>7.766</v>
      </c>
    </row>
    <row r="142" spans="1:23" ht="14.4">
      <c r="A142" s="340">
        <v>2</v>
      </c>
      <c r="B142" s="321" t="s">
        <v>312</v>
      </c>
      <c r="C142" s="342">
        <v>0</v>
      </c>
      <c r="D142" s="342">
        <v>3.4159999999999999</v>
      </c>
      <c r="E142" s="342">
        <v>4.5</v>
      </c>
      <c r="F142" s="342">
        <v>2.5</v>
      </c>
      <c r="G142" s="342">
        <v>2.5</v>
      </c>
      <c r="H142" s="342">
        <v>2.5</v>
      </c>
      <c r="I142" s="342">
        <v>0</v>
      </c>
      <c r="J142" s="321">
        <v>100</v>
      </c>
      <c r="K142" s="321">
        <v>4</v>
      </c>
      <c r="L142" s="337" t="s">
        <v>223</v>
      </c>
      <c r="M142" s="321" t="s">
        <v>308</v>
      </c>
      <c r="N142" s="321"/>
      <c r="O142" s="321" t="s">
        <v>108</v>
      </c>
      <c r="P142" s="10">
        <v>100</v>
      </c>
      <c r="Q142" s="5">
        <f t="shared" si="61"/>
        <v>0</v>
      </c>
      <c r="R142" s="5">
        <f t="shared" si="62"/>
        <v>3.4159999999999999</v>
      </c>
      <c r="S142" s="5">
        <f t="shared" si="63"/>
        <v>4.5</v>
      </c>
      <c r="T142" s="5">
        <f t="shared" si="64"/>
        <v>2.5</v>
      </c>
      <c r="U142" s="5">
        <f t="shared" si="65"/>
        <v>2.5</v>
      </c>
      <c r="V142" s="5">
        <f t="shared" si="66"/>
        <v>2.5</v>
      </c>
      <c r="W142" s="5">
        <f t="shared" si="67"/>
        <v>0</v>
      </c>
    </row>
    <row r="143" spans="1:23">
      <c r="A143" s="340">
        <v>2</v>
      </c>
      <c r="B143" s="321" t="s">
        <v>313</v>
      </c>
      <c r="C143" s="342">
        <v>0</v>
      </c>
      <c r="D143" s="342">
        <v>0.34499999999999997</v>
      </c>
      <c r="E143" s="342">
        <v>1.706</v>
      </c>
      <c r="F143" s="342">
        <v>1.518</v>
      </c>
      <c r="G143" s="342">
        <v>1.4339999999999999</v>
      </c>
      <c r="H143" s="342">
        <v>1.3089999999999999</v>
      </c>
      <c r="I143" s="342">
        <v>3.488</v>
      </c>
      <c r="J143" s="321">
        <v>30</v>
      </c>
      <c r="K143" s="321">
        <v>2.6</v>
      </c>
      <c r="L143" s="317"/>
      <c r="M143" s="321" t="s">
        <v>121</v>
      </c>
      <c r="N143" s="321"/>
      <c r="O143" s="321" t="s">
        <v>108</v>
      </c>
      <c r="P143" s="10">
        <v>100</v>
      </c>
      <c r="Q143" s="5">
        <f t="shared" si="61"/>
        <v>0</v>
      </c>
      <c r="R143" s="5">
        <f t="shared" si="62"/>
        <v>0.34499999999999997</v>
      </c>
      <c r="S143" s="5">
        <f t="shared" si="63"/>
        <v>1.706</v>
      </c>
      <c r="T143" s="5">
        <f t="shared" si="64"/>
        <v>1.518</v>
      </c>
      <c r="U143" s="5">
        <f t="shared" si="65"/>
        <v>1.4339999999999999</v>
      </c>
      <c r="V143" s="5">
        <f t="shared" si="66"/>
        <v>1.3089999999999999</v>
      </c>
      <c r="W143" s="5">
        <f t="shared" si="67"/>
        <v>3.488</v>
      </c>
    </row>
    <row r="144" spans="1:23" s="86" customFormat="1" ht="14.4">
      <c r="A144" s="340">
        <v>2</v>
      </c>
      <c r="B144" s="321" t="s">
        <v>314</v>
      </c>
      <c r="C144" s="342">
        <v>5.5389999999999997</v>
      </c>
      <c r="D144" s="342">
        <v>4.5350000000000001</v>
      </c>
      <c r="E144" s="342">
        <v>6.694</v>
      </c>
      <c r="F144" s="342">
        <v>7.6864999999999997</v>
      </c>
      <c r="G144" s="342">
        <v>5.5114999999999998</v>
      </c>
      <c r="H144" s="342">
        <v>3.278</v>
      </c>
      <c r="I144" s="342">
        <v>2.8765000000000001</v>
      </c>
      <c r="J144" s="321">
        <v>50</v>
      </c>
      <c r="K144" s="321">
        <v>4</v>
      </c>
      <c r="L144" s="337" t="s">
        <v>223</v>
      </c>
      <c r="M144" s="321" t="s">
        <v>308</v>
      </c>
      <c r="N144" s="321"/>
      <c r="O144" s="321" t="s">
        <v>108</v>
      </c>
      <c r="P144" s="4">
        <v>100</v>
      </c>
      <c r="Q144" s="5">
        <f t="shared" si="61"/>
        <v>5.5389999999999997</v>
      </c>
      <c r="R144" s="5">
        <f t="shared" si="62"/>
        <v>4.5350000000000001</v>
      </c>
      <c r="S144" s="5">
        <f t="shared" si="63"/>
        <v>6.694</v>
      </c>
      <c r="T144" s="5">
        <f t="shared" si="64"/>
        <v>7.6864999999999997</v>
      </c>
      <c r="U144" s="5">
        <f t="shared" si="65"/>
        <v>5.5114999999999998</v>
      </c>
      <c r="V144" s="5">
        <f t="shared" si="66"/>
        <v>3.278</v>
      </c>
      <c r="W144" s="5">
        <f t="shared" si="67"/>
        <v>2.8765000000000001</v>
      </c>
    </row>
    <row r="145" spans="1:23" s="86" customFormat="1" ht="14.4">
      <c r="A145" s="340">
        <v>2</v>
      </c>
      <c r="B145" s="321" t="s">
        <v>315</v>
      </c>
      <c r="C145" s="342">
        <v>8.0399999999999991</v>
      </c>
      <c r="D145" s="342">
        <v>11.462999999999999</v>
      </c>
      <c r="E145" s="342">
        <v>42.293999999999997</v>
      </c>
      <c r="F145" s="342">
        <v>12.752000000000001</v>
      </c>
      <c r="G145" s="342">
        <v>24.32</v>
      </c>
      <c r="H145" s="342">
        <v>7.9340000000000002</v>
      </c>
      <c r="I145" s="342">
        <v>0</v>
      </c>
      <c r="J145" s="321">
        <v>50</v>
      </c>
      <c r="K145" s="313">
        <v>6</v>
      </c>
      <c r="L145" s="337" t="s">
        <v>189</v>
      </c>
      <c r="M145" s="321" t="s">
        <v>308</v>
      </c>
      <c r="N145" s="321"/>
      <c r="O145" s="321" t="s">
        <v>108</v>
      </c>
      <c r="P145" s="4">
        <v>100</v>
      </c>
      <c r="Q145" s="5">
        <f t="shared" si="61"/>
        <v>8.0399999999999991</v>
      </c>
      <c r="R145" s="5">
        <f t="shared" si="62"/>
        <v>11.462999999999999</v>
      </c>
      <c r="S145" s="5">
        <f t="shared" si="63"/>
        <v>42.293999999999997</v>
      </c>
      <c r="T145" s="5">
        <f t="shared" si="64"/>
        <v>12.752000000000001</v>
      </c>
      <c r="U145" s="5">
        <f t="shared" si="65"/>
        <v>24.32</v>
      </c>
      <c r="V145" s="5">
        <f t="shared" si="66"/>
        <v>7.9340000000000002</v>
      </c>
      <c r="W145" s="5">
        <f t="shared" si="67"/>
        <v>0</v>
      </c>
    </row>
    <row r="146" spans="1:23" s="86" customFormat="1" ht="14.4">
      <c r="A146" s="340">
        <v>2</v>
      </c>
      <c r="B146" s="321" t="s">
        <v>316</v>
      </c>
      <c r="C146" s="342">
        <v>0</v>
      </c>
      <c r="D146" s="342">
        <v>0</v>
      </c>
      <c r="E146" s="342">
        <v>0</v>
      </c>
      <c r="F146" s="342">
        <v>11.25</v>
      </c>
      <c r="G146" s="342">
        <v>16.25</v>
      </c>
      <c r="H146" s="342">
        <v>16.25</v>
      </c>
      <c r="I146" s="342">
        <v>16.25</v>
      </c>
      <c r="J146" s="321">
        <v>50</v>
      </c>
      <c r="K146" s="313">
        <v>6</v>
      </c>
      <c r="L146" s="337" t="s">
        <v>189</v>
      </c>
      <c r="M146" s="321" t="s">
        <v>308</v>
      </c>
      <c r="N146" s="321"/>
      <c r="O146" s="321" t="s">
        <v>108</v>
      </c>
      <c r="P146" s="4">
        <v>100</v>
      </c>
      <c r="Q146" s="5">
        <f t="shared" ref="Q146" si="74">+$P146/100*C146</f>
        <v>0</v>
      </c>
      <c r="R146" s="5">
        <f t="shared" ref="R146" si="75">+$P146/100*D146</f>
        <v>0</v>
      </c>
      <c r="S146" s="5">
        <f t="shared" ref="S146" si="76">+$P146/100*E146</f>
        <v>0</v>
      </c>
      <c r="T146" s="5">
        <f t="shared" ref="T146" si="77">+$P146/100*F146</f>
        <v>11.25</v>
      </c>
      <c r="U146" s="5">
        <f t="shared" ref="U146" si="78">+$P146/100*G146</f>
        <v>16.25</v>
      </c>
      <c r="V146" s="5">
        <f t="shared" ref="V146" si="79">+$P146/100*H146</f>
        <v>16.25</v>
      </c>
      <c r="W146" s="5">
        <f t="shared" si="67"/>
        <v>16.25</v>
      </c>
    </row>
    <row r="147" spans="1:23" ht="14.4">
      <c r="A147" s="340">
        <v>2</v>
      </c>
      <c r="B147" s="321" t="s">
        <v>1074</v>
      </c>
      <c r="C147" s="342">
        <v>5.3959999999999999</v>
      </c>
      <c r="D147" s="342">
        <v>5.8840000000000003</v>
      </c>
      <c r="E147" s="342">
        <v>7.0329999999999995</v>
      </c>
      <c r="F147" s="342">
        <v>6.9239999999999995</v>
      </c>
      <c r="G147" s="342">
        <v>5.7149999999999999</v>
      </c>
      <c r="H147" s="342">
        <v>4.3890000000000002</v>
      </c>
      <c r="I147" s="342">
        <v>13.954000000000001</v>
      </c>
      <c r="J147" s="321">
        <v>100</v>
      </c>
      <c r="K147" s="321">
        <v>4</v>
      </c>
      <c r="L147" s="337" t="s">
        <v>223</v>
      </c>
      <c r="M147" s="321" t="s">
        <v>97</v>
      </c>
      <c r="N147" s="321"/>
      <c r="O147" s="321" t="s">
        <v>130</v>
      </c>
      <c r="P147" s="10">
        <v>100</v>
      </c>
      <c r="Q147" s="5">
        <f t="shared" ref="Q147:W147" si="80">+$P147/100*C147</f>
        <v>5.3959999999999999</v>
      </c>
      <c r="R147" s="5">
        <f t="shared" si="80"/>
        <v>5.8840000000000003</v>
      </c>
      <c r="S147" s="5">
        <f t="shared" si="80"/>
        <v>7.0329999999999995</v>
      </c>
      <c r="T147" s="5">
        <f t="shared" si="80"/>
        <v>6.9239999999999995</v>
      </c>
      <c r="U147" s="5">
        <f t="shared" si="80"/>
        <v>5.7149999999999999</v>
      </c>
      <c r="V147" s="5">
        <f t="shared" si="80"/>
        <v>4.3890000000000002</v>
      </c>
      <c r="W147" s="5">
        <f t="shared" si="80"/>
        <v>13.954000000000001</v>
      </c>
    </row>
    <row r="148" spans="1:23" s="86" customFormat="1">
      <c r="A148" s="340">
        <v>2</v>
      </c>
      <c r="B148" s="321" t="s">
        <v>319</v>
      </c>
      <c r="C148" s="342">
        <v>302.30399999999997</v>
      </c>
      <c r="D148" s="342">
        <v>308.86800000000005</v>
      </c>
      <c r="E148" s="342">
        <v>249.34800000000001</v>
      </c>
      <c r="F148" s="342">
        <v>234.52800000000002</v>
      </c>
      <c r="G148" s="342">
        <v>221.53299999999999</v>
      </c>
      <c r="H148" s="342">
        <v>217.95099999999999</v>
      </c>
      <c r="I148" s="342">
        <v>205.19</v>
      </c>
      <c r="J148" s="321">
        <v>100</v>
      </c>
      <c r="K148" s="321">
        <v>2.6</v>
      </c>
      <c r="L148" s="321"/>
      <c r="M148" s="321" t="s">
        <v>320</v>
      </c>
      <c r="N148" s="321"/>
      <c r="O148" s="321" t="s">
        <v>130</v>
      </c>
      <c r="P148" s="4">
        <v>100</v>
      </c>
      <c r="Q148" s="5">
        <f t="shared" si="61"/>
        <v>302.30399999999997</v>
      </c>
      <c r="R148" s="5">
        <f t="shared" si="62"/>
        <v>308.86800000000005</v>
      </c>
      <c r="S148" s="5">
        <f t="shared" si="63"/>
        <v>249.34800000000001</v>
      </c>
      <c r="T148" s="5">
        <f t="shared" si="64"/>
        <v>234.52800000000002</v>
      </c>
      <c r="U148" s="5">
        <f t="shared" si="65"/>
        <v>221.53299999999999</v>
      </c>
      <c r="V148" s="5">
        <f t="shared" si="66"/>
        <v>217.95099999999999</v>
      </c>
      <c r="W148" s="5">
        <f t="shared" si="67"/>
        <v>205.19</v>
      </c>
    </row>
    <row r="149" spans="1:23" ht="15" customHeight="1">
      <c r="A149" s="340">
        <v>2</v>
      </c>
      <c r="B149" s="321" t="s">
        <v>321</v>
      </c>
      <c r="C149" s="342">
        <v>47.777999999999999</v>
      </c>
      <c r="D149" s="342">
        <v>52.872</v>
      </c>
      <c r="E149" s="342">
        <v>60.656999999999996</v>
      </c>
      <c r="F149" s="342">
        <v>64.156999999999996</v>
      </c>
      <c r="G149" s="342">
        <v>62.625999999999998</v>
      </c>
      <c r="H149" s="342">
        <v>65.897999999999996</v>
      </c>
      <c r="I149" s="342">
        <v>67.412999999999997</v>
      </c>
      <c r="J149" s="321">
        <v>100</v>
      </c>
      <c r="K149" s="321">
        <v>6</v>
      </c>
      <c r="L149" s="337" t="s">
        <v>189</v>
      </c>
      <c r="M149" s="321" t="s">
        <v>308</v>
      </c>
      <c r="N149" s="321"/>
      <c r="O149" s="321" t="s">
        <v>108</v>
      </c>
      <c r="P149" s="4">
        <v>100</v>
      </c>
      <c r="Q149" s="5">
        <f t="shared" si="61"/>
        <v>47.777999999999999</v>
      </c>
      <c r="R149" s="5">
        <f t="shared" si="62"/>
        <v>52.872</v>
      </c>
      <c r="S149" s="5">
        <f t="shared" si="63"/>
        <v>60.656999999999996</v>
      </c>
      <c r="T149" s="5">
        <f t="shared" si="64"/>
        <v>64.156999999999996</v>
      </c>
      <c r="U149" s="5">
        <f t="shared" si="65"/>
        <v>62.625999999999998</v>
      </c>
      <c r="V149" s="5">
        <f t="shared" si="66"/>
        <v>65.897999999999996</v>
      </c>
      <c r="W149" s="5">
        <f t="shared" si="67"/>
        <v>67.412999999999997</v>
      </c>
    </row>
    <row r="150" spans="1:23" s="86" customFormat="1">
      <c r="A150" s="340">
        <v>2</v>
      </c>
      <c r="B150" s="321" t="s">
        <v>322</v>
      </c>
      <c r="C150" s="342">
        <v>173.76499999999999</v>
      </c>
      <c r="D150" s="342">
        <v>187.37100000000001</v>
      </c>
      <c r="E150" s="342">
        <v>189.245</v>
      </c>
      <c r="F150" s="342">
        <v>189.88</v>
      </c>
      <c r="G150" s="342">
        <v>187.29900000000001</v>
      </c>
      <c r="H150" s="342">
        <v>183.905</v>
      </c>
      <c r="I150" s="342">
        <v>183.55099999999999</v>
      </c>
      <c r="J150" s="321">
        <v>100</v>
      </c>
      <c r="K150" s="321" t="s">
        <v>307</v>
      </c>
      <c r="L150" s="321"/>
      <c r="M150" s="317" t="s">
        <v>323</v>
      </c>
      <c r="N150" s="321"/>
      <c r="O150" s="321" t="s">
        <v>108</v>
      </c>
      <c r="P150" s="4">
        <v>100</v>
      </c>
      <c r="Q150" s="5">
        <f t="shared" si="61"/>
        <v>173.76499999999999</v>
      </c>
      <c r="R150" s="5">
        <f t="shared" si="62"/>
        <v>187.37100000000001</v>
      </c>
      <c r="S150" s="5">
        <f t="shared" si="63"/>
        <v>189.245</v>
      </c>
      <c r="T150" s="5">
        <f t="shared" si="64"/>
        <v>189.88</v>
      </c>
      <c r="U150" s="5">
        <f t="shared" si="65"/>
        <v>187.29900000000001</v>
      </c>
      <c r="V150" s="5">
        <f t="shared" si="66"/>
        <v>183.905</v>
      </c>
      <c r="W150" s="5">
        <f t="shared" si="67"/>
        <v>183.55099999999999</v>
      </c>
    </row>
    <row r="151" spans="1:23">
      <c r="A151" s="340">
        <v>2</v>
      </c>
      <c r="B151" s="321" t="s">
        <v>1076</v>
      </c>
      <c r="C151" s="342">
        <v>79.448999999999998</v>
      </c>
      <c r="D151" s="342">
        <v>75.956999999999994</v>
      </c>
      <c r="E151" s="342">
        <v>67.215999999999994</v>
      </c>
      <c r="F151" s="342">
        <v>67.102000000000004</v>
      </c>
      <c r="G151" s="342">
        <v>64.680999999999997</v>
      </c>
      <c r="H151" s="342">
        <v>64.430999999999997</v>
      </c>
      <c r="I151" s="342">
        <v>64.430999999999997</v>
      </c>
      <c r="J151" s="321">
        <v>100</v>
      </c>
      <c r="K151" s="321" t="s">
        <v>1075</v>
      </c>
      <c r="L151" s="321"/>
      <c r="M151" s="321" t="s">
        <v>324</v>
      </c>
      <c r="N151" s="321"/>
      <c r="O151" s="321" t="s">
        <v>130</v>
      </c>
      <c r="P151" s="4">
        <v>100</v>
      </c>
      <c r="Q151" s="5">
        <f t="shared" si="61"/>
        <v>79.448999999999998</v>
      </c>
      <c r="R151" s="5">
        <f t="shared" si="62"/>
        <v>75.956999999999994</v>
      </c>
      <c r="S151" s="5">
        <f t="shared" si="63"/>
        <v>67.215999999999994</v>
      </c>
      <c r="T151" s="5">
        <f t="shared" si="64"/>
        <v>67.102000000000004</v>
      </c>
      <c r="U151" s="5">
        <f t="shared" si="65"/>
        <v>64.680999999999997</v>
      </c>
      <c r="V151" s="5">
        <f t="shared" si="66"/>
        <v>64.430999999999997</v>
      </c>
      <c r="W151" s="5">
        <f t="shared" si="67"/>
        <v>64.430999999999997</v>
      </c>
    </row>
    <row r="152" spans="1:23" s="86" customFormat="1">
      <c r="A152" s="340">
        <v>2</v>
      </c>
      <c r="B152" s="321" t="s">
        <v>325</v>
      </c>
      <c r="C152" s="342">
        <v>2.1000000000000001E-2</v>
      </c>
      <c r="D152" s="342">
        <v>0.26200000000000001</v>
      </c>
      <c r="E152" s="342">
        <v>0.127</v>
      </c>
      <c r="F152" s="342">
        <v>0.21</v>
      </c>
      <c r="G152" s="342">
        <v>0.65800000000000003</v>
      </c>
      <c r="H152" s="342">
        <v>0.54500000000000004</v>
      </c>
      <c r="I152" s="342">
        <v>1.657</v>
      </c>
      <c r="J152" s="321">
        <v>100</v>
      </c>
      <c r="K152" s="313" t="s">
        <v>307</v>
      </c>
      <c r="L152" s="321"/>
      <c r="M152" s="317" t="s">
        <v>326</v>
      </c>
      <c r="N152" s="321"/>
      <c r="O152" s="321" t="s">
        <v>108</v>
      </c>
      <c r="P152" s="10">
        <v>100</v>
      </c>
      <c r="Q152" s="5">
        <f t="shared" ref="Q152:Q174" si="81">+$P152/100*C152</f>
        <v>2.1000000000000001E-2</v>
      </c>
      <c r="R152" s="5">
        <f t="shared" ref="R152:R174" si="82">+$P152/100*D152</f>
        <v>0.26200000000000001</v>
      </c>
      <c r="S152" s="5">
        <f t="shared" ref="S152:S174" si="83">+$P152/100*E152</f>
        <v>0.127</v>
      </c>
      <c r="T152" s="5">
        <f t="shared" ref="T152:T174" si="84">+$P152/100*F152</f>
        <v>0.21</v>
      </c>
      <c r="U152" s="5">
        <f t="shared" ref="U152:U174" si="85">+$P152/100*G152</f>
        <v>0.65800000000000003</v>
      </c>
      <c r="V152" s="5">
        <f t="shared" ref="V152:V174" si="86">+$P152/100*H152</f>
        <v>0.54500000000000004</v>
      </c>
      <c r="W152" s="5">
        <f t="shared" ref="W152:W174" si="87">+$P152/100*I152</f>
        <v>1.657</v>
      </c>
    </row>
    <row r="153" spans="1:23" ht="14.4">
      <c r="A153" s="340">
        <v>2</v>
      </c>
      <c r="B153" s="321" t="s">
        <v>327</v>
      </c>
      <c r="C153" s="342">
        <v>23.983000000000001</v>
      </c>
      <c r="D153" s="342">
        <v>31.821000000000002</v>
      </c>
      <c r="E153" s="342">
        <v>29.657</v>
      </c>
      <c r="F153" s="342">
        <v>26.44</v>
      </c>
      <c r="G153" s="342">
        <v>26.617000000000001</v>
      </c>
      <c r="H153" s="342">
        <v>28.936</v>
      </c>
      <c r="I153" s="342">
        <v>28.806999999999999</v>
      </c>
      <c r="J153" s="321">
        <v>100</v>
      </c>
      <c r="K153" s="313">
        <v>6</v>
      </c>
      <c r="L153" s="337" t="s">
        <v>189</v>
      </c>
      <c r="M153" s="317" t="s">
        <v>152</v>
      </c>
      <c r="N153" s="321"/>
      <c r="O153" s="321" t="s">
        <v>130</v>
      </c>
      <c r="P153" s="10">
        <v>100</v>
      </c>
      <c r="Q153" s="5">
        <f t="shared" si="81"/>
        <v>23.983000000000001</v>
      </c>
      <c r="R153" s="5">
        <f t="shared" si="82"/>
        <v>31.821000000000002</v>
      </c>
      <c r="S153" s="5">
        <f t="shared" si="83"/>
        <v>29.657</v>
      </c>
      <c r="T153" s="5">
        <f t="shared" si="84"/>
        <v>26.44</v>
      </c>
      <c r="U153" s="5">
        <f t="shared" si="85"/>
        <v>26.617000000000001</v>
      </c>
      <c r="V153" s="5">
        <f t="shared" si="86"/>
        <v>28.936</v>
      </c>
      <c r="W153" s="5">
        <f t="shared" si="87"/>
        <v>28.806999999999999</v>
      </c>
    </row>
    <row r="154" spans="1:23" ht="14.4">
      <c r="A154" s="340">
        <v>2</v>
      </c>
      <c r="B154" s="321" t="s">
        <v>1077</v>
      </c>
      <c r="C154" s="342">
        <v>6.8369999999999997</v>
      </c>
      <c r="D154" s="342">
        <v>13.461</v>
      </c>
      <c r="E154" s="342">
        <v>14.748000000000001</v>
      </c>
      <c r="F154" s="342">
        <v>14.672000000000001</v>
      </c>
      <c r="G154" s="342">
        <v>10.497</v>
      </c>
      <c r="H154" s="342">
        <v>10.24</v>
      </c>
      <c r="I154" s="342">
        <v>16.408000000000001</v>
      </c>
      <c r="J154" s="321">
        <v>75</v>
      </c>
      <c r="K154" s="321">
        <v>4</v>
      </c>
      <c r="L154" s="337" t="s">
        <v>223</v>
      </c>
      <c r="M154" s="321" t="s">
        <v>121</v>
      </c>
      <c r="N154" s="321"/>
      <c r="O154" s="321" t="s">
        <v>108</v>
      </c>
      <c r="P154" s="10">
        <v>100</v>
      </c>
      <c r="Q154" s="5">
        <f t="shared" si="81"/>
        <v>6.8369999999999997</v>
      </c>
      <c r="R154" s="5">
        <f t="shared" si="82"/>
        <v>13.461</v>
      </c>
      <c r="S154" s="5">
        <f t="shared" si="83"/>
        <v>14.748000000000001</v>
      </c>
      <c r="T154" s="5">
        <f t="shared" si="84"/>
        <v>14.672000000000001</v>
      </c>
      <c r="U154" s="5">
        <f t="shared" si="85"/>
        <v>10.497</v>
      </c>
      <c r="V154" s="5">
        <f t="shared" si="86"/>
        <v>10.24</v>
      </c>
      <c r="W154" s="5">
        <f t="shared" si="87"/>
        <v>16.408000000000001</v>
      </c>
    </row>
    <row r="155" spans="1:23" s="86" customFormat="1" ht="14.4">
      <c r="A155" s="340">
        <v>2</v>
      </c>
      <c r="B155" s="321" t="s">
        <v>330</v>
      </c>
      <c r="C155" s="343">
        <v>89.889999999999986</v>
      </c>
      <c r="D155" s="343">
        <v>86.59</v>
      </c>
      <c r="E155" s="343">
        <v>88.537000000000006</v>
      </c>
      <c r="F155" s="343">
        <v>84.961000000000013</v>
      </c>
      <c r="G155" s="343">
        <v>88.15</v>
      </c>
      <c r="H155" s="343">
        <v>86.433999999999997</v>
      </c>
      <c r="I155" s="343">
        <v>81.649000000000001</v>
      </c>
      <c r="J155" s="313">
        <v>100</v>
      </c>
      <c r="K155" s="344">
        <v>3</v>
      </c>
      <c r="L155" s="337" t="s">
        <v>184</v>
      </c>
      <c r="M155" s="340" t="s">
        <v>100</v>
      </c>
      <c r="N155" s="340"/>
      <c r="O155" s="321" t="s">
        <v>108</v>
      </c>
      <c r="P155" s="8">
        <v>50</v>
      </c>
      <c r="Q155" s="5">
        <f t="shared" si="81"/>
        <v>44.944999999999993</v>
      </c>
      <c r="R155" s="5">
        <f t="shared" si="82"/>
        <v>43.295000000000002</v>
      </c>
      <c r="S155" s="5">
        <f t="shared" si="83"/>
        <v>44.268500000000003</v>
      </c>
      <c r="T155" s="5">
        <f t="shared" si="84"/>
        <v>42.480500000000006</v>
      </c>
      <c r="U155" s="5">
        <f t="shared" si="85"/>
        <v>44.075000000000003</v>
      </c>
      <c r="V155" s="5">
        <f t="shared" si="86"/>
        <v>43.216999999999999</v>
      </c>
      <c r="W155" s="5">
        <f t="shared" si="87"/>
        <v>40.8245</v>
      </c>
    </row>
    <row r="156" spans="1:23" s="86" customFormat="1" ht="14.4">
      <c r="A156" s="340">
        <v>2</v>
      </c>
      <c r="B156" s="321" t="s">
        <v>280</v>
      </c>
      <c r="C156" s="343">
        <v>4.7329999999999997</v>
      </c>
      <c r="D156" s="343">
        <v>5.351</v>
      </c>
      <c r="E156" s="343">
        <v>5.1260000000000003</v>
      </c>
      <c r="F156" s="343">
        <v>4.8050000000000006</v>
      </c>
      <c r="G156" s="343">
        <v>4.6360000000000001</v>
      </c>
      <c r="H156" s="343">
        <v>4.5710000000000006</v>
      </c>
      <c r="I156" s="343">
        <v>4.6000000000000005</v>
      </c>
      <c r="J156" s="313">
        <v>100</v>
      </c>
      <c r="K156" s="344">
        <v>6</v>
      </c>
      <c r="L156" s="337" t="s">
        <v>189</v>
      </c>
      <c r="M156" s="340" t="s">
        <v>331</v>
      </c>
      <c r="N156" s="340"/>
      <c r="O156" s="321" t="s">
        <v>108</v>
      </c>
      <c r="P156" s="8">
        <v>0</v>
      </c>
      <c r="Q156" s="5">
        <f t="shared" si="81"/>
        <v>0</v>
      </c>
      <c r="R156" s="5">
        <f t="shared" si="82"/>
        <v>0</v>
      </c>
      <c r="S156" s="5">
        <f t="shared" si="83"/>
        <v>0</v>
      </c>
      <c r="T156" s="5">
        <f t="shared" si="84"/>
        <v>0</v>
      </c>
      <c r="U156" s="5">
        <f t="shared" si="85"/>
        <v>0</v>
      </c>
      <c r="V156" s="5">
        <f t="shared" si="86"/>
        <v>0</v>
      </c>
      <c r="W156" s="5">
        <f t="shared" si="87"/>
        <v>0</v>
      </c>
    </row>
    <row r="157" spans="1:23">
      <c r="A157" s="340">
        <v>2</v>
      </c>
      <c r="B157" s="321" t="s">
        <v>332</v>
      </c>
      <c r="C157" s="343">
        <v>0</v>
      </c>
      <c r="D157" s="343">
        <v>0</v>
      </c>
      <c r="E157" s="343">
        <v>0</v>
      </c>
      <c r="F157" s="343">
        <v>0</v>
      </c>
      <c r="G157" s="343">
        <v>0</v>
      </c>
      <c r="H157" s="343">
        <v>0</v>
      </c>
      <c r="I157" s="343">
        <v>0</v>
      </c>
      <c r="J157" s="313">
        <v>100</v>
      </c>
      <c r="K157" s="344" t="s">
        <v>333</v>
      </c>
      <c r="L157" s="321"/>
      <c r="M157" s="321" t="s">
        <v>121</v>
      </c>
      <c r="N157" s="340"/>
      <c r="O157" s="321" t="s">
        <v>108</v>
      </c>
      <c r="P157" s="8">
        <v>50</v>
      </c>
      <c r="Q157" s="5">
        <f t="shared" si="81"/>
        <v>0</v>
      </c>
      <c r="R157" s="5">
        <f t="shared" si="82"/>
        <v>0</v>
      </c>
      <c r="S157" s="5">
        <f t="shared" si="83"/>
        <v>0</v>
      </c>
      <c r="T157" s="5">
        <f t="shared" si="84"/>
        <v>0</v>
      </c>
      <c r="U157" s="5">
        <f t="shared" si="85"/>
        <v>0</v>
      </c>
      <c r="V157" s="5">
        <f t="shared" si="86"/>
        <v>0</v>
      </c>
      <c r="W157" s="5">
        <f t="shared" si="87"/>
        <v>0</v>
      </c>
    </row>
    <row r="158" spans="1:23" s="86" customFormat="1" ht="14.4">
      <c r="A158" s="340">
        <v>2</v>
      </c>
      <c r="B158" s="321" t="s">
        <v>334</v>
      </c>
      <c r="C158" s="343">
        <v>8.0459999999999994</v>
      </c>
      <c r="D158" s="343">
        <v>9.6229999999999993</v>
      </c>
      <c r="E158" s="343">
        <v>7.2229999999999999</v>
      </c>
      <c r="F158" s="343">
        <v>7.2230999999999996</v>
      </c>
      <c r="G158" s="343">
        <v>7.2230999999999996</v>
      </c>
      <c r="H158" s="343">
        <v>7.2230999999999996</v>
      </c>
      <c r="I158" s="343">
        <v>7.2230999999999996</v>
      </c>
      <c r="J158" s="313">
        <v>30</v>
      </c>
      <c r="K158" s="313">
        <v>2.6</v>
      </c>
      <c r="L158" s="337" t="s">
        <v>184</v>
      </c>
      <c r="M158" s="321" t="s">
        <v>335</v>
      </c>
      <c r="N158" s="340"/>
      <c r="O158" s="321" t="s">
        <v>108</v>
      </c>
      <c r="P158" s="8">
        <v>100</v>
      </c>
      <c r="Q158" s="5">
        <f t="shared" si="81"/>
        <v>8.0459999999999994</v>
      </c>
      <c r="R158" s="5">
        <f t="shared" si="82"/>
        <v>9.6229999999999993</v>
      </c>
      <c r="S158" s="5">
        <f t="shared" si="83"/>
        <v>7.2229999999999999</v>
      </c>
      <c r="T158" s="5">
        <f t="shared" si="84"/>
        <v>7.2230999999999996</v>
      </c>
      <c r="U158" s="5">
        <f t="shared" si="85"/>
        <v>7.2230999999999996</v>
      </c>
      <c r="V158" s="5">
        <f t="shared" si="86"/>
        <v>7.2230999999999996</v>
      </c>
      <c r="W158" s="5">
        <f t="shared" si="87"/>
        <v>7.2230999999999996</v>
      </c>
    </row>
    <row r="159" spans="1:23" s="86" customFormat="1">
      <c r="A159" s="340">
        <v>2</v>
      </c>
      <c r="B159" s="321" t="s">
        <v>336</v>
      </c>
      <c r="C159" s="343">
        <v>0.14130000000000001</v>
      </c>
      <c r="D159" s="343">
        <v>1.08</v>
      </c>
      <c r="E159" s="343">
        <v>1.08</v>
      </c>
      <c r="F159" s="343">
        <v>1.08</v>
      </c>
      <c r="G159" s="343">
        <v>0</v>
      </c>
      <c r="H159" s="343">
        <v>0</v>
      </c>
      <c r="I159" s="343">
        <v>0</v>
      </c>
      <c r="J159" s="313">
        <v>90</v>
      </c>
      <c r="K159" s="313">
        <v>14</v>
      </c>
      <c r="L159" s="321" t="s">
        <v>205</v>
      </c>
      <c r="M159" s="321" t="s">
        <v>337</v>
      </c>
      <c r="N159" s="340"/>
      <c r="O159" s="321" t="s">
        <v>108</v>
      </c>
      <c r="P159" s="8">
        <v>100</v>
      </c>
      <c r="Q159" s="5">
        <f t="shared" si="81"/>
        <v>0.14130000000000001</v>
      </c>
      <c r="R159" s="5">
        <f t="shared" si="82"/>
        <v>1.08</v>
      </c>
      <c r="S159" s="5">
        <f t="shared" si="83"/>
        <v>1.08</v>
      </c>
      <c r="T159" s="5">
        <f t="shared" si="84"/>
        <v>1.08</v>
      </c>
      <c r="U159" s="5">
        <f t="shared" si="85"/>
        <v>0</v>
      </c>
      <c r="V159" s="5">
        <f t="shared" si="86"/>
        <v>0</v>
      </c>
      <c r="W159" s="5">
        <f t="shared" si="87"/>
        <v>0</v>
      </c>
    </row>
    <row r="160" spans="1:23" s="86" customFormat="1" ht="14.4">
      <c r="A160" s="340">
        <v>2</v>
      </c>
      <c r="B160" s="321" t="s">
        <v>1078</v>
      </c>
      <c r="C160" s="343">
        <v>3.9980000000000002</v>
      </c>
      <c r="D160" s="343">
        <v>4.0827499999999999</v>
      </c>
      <c r="E160" s="343">
        <v>1.2889999999999999</v>
      </c>
      <c r="F160" s="343">
        <v>1.0389999999999999</v>
      </c>
      <c r="G160" s="343">
        <v>3.9E-2</v>
      </c>
      <c r="H160" s="343">
        <v>3.9E-2</v>
      </c>
      <c r="I160" s="343">
        <v>3.9E-2</v>
      </c>
      <c r="J160" s="313">
        <v>25</v>
      </c>
      <c r="K160" s="313">
        <v>5.6</v>
      </c>
      <c r="L160" s="337" t="s">
        <v>189</v>
      </c>
      <c r="M160" s="321" t="s">
        <v>121</v>
      </c>
      <c r="N160" s="340"/>
      <c r="O160" s="321" t="s">
        <v>108</v>
      </c>
      <c r="P160" s="8">
        <v>100</v>
      </c>
      <c r="Q160" s="5">
        <f t="shared" si="81"/>
        <v>3.9980000000000002</v>
      </c>
      <c r="R160" s="5">
        <f t="shared" si="82"/>
        <v>4.0827499999999999</v>
      </c>
      <c r="S160" s="5">
        <f t="shared" si="83"/>
        <v>1.2889999999999999</v>
      </c>
      <c r="T160" s="5">
        <f t="shared" si="84"/>
        <v>1.0389999999999999</v>
      </c>
      <c r="U160" s="5">
        <f t="shared" si="85"/>
        <v>3.9E-2</v>
      </c>
      <c r="V160" s="5">
        <f t="shared" si="86"/>
        <v>3.9E-2</v>
      </c>
      <c r="W160" s="5">
        <f t="shared" si="87"/>
        <v>3.9E-2</v>
      </c>
    </row>
    <row r="161" spans="1:23" s="86" customFormat="1">
      <c r="A161" s="340">
        <v>2</v>
      </c>
      <c r="B161" s="321" t="s">
        <v>958</v>
      </c>
      <c r="C161" s="343">
        <v>34.493000000000002</v>
      </c>
      <c r="D161" s="343">
        <v>28.981000000000002</v>
      </c>
      <c r="E161" s="343">
        <v>13.192</v>
      </c>
      <c r="F161" s="343">
        <v>0</v>
      </c>
      <c r="G161" s="343">
        <v>0</v>
      </c>
      <c r="H161" s="343">
        <v>0</v>
      </c>
      <c r="I161" s="343">
        <v>0</v>
      </c>
      <c r="J161" s="313">
        <v>100</v>
      </c>
      <c r="K161" s="313" t="s">
        <v>318</v>
      </c>
      <c r="L161" s="321"/>
      <c r="M161" s="321" t="s">
        <v>339</v>
      </c>
      <c r="N161" s="340"/>
      <c r="O161" s="321" t="s">
        <v>108</v>
      </c>
      <c r="P161" s="10">
        <v>100</v>
      </c>
      <c r="Q161" s="5">
        <f t="shared" si="81"/>
        <v>34.493000000000002</v>
      </c>
      <c r="R161" s="5">
        <f t="shared" si="82"/>
        <v>28.981000000000002</v>
      </c>
      <c r="S161" s="5">
        <f t="shared" si="83"/>
        <v>13.192</v>
      </c>
      <c r="T161" s="5">
        <f t="shared" si="84"/>
        <v>0</v>
      </c>
      <c r="U161" s="5">
        <f t="shared" si="85"/>
        <v>0</v>
      </c>
      <c r="V161" s="5">
        <f t="shared" si="86"/>
        <v>0</v>
      </c>
      <c r="W161" s="5">
        <f t="shared" si="87"/>
        <v>0</v>
      </c>
    </row>
    <row r="162" spans="1:23" s="86" customFormat="1">
      <c r="A162" s="340">
        <v>2</v>
      </c>
      <c r="B162" s="321" t="s">
        <v>1083</v>
      </c>
      <c r="C162" s="343">
        <v>3.1469999999999998</v>
      </c>
      <c r="D162" s="343">
        <v>2.2120000000000002</v>
      </c>
      <c r="E162" s="343">
        <v>1.1355</v>
      </c>
      <c r="F162" s="343">
        <v>0.41049999999999998</v>
      </c>
      <c r="G162" s="343">
        <v>0.83050000000000002</v>
      </c>
      <c r="H162" s="343">
        <v>1.9135</v>
      </c>
      <c r="I162" s="343">
        <v>0</v>
      </c>
      <c r="J162" s="313">
        <v>50</v>
      </c>
      <c r="K162" s="313" t="s">
        <v>341</v>
      </c>
      <c r="L162" s="321"/>
      <c r="M162" s="321" t="s">
        <v>342</v>
      </c>
      <c r="N162" s="340"/>
      <c r="O162" s="321" t="s">
        <v>108</v>
      </c>
      <c r="P162" s="10">
        <v>100</v>
      </c>
      <c r="Q162" s="5">
        <f t="shared" si="81"/>
        <v>3.1469999999999998</v>
      </c>
      <c r="R162" s="5">
        <f t="shared" si="82"/>
        <v>2.2120000000000002</v>
      </c>
      <c r="S162" s="5">
        <f t="shared" si="83"/>
        <v>1.1355</v>
      </c>
      <c r="T162" s="5">
        <f t="shared" si="84"/>
        <v>0.41049999999999998</v>
      </c>
      <c r="U162" s="5">
        <f t="shared" si="85"/>
        <v>0.83050000000000002</v>
      </c>
      <c r="V162" s="5">
        <f t="shared" si="86"/>
        <v>1.9135</v>
      </c>
      <c r="W162" s="5">
        <f t="shared" si="87"/>
        <v>0</v>
      </c>
    </row>
    <row r="163" spans="1:23" s="86" customFormat="1">
      <c r="A163" s="340">
        <v>2</v>
      </c>
      <c r="B163" s="321" t="s">
        <v>1082</v>
      </c>
      <c r="C163" s="343">
        <v>41.881500000000003</v>
      </c>
      <c r="D163" s="343">
        <v>37.975499999999997</v>
      </c>
      <c r="E163" s="343">
        <v>33.287999999999997</v>
      </c>
      <c r="F163" s="343">
        <v>32.027500000000003</v>
      </c>
      <c r="G163" s="343">
        <v>35.604999999999997</v>
      </c>
      <c r="H163" s="343">
        <v>30.7515</v>
      </c>
      <c r="I163" s="343">
        <v>31.7515</v>
      </c>
      <c r="J163" s="313">
        <v>50</v>
      </c>
      <c r="K163" s="344" t="s">
        <v>344</v>
      </c>
      <c r="L163" s="321"/>
      <c r="M163" s="321" t="s">
        <v>339</v>
      </c>
      <c r="N163" s="340"/>
      <c r="O163" s="321" t="s">
        <v>108</v>
      </c>
      <c r="P163" s="10">
        <v>100</v>
      </c>
      <c r="Q163" s="5">
        <f t="shared" si="81"/>
        <v>41.881500000000003</v>
      </c>
      <c r="R163" s="5">
        <f t="shared" si="82"/>
        <v>37.975499999999997</v>
      </c>
      <c r="S163" s="5">
        <f t="shared" si="83"/>
        <v>33.287999999999997</v>
      </c>
      <c r="T163" s="5">
        <f t="shared" si="84"/>
        <v>32.027500000000003</v>
      </c>
      <c r="U163" s="5">
        <f t="shared" si="85"/>
        <v>35.604999999999997</v>
      </c>
      <c r="V163" s="5">
        <f t="shared" si="86"/>
        <v>30.7515</v>
      </c>
      <c r="W163" s="5">
        <f t="shared" si="87"/>
        <v>31.7515</v>
      </c>
    </row>
    <row r="164" spans="1:23" s="86" customFormat="1">
      <c r="A164" s="340">
        <v>2</v>
      </c>
      <c r="B164" s="321" t="s">
        <v>1081</v>
      </c>
      <c r="C164" s="343">
        <v>53.253</v>
      </c>
      <c r="D164" s="343">
        <v>58.542999999999999</v>
      </c>
      <c r="E164" s="343">
        <v>15</v>
      </c>
      <c r="F164" s="343">
        <v>32</v>
      </c>
      <c r="G164" s="343">
        <v>35</v>
      </c>
      <c r="H164" s="343">
        <v>21</v>
      </c>
      <c r="I164" s="343">
        <v>20</v>
      </c>
      <c r="J164" s="313">
        <v>100</v>
      </c>
      <c r="K164" s="344" t="s">
        <v>345</v>
      </c>
      <c r="L164" s="321"/>
      <c r="M164" s="321" t="s">
        <v>346</v>
      </c>
      <c r="N164" s="340"/>
      <c r="O164" s="321" t="s">
        <v>108</v>
      </c>
      <c r="P164" s="10">
        <v>100</v>
      </c>
      <c r="Q164" s="5">
        <f t="shared" si="81"/>
        <v>53.253</v>
      </c>
      <c r="R164" s="5">
        <f t="shared" si="82"/>
        <v>58.542999999999999</v>
      </c>
      <c r="S164" s="5">
        <f t="shared" si="83"/>
        <v>15</v>
      </c>
      <c r="T164" s="5">
        <f t="shared" si="84"/>
        <v>32</v>
      </c>
      <c r="U164" s="5">
        <f t="shared" si="85"/>
        <v>35</v>
      </c>
      <c r="V164" s="5">
        <f t="shared" si="86"/>
        <v>21</v>
      </c>
      <c r="W164" s="5">
        <f t="shared" si="87"/>
        <v>20</v>
      </c>
    </row>
    <row r="165" spans="1:23">
      <c r="A165" s="340">
        <v>2</v>
      </c>
      <c r="B165" s="321" t="s">
        <v>1080</v>
      </c>
      <c r="C165" s="343">
        <v>9.3207500000000003</v>
      </c>
      <c r="D165" s="343">
        <v>13.23925</v>
      </c>
      <c r="E165" s="343">
        <v>9.1392500000000005</v>
      </c>
      <c r="F165" s="343">
        <v>9.6274999999999995</v>
      </c>
      <c r="G165" s="343">
        <v>6.68825</v>
      </c>
      <c r="H165" s="343">
        <v>4.6877500000000003</v>
      </c>
      <c r="I165" s="343">
        <v>14.9695</v>
      </c>
      <c r="J165" s="313">
        <v>25</v>
      </c>
      <c r="K165" s="344" t="s">
        <v>348</v>
      </c>
      <c r="L165" s="321"/>
      <c r="M165" s="321" t="s">
        <v>349</v>
      </c>
      <c r="N165" s="340"/>
      <c r="O165" s="321" t="s">
        <v>108</v>
      </c>
      <c r="P165" s="10">
        <v>100</v>
      </c>
      <c r="Q165" s="5">
        <f t="shared" si="81"/>
        <v>9.3207500000000003</v>
      </c>
      <c r="R165" s="5">
        <f t="shared" si="82"/>
        <v>13.23925</v>
      </c>
      <c r="S165" s="5">
        <f t="shared" si="83"/>
        <v>9.1392500000000005</v>
      </c>
      <c r="T165" s="5">
        <f t="shared" si="84"/>
        <v>9.6274999999999995</v>
      </c>
      <c r="U165" s="5">
        <f t="shared" si="85"/>
        <v>6.68825</v>
      </c>
      <c r="V165" s="5">
        <f t="shared" si="86"/>
        <v>4.6877500000000003</v>
      </c>
      <c r="W165" s="5">
        <f t="shared" si="87"/>
        <v>14.9695</v>
      </c>
    </row>
    <row r="166" spans="1:23" ht="14.4">
      <c r="A166" s="340">
        <v>2</v>
      </c>
      <c r="B166" s="321" t="s">
        <v>350</v>
      </c>
      <c r="C166" s="343">
        <v>9.73</v>
      </c>
      <c r="D166" s="343">
        <v>8.2889999999999997</v>
      </c>
      <c r="E166" s="343">
        <v>6.8529999999999998</v>
      </c>
      <c r="F166" s="343">
        <v>5.5039999999999996</v>
      </c>
      <c r="G166" s="343">
        <v>3.6829999999999998</v>
      </c>
      <c r="H166" s="343">
        <v>0</v>
      </c>
      <c r="I166" s="343">
        <v>0</v>
      </c>
      <c r="J166" s="313">
        <v>100</v>
      </c>
      <c r="K166" s="344">
        <v>3</v>
      </c>
      <c r="L166" s="337" t="s">
        <v>184</v>
      </c>
      <c r="M166" s="321" t="s">
        <v>100</v>
      </c>
      <c r="N166" s="340"/>
      <c r="O166" s="321" t="s">
        <v>108</v>
      </c>
      <c r="P166" s="10">
        <v>100</v>
      </c>
      <c r="Q166" s="5">
        <f t="shared" si="81"/>
        <v>9.73</v>
      </c>
      <c r="R166" s="5">
        <f t="shared" si="82"/>
        <v>8.2889999999999997</v>
      </c>
      <c r="S166" s="5">
        <f t="shared" si="83"/>
        <v>6.8529999999999998</v>
      </c>
      <c r="T166" s="5">
        <f t="shared" si="84"/>
        <v>5.5039999999999996</v>
      </c>
      <c r="U166" s="5">
        <f t="shared" si="85"/>
        <v>3.6829999999999998</v>
      </c>
      <c r="V166" s="5">
        <f t="shared" si="86"/>
        <v>0</v>
      </c>
      <c r="W166" s="5">
        <f t="shared" si="87"/>
        <v>0</v>
      </c>
    </row>
    <row r="167" spans="1:23" s="86" customFormat="1" ht="14.4">
      <c r="A167" s="340">
        <v>2</v>
      </c>
      <c r="B167" s="321" t="s">
        <v>1079</v>
      </c>
      <c r="C167" s="343">
        <v>21.070799999999998</v>
      </c>
      <c r="D167" s="343">
        <v>28.340399999999999</v>
      </c>
      <c r="E167" s="343">
        <v>46.106999999999999</v>
      </c>
      <c r="F167" s="343">
        <v>33.99</v>
      </c>
      <c r="G167" s="343">
        <v>34.091999999999999</v>
      </c>
      <c r="H167" s="343">
        <v>15.6258</v>
      </c>
      <c r="I167" s="343">
        <v>3.4037999999999999</v>
      </c>
      <c r="J167" s="313">
        <v>60</v>
      </c>
      <c r="K167" s="344">
        <v>6</v>
      </c>
      <c r="L167" s="337" t="s">
        <v>189</v>
      </c>
      <c r="M167" s="321" t="s">
        <v>351</v>
      </c>
      <c r="N167" s="340"/>
      <c r="O167" s="321" t="s">
        <v>108</v>
      </c>
      <c r="P167" s="10">
        <v>100</v>
      </c>
      <c r="Q167" s="5">
        <f t="shared" si="81"/>
        <v>21.070799999999998</v>
      </c>
      <c r="R167" s="5">
        <f t="shared" si="82"/>
        <v>28.340399999999999</v>
      </c>
      <c r="S167" s="5">
        <f t="shared" si="83"/>
        <v>46.106999999999999</v>
      </c>
      <c r="T167" s="5">
        <f t="shared" si="84"/>
        <v>33.99</v>
      </c>
      <c r="U167" s="5">
        <f t="shared" si="85"/>
        <v>34.091999999999999</v>
      </c>
      <c r="V167" s="5">
        <f t="shared" si="86"/>
        <v>15.6258</v>
      </c>
      <c r="W167" s="5">
        <f t="shared" si="87"/>
        <v>3.4037999999999999</v>
      </c>
    </row>
    <row r="168" spans="1:23" s="86" customFormat="1" ht="14.4">
      <c r="A168" s="345">
        <v>2</v>
      </c>
      <c r="B168" s="346" t="s">
        <v>1084</v>
      </c>
      <c r="C168" s="342">
        <v>0</v>
      </c>
      <c r="D168" s="342">
        <v>23.677499999999998</v>
      </c>
      <c r="E168" s="342">
        <v>20.402199999999997</v>
      </c>
      <c r="F168" s="342">
        <v>22.568699999999996</v>
      </c>
      <c r="G168" s="342">
        <v>25.848899999999997</v>
      </c>
      <c r="H168" s="342">
        <v>11.800599999999999</v>
      </c>
      <c r="I168" s="342">
        <v>6.1432000000000002</v>
      </c>
      <c r="J168" s="321">
        <v>70</v>
      </c>
      <c r="K168" s="321">
        <v>2.6</v>
      </c>
      <c r="L168" s="321"/>
      <c r="M168" s="321" t="s">
        <v>353</v>
      </c>
      <c r="N168" s="321"/>
      <c r="O168" s="321" t="s">
        <v>108</v>
      </c>
      <c r="P168" s="4">
        <v>100</v>
      </c>
      <c r="Q168" s="5">
        <f t="shared" si="81"/>
        <v>0</v>
      </c>
      <c r="R168" s="5">
        <f t="shared" si="82"/>
        <v>23.677499999999998</v>
      </c>
      <c r="S168" s="5">
        <f t="shared" si="83"/>
        <v>20.402199999999997</v>
      </c>
      <c r="T168" s="5">
        <f t="shared" si="84"/>
        <v>22.568699999999996</v>
      </c>
      <c r="U168" s="5">
        <f t="shared" si="85"/>
        <v>25.848899999999997</v>
      </c>
      <c r="V168" s="5">
        <f t="shared" si="86"/>
        <v>11.800599999999999</v>
      </c>
      <c r="W168" s="5">
        <f t="shared" si="87"/>
        <v>6.1432000000000002</v>
      </c>
    </row>
    <row r="169" spans="1:23" s="86" customFormat="1">
      <c r="A169" s="340">
        <v>2</v>
      </c>
      <c r="B169" s="321" t="s">
        <v>354</v>
      </c>
      <c r="C169" s="342">
        <v>20.007000000000001</v>
      </c>
      <c r="D169" s="342">
        <v>9.33</v>
      </c>
      <c r="E169" s="342">
        <v>30.690999999999999</v>
      </c>
      <c r="F169" s="342">
        <v>45.350999999999999</v>
      </c>
      <c r="G169" s="342">
        <v>49.848999999999997</v>
      </c>
      <c r="H169" s="342">
        <v>19.256</v>
      </c>
      <c r="I169" s="342">
        <v>68.819999999999993</v>
      </c>
      <c r="J169" s="321">
        <v>100</v>
      </c>
      <c r="K169" s="321" t="s">
        <v>355</v>
      </c>
      <c r="L169" s="321"/>
      <c r="M169" s="321" t="s">
        <v>356</v>
      </c>
      <c r="N169" s="321"/>
      <c r="O169" s="321" t="s">
        <v>108</v>
      </c>
      <c r="P169" s="4">
        <v>80</v>
      </c>
      <c r="Q169" s="5">
        <f t="shared" si="81"/>
        <v>16.005600000000001</v>
      </c>
      <c r="R169" s="5">
        <f t="shared" si="82"/>
        <v>7.4640000000000004</v>
      </c>
      <c r="S169" s="5">
        <f t="shared" si="83"/>
        <v>24.552800000000001</v>
      </c>
      <c r="T169" s="5">
        <f t="shared" si="84"/>
        <v>36.280799999999999</v>
      </c>
      <c r="U169" s="5">
        <f t="shared" si="85"/>
        <v>39.879199999999997</v>
      </c>
      <c r="V169" s="5">
        <f t="shared" si="86"/>
        <v>15.404800000000002</v>
      </c>
      <c r="W169" s="5">
        <f t="shared" si="87"/>
        <v>55.055999999999997</v>
      </c>
    </row>
    <row r="170" spans="1:23" s="86" customFormat="1">
      <c r="A170" s="276" t="s">
        <v>357</v>
      </c>
      <c r="B170" s="254" t="s">
        <v>1085</v>
      </c>
      <c r="C170" s="49">
        <v>2.9348000000000001</v>
      </c>
      <c r="D170" s="255">
        <v>3.4249999999999998</v>
      </c>
      <c r="E170" s="255">
        <v>7.641</v>
      </c>
      <c r="F170" s="255">
        <v>8.2870000000000008</v>
      </c>
      <c r="G170" s="255">
        <v>12.215999999999999</v>
      </c>
      <c r="H170" s="255">
        <v>13.013</v>
      </c>
      <c r="I170" s="255">
        <v>11.685</v>
      </c>
      <c r="J170" s="4">
        <v>20</v>
      </c>
      <c r="K170" s="4">
        <v>2.6</v>
      </c>
      <c r="L170" s="4"/>
      <c r="M170" s="4" t="s">
        <v>121</v>
      </c>
      <c r="N170" s="4"/>
      <c r="O170" s="4" t="s">
        <v>108</v>
      </c>
      <c r="P170" s="10">
        <v>100</v>
      </c>
      <c r="Q170" s="5">
        <f t="shared" si="81"/>
        <v>2.9348000000000001</v>
      </c>
      <c r="R170" s="5">
        <f t="shared" si="82"/>
        <v>3.4249999999999998</v>
      </c>
      <c r="S170" s="5">
        <f t="shared" si="83"/>
        <v>7.641</v>
      </c>
      <c r="T170" s="5">
        <f t="shared" si="84"/>
        <v>8.2870000000000008</v>
      </c>
      <c r="U170" s="5">
        <f t="shared" si="85"/>
        <v>12.215999999999999</v>
      </c>
      <c r="V170" s="5">
        <f t="shared" si="86"/>
        <v>13.013</v>
      </c>
      <c r="W170" s="5">
        <f t="shared" si="87"/>
        <v>11.685</v>
      </c>
    </row>
    <row r="171" spans="1:23" s="86" customFormat="1">
      <c r="A171" s="277" t="s">
        <v>357</v>
      </c>
      <c r="B171" s="254" t="s">
        <v>358</v>
      </c>
      <c r="C171" s="89">
        <v>0.02</v>
      </c>
      <c r="D171" s="255">
        <v>0.623</v>
      </c>
      <c r="E171" s="255">
        <v>0</v>
      </c>
      <c r="F171" s="255">
        <v>0</v>
      </c>
      <c r="G171" s="255">
        <v>0</v>
      </c>
      <c r="H171" s="255">
        <v>0</v>
      </c>
      <c r="I171" s="255">
        <v>0</v>
      </c>
      <c r="J171" s="10">
        <v>70</v>
      </c>
      <c r="K171" s="257" t="s">
        <v>359</v>
      </c>
      <c r="L171" s="4"/>
      <c r="M171" s="4" t="s">
        <v>121</v>
      </c>
      <c r="N171" s="7"/>
      <c r="O171" s="4" t="s">
        <v>108</v>
      </c>
      <c r="P171" s="8">
        <v>100</v>
      </c>
      <c r="Q171" s="5">
        <f t="shared" si="81"/>
        <v>0.02</v>
      </c>
      <c r="R171" s="5">
        <f t="shared" si="82"/>
        <v>0.623</v>
      </c>
      <c r="S171" s="5">
        <f t="shared" si="83"/>
        <v>0</v>
      </c>
      <c r="T171" s="5">
        <f t="shared" si="84"/>
        <v>0</v>
      </c>
      <c r="U171" s="5">
        <f t="shared" si="85"/>
        <v>0</v>
      </c>
      <c r="V171" s="5">
        <f t="shared" si="86"/>
        <v>0</v>
      </c>
      <c r="W171" s="5">
        <f t="shared" si="87"/>
        <v>0</v>
      </c>
    </row>
    <row r="172" spans="1:23" s="86" customFormat="1">
      <c r="A172" s="277" t="s">
        <v>357</v>
      </c>
      <c r="B172" s="254" t="s">
        <v>360</v>
      </c>
      <c r="C172" s="89">
        <v>27.234999999999999</v>
      </c>
      <c r="D172" s="255">
        <v>78.021000000000001</v>
      </c>
      <c r="E172" s="255">
        <v>61.851999999999997</v>
      </c>
      <c r="F172" s="255">
        <v>82.5</v>
      </c>
      <c r="G172" s="255">
        <v>27.5</v>
      </c>
      <c r="H172" s="255">
        <v>15</v>
      </c>
      <c r="I172" s="255">
        <v>10</v>
      </c>
      <c r="J172" s="10">
        <v>50</v>
      </c>
      <c r="K172" s="8" t="s">
        <v>361</v>
      </c>
      <c r="L172" s="4"/>
      <c r="M172" s="4" t="s">
        <v>339</v>
      </c>
      <c r="N172" s="7"/>
      <c r="O172" s="4" t="s">
        <v>108</v>
      </c>
      <c r="P172" s="8">
        <v>100</v>
      </c>
      <c r="Q172" s="5">
        <f t="shared" si="81"/>
        <v>27.234999999999999</v>
      </c>
      <c r="R172" s="5">
        <f t="shared" si="82"/>
        <v>78.021000000000001</v>
      </c>
      <c r="S172" s="5">
        <f t="shared" si="83"/>
        <v>61.851999999999997</v>
      </c>
      <c r="T172" s="5">
        <f t="shared" si="84"/>
        <v>82.5</v>
      </c>
      <c r="U172" s="5">
        <f t="shared" si="85"/>
        <v>27.5</v>
      </c>
      <c r="V172" s="5">
        <f t="shared" si="86"/>
        <v>15</v>
      </c>
      <c r="W172" s="5">
        <f t="shared" si="87"/>
        <v>10</v>
      </c>
    </row>
    <row r="173" spans="1:23" ht="14.4">
      <c r="A173" s="277" t="s">
        <v>357</v>
      </c>
      <c r="B173" s="254" t="s">
        <v>362</v>
      </c>
      <c r="C173" s="89">
        <v>21.062000000000001</v>
      </c>
      <c r="D173" s="255">
        <v>13.541</v>
      </c>
      <c r="E173" s="255">
        <v>15.91</v>
      </c>
      <c r="F173" s="255">
        <v>20.788</v>
      </c>
      <c r="G173" s="255">
        <v>14.497999999999999</v>
      </c>
      <c r="H173" s="255">
        <v>31.04</v>
      </c>
      <c r="I173" s="255">
        <v>0</v>
      </c>
      <c r="J173" s="10">
        <v>75</v>
      </c>
      <c r="K173" s="282">
        <v>2.6</v>
      </c>
      <c r="L173" s="2" t="s">
        <v>184</v>
      </c>
      <c r="M173" s="4" t="s">
        <v>335</v>
      </c>
      <c r="N173" s="7"/>
      <c r="O173" s="4" t="s">
        <v>108</v>
      </c>
      <c r="P173" s="8">
        <v>100</v>
      </c>
      <c r="Q173" s="5">
        <f t="shared" si="81"/>
        <v>21.062000000000001</v>
      </c>
      <c r="R173" s="5">
        <f t="shared" si="82"/>
        <v>13.541</v>
      </c>
      <c r="S173" s="5">
        <f t="shared" si="83"/>
        <v>15.91</v>
      </c>
      <c r="T173" s="5">
        <f t="shared" si="84"/>
        <v>20.788</v>
      </c>
      <c r="U173" s="5">
        <f t="shared" si="85"/>
        <v>14.497999999999999</v>
      </c>
      <c r="V173" s="5">
        <f t="shared" si="86"/>
        <v>31.04</v>
      </c>
      <c r="W173" s="5">
        <f t="shared" si="87"/>
        <v>0</v>
      </c>
    </row>
    <row r="174" spans="1:23" s="86" customFormat="1">
      <c r="A174" s="278" t="s">
        <v>357</v>
      </c>
      <c r="B174" s="251" t="s">
        <v>363</v>
      </c>
      <c r="C174" s="49">
        <v>1.286</v>
      </c>
      <c r="D174" s="255">
        <v>11.596</v>
      </c>
      <c r="E174" s="256">
        <v>24.95</v>
      </c>
      <c r="F174" s="256">
        <v>5</v>
      </c>
      <c r="G174" s="256">
        <v>3.75</v>
      </c>
      <c r="H174" s="256">
        <v>3</v>
      </c>
      <c r="I174" s="256">
        <v>0.75</v>
      </c>
      <c r="J174" s="4">
        <v>50</v>
      </c>
      <c r="K174" s="10">
        <v>2.6</v>
      </c>
      <c r="L174" s="4"/>
      <c r="M174" s="4" t="s">
        <v>351</v>
      </c>
      <c r="N174" s="4"/>
      <c r="O174" s="4" t="s">
        <v>108</v>
      </c>
      <c r="P174" s="4">
        <v>100</v>
      </c>
      <c r="Q174" s="5">
        <f t="shared" si="81"/>
        <v>1.286</v>
      </c>
      <c r="R174" s="5">
        <f t="shared" si="82"/>
        <v>11.596</v>
      </c>
      <c r="S174" s="5">
        <f t="shared" si="83"/>
        <v>24.95</v>
      </c>
      <c r="T174" s="5">
        <f t="shared" si="84"/>
        <v>5</v>
      </c>
      <c r="U174" s="5">
        <f t="shared" si="85"/>
        <v>3.75</v>
      </c>
      <c r="V174" s="5">
        <f t="shared" si="86"/>
        <v>3</v>
      </c>
      <c r="W174" s="5">
        <f t="shared" si="87"/>
        <v>0.75</v>
      </c>
    </row>
    <row r="175" spans="1:23" s="86" customFormat="1">
      <c r="A175" s="1" t="s">
        <v>364</v>
      </c>
      <c r="B175" s="1" t="s">
        <v>365</v>
      </c>
      <c r="C175" s="49"/>
      <c r="D175" s="49"/>
      <c r="E175" s="49"/>
      <c r="F175" s="49"/>
      <c r="G175" s="49"/>
      <c r="H175" s="49"/>
      <c r="I175" s="49"/>
      <c r="J175" s="4"/>
      <c r="K175" s="10"/>
      <c r="L175" s="4"/>
      <c r="M175" s="4"/>
      <c r="N175" s="4"/>
      <c r="O175" s="4"/>
      <c r="P175" s="4"/>
      <c r="Q175" s="5"/>
      <c r="R175" s="5"/>
      <c r="S175" s="5"/>
      <c r="T175" s="5"/>
      <c r="U175" s="5"/>
      <c r="V175" s="5"/>
      <c r="W175" s="5"/>
    </row>
    <row r="176" spans="1:23" s="86" customFormat="1">
      <c r="A176" s="7">
        <v>3</v>
      </c>
      <c r="B176" s="4" t="s">
        <v>1087</v>
      </c>
      <c r="C176" s="49">
        <v>40.826999999999998</v>
      </c>
      <c r="D176" s="49">
        <v>55</v>
      </c>
      <c r="E176" s="49">
        <v>56.996000000000002</v>
      </c>
      <c r="F176" s="49">
        <v>55.944000000000003</v>
      </c>
      <c r="G176" s="49">
        <v>63.707999999999998</v>
      </c>
      <c r="H176" s="49">
        <v>63.260999999999996</v>
      </c>
      <c r="I176" s="49">
        <v>63.082000000000001</v>
      </c>
      <c r="J176" s="4">
        <v>100</v>
      </c>
      <c r="K176" s="10" t="s">
        <v>367</v>
      </c>
      <c r="L176" s="4"/>
      <c r="M176" s="4" t="s">
        <v>121</v>
      </c>
      <c r="N176" s="4"/>
      <c r="O176" s="4" t="s">
        <v>108</v>
      </c>
      <c r="P176" s="4">
        <v>100</v>
      </c>
      <c r="Q176" s="5">
        <f t="shared" ref="Q176:Q191" si="88">+$P176/100*C176</f>
        <v>40.826999999999998</v>
      </c>
      <c r="R176" s="5">
        <f t="shared" ref="R176:R191" si="89">+$P176/100*D176</f>
        <v>55</v>
      </c>
      <c r="S176" s="5">
        <f t="shared" ref="S176:S191" si="90">+$P176/100*E176</f>
        <v>56.996000000000002</v>
      </c>
      <c r="T176" s="5">
        <f t="shared" ref="T176:T191" si="91">+$P176/100*F176</f>
        <v>55.944000000000003</v>
      </c>
      <c r="U176" s="5">
        <f t="shared" ref="U176:U191" si="92">+$P176/100*G176</f>
        <v>63.707999999999998</v>
      </c>
      <c r="V176" s="5">
        <f t="shared" ref="V176:V191" si="93">+$P176/100*H176</f>
        <v>63.260999999999996</v>
      </c>
      <c r="W176" s="5">
        <f t="shared" ref="W176:W191" si="94">+$P176/100*I176</f>
        <v>63.082000000000001</v>
      </c>
    </row>
    <row r="177" spans="1:23" s="86" customFormat="1">
      <c r="A177" s="7">
        <v>3</v>
      </c>
      <c r="B177" s="4" t="s">
        <v>1086</v>
      </c>
      <c r="C177" s="49">
        <v>25.860799999999998</v>
      </c>
      <c r="D177" s="49">
        <v>21.7</v>
      </c>
      <c r="E177" s="49">
        <v>29.792699999999996</v>
      </c>
      <c r="F177" s="49">
        <v>35.3262</v>
      </c>
      <c r="G177" s="49">
        <v>39.963699999999996</v>
      </c>
      <c r="H177" s="49">
        <v>43.874600000000001</v>
      </c>
      <c r="I177" s="49">
        <v>42.097999999999999</v>
      </c>
      <c r="J177" s="4">
        <v>70</v>
      </c>
      <c r="K177" s="10" t="s">
        <v>369</v>
      </c>
      <c r="L177" s="4"/>
      <c r="M177" s="4" t="s">
        <v>121</v>
      </c>
      <c r="N177" s="4"/>
      <c r="O177" s="4" t="s">
        <v>108</v>
      </c>
      <c r="P177" s="4">
        <v>100</v>
      </c>
      <c r="Q177" s="5">
        <f t="shared" si="88"/>
        <v>25.860799999999998</v>
      </c>
      <c r="R177" s="5">
        <f t="shared" si="89"/>
        <v>21.7</v>
      </c>
      <c r="S177" s="5">
        <f t="shared" si="90"/>
        <v>29.792699999999996</v>
      </c>
      <c r="T177" s="5">
        <f t="shared" si="91"/>
        <v>35.3262</v>
      </c>
      <c r="U177" s="5">
        <f t="shared" si="92"/>
        <v>39.963699999999996</v>
      </c>
      <c r="V177" s="5">
        <f t="shared" si="93"/>
        <v>43.874600000000001</v>
      </c>
      <c r="W177" s="5">
        <f t="shared" si="94"/>
        <v>42.097999999999999</v>
      </c>
    </row>
    <row r="178" spans="1:23" s="86" customFormat="1">
      <c r="A178" s="7">
        <v>3</v>
      </c>
      <c r="B178" s="88" t="s">
        <v>370</v>
      </c>
      <c r="C178" s="49">
        <v>0</v>
      </c>
      <c r="D178" s="49">
        <v>0</v>
      </c>
      <c r="E178" s="49">
        <v>5.9524999999999997</v>
      </c>
      <c r="F178" s="49">
        <v>5.9524999999999997</v>
      </c>
      <c r="G178" s="49">
        <v>5.9524999999999997</v>
      </c>
      <c r="H178" s="49">
        <v>66.421999999999997</v>
      </c>
      <c r="I178" s="49">
        <v>0</v>
      </c>
      <c r="J178" s="4">
        <v>50</v>
      </c>
      <c r="K178" s="10" t="s">
        <v>369</v>
      </c>
      <c r="L178" s="4"/>
      <c r="M178" s="4" t="s">
        <v>121</v>
      </c>
      <c r="N178" s="4"/>
      <c r="O178" s="4" t="s">
        <v>108</v>
      </c>
      <c r="P178" s="4">
        <v>100</v>
      </c>
      <c r="Q178" s="5">
        <f t="shared" si="88"/>
        <v>0</v>
      </c>
      <c r="R178" s="5">
        <f t="shared" si="89"/>
        <v>0</v>
      </c>
      <c r="S178" s="5">
        <f t="shared" si="90"/>
        <v>5.9524999999999997</v>
      </c>
      <c r="T178" s="5">
        <f t="shared" si="91"/>
        <v>5.9524999999999997</v>
      </c>
      <c r="U178" s="5">
        <f t="shared" si="92"/>
        <v>5.9524999999999997</v>
      </c>
      <c r="V178" s="5">
        <f t="shared" si="93"/>
        <v>66.421999999999997</v>
      </c>
      <c r="W178" s="5">
        <f t="shared" si="94"/>
        <v>0</v>
      </c>
    </row>
    <row r="179" spans="1:23" s="86" customFormat="1" ht="27.6">
      <c r="A179" s="7">
        <v>3</v>
      </c>
      <c r="B179" s="88" t="s">
        <v>371</v>
      </c>
      <c r="C179" s="49">
        <v>0</v>
      </c>
      <c r="D179" s="49">
        <v>0</v>
      </c>
      <c r="E179" s="49">
        <v>0</v>
      </c>
      <c r="F179" s="49">
        <v>0</v>
      </c>
      <c r="G179" s="49">
        <v>0</v>
      </c>
      <c r="H179" s="49">
        <v>0</v>
      </c>
      <c r="I179" s="49">
        <v>0</v>
      </c>
      <c r="J179" s="4">
        <v>100</v>
      </c>
      <c r="K179" s="10" t="s">
        <v>372</v>
      </c>
      <c r="L179" s="4"/>
      <c r="M179" s="4" t="s">
        <v>301</v>
      </c>
      <c r="N179" s="4"/>
      <c r="O179" s="4" t="s">
        <v>108</v>
      </c>
      <c r="P179" s="4">
        <v>100</v>
      </c>
      <c r="Q179" s="5">
        <f t="shared" si="88"/>
        <v>0</v>
      </c>
      <c r="R179" s="5">
        <f t="shared" si="89"/>
        <v>0</v>
      </c>
      <c r="S179" s="5">
        <f t="shared" si="90"/>
        <v>0</v>
      </c>
      <c r="T179" s="5">
        <f t="shared" si="91"/>
        <v>0</v>
      </c>
      <c r="U179" s="5">
        <f t="shared" si="92"/>
        <v>0</v>
      </c>
      <c r="V179" s="5">
        <f t="shared" si="93"/>
        <v>0</v>
      </c>
      <c r="W179" s="5">
        <f t="shared" si="94"/>
        <v>0</v>
      </c>
    </row>
    <row r="180" spans="1:23" s="86" customFormat="1">
      <c r="A180" s="7">
        <v>3</v>
      </c>
      <c r="B180" s="88" t="s">
        <v>690</v>
      </c>
      <c r="C180" s="49">
        <v>2.0209999999999999</v>
      </c>
      <c r="D180" s="49">
        <v>1.98</v>
      </c>
      <c r="E180" s="49">
        <v>1.9179999999999999</v>
      </c>
      <c r="F180" s="49">
        <v>1.87</v>
      </c>
      <c r="G180" s="49">
        <v>1.462</v>
      </c>
      <c r="H180" s="49">
        <v>0.86199999999999999</v>
      </c>
      <c r="I180" s="49">
        <v>2.7639999999999998</v>
      </c>
      <c r="J180" s="4">
        <v>48</v>
      </c>
      <c r="K180" s="10" t="s">
        <v>373</v>
      </c>
      <c r="L180" s="4"/>
      <c r="M180" s="4" t="s">
        <v>374</v>
      </c>
      <c r="N180" s="4"/>
      <c r="O180" s="4" t="s">
        <v>108</v>
      </c>
      <c r="P180" s="4">
        <v>100</v>
      </c>
      <c r="Q180" s="5">
        <f t="shared" si="88"/>
        <v>2.0209999999999999</v>
      </c>
      <c r="R180" s="5">
        <f t="shared" si="89"/>
        <v>1.98</v>
      </c>
      <c r="S180" s="5">
        <f t="shared" si="90"/>
        <v>1.9179999999999999</v>
      </c>
      <c r="T180" s="5">
        <f t="shared" si="91"/>
        <v>1.87</v>
      </c>
      <c r="U180" s="5">
        <f t="shared" si="92"/>
        <v>1.462</v>
      </c>
      <c r="V180" s="5">
        <f t="shared" si="93"/>
        <v>0.86199999999999999</v>
      </c>
      <c r="W180" s="5">
        <f t="shared" si="94"/>
        <v>2.7639999999999998</v>
      </c>
    </row>
    <row r="181" spans="1:23" s="86" customFormat="1">
      <c r="A181" s="7">
        <v>3</v>
      </c>
      <c r="B181" s="88" t="s">
        <v>375</v>
      </c>
      <c r="C181" s="49">
        <v>0</v>
      </c>
      <c r="D181" s="49">
        <v>0.2505</v>
      </c>
      <c r="E181" s="49">
        <v>0.96199999999999997</v>
      </c>
      <c r="F181" s="49">
        <v>2.4504999999999999</v>
      </c>
      <c r="G181" s="49">
        <v>3.6429999999999998</v>
      </c>
      <c r="H181" s="49">
        <v>3.4449999999999998</v>
      </c>
      <c r="I181" s="49">
        <v>2.367</v>
      </c>
      <c r="J181" s="4">
        <v>50</v>
      </c>
      <c r="K181" s="10">
        <v>7</v>
      </c>
      <c r="L181" s="4" t="s">
        <v>174</v>
      </c>
      <c r="M181" s="4" t="s">
        <v>376</v>
      </c>
      <c r="N181" s="4"/>
      <c r="O181" s="4" t="s">
        <v>108</v>
      </c>
      <c r="P181" s="4">
        <v>100</v>
      </c>
      <c r="Q181" s="5">
        <f t="shared" si="88"/>
        <v>0</v>
      </c>
      <c r="R181" s="5">
        <f t="shared" si="89"/>
        <v>0.2505</v>
      </c>
      <c r="S181" s="5">
        <f t="shared" si="90"/>
        <v>0.96199999999999997</v>
      </c>
      <c r="T181" s="5">
        <f t="shared" si="91"/>
        <v>2.4504999999999999</v>
      </c>
      <c r="U181" s="5">
        <f t="shared" si="92"/>
        <v>3.6429999999999998</v>
      </c>
      <c r="V181" s="5">
        <f t="shared" si="93"/>
        <v>3.4449999999999998</v>
      </c>
      <c r="W181" s="5">
        <f t="shared" si="94"/>
        <v>2.367</v>
      </c>
    </row>
    <row r="182" spans="1:23" s="86" customFormat="1">
      <c r="A182" s="7">
        <v>3</v>
      </c>
      <c r="B182" s="4" t="s">
        <v>1088</v>
      </c>
      <c r="C182" s="49">
        <v>9.3955000000000002</v>
      </c>
      <c r="D182" s="49">
        <v>9.5459999999999994</v>
      </c>
      <c r="E182" s="49">
        <v>11.858499999999999</v>
      </c>
      <c r="F182" s="49">
        <v>12.558499999999999</v>
      </c>
      <c r="G182" s="49">
        <v>11.958500000000001</v>
      </c>
      <c r="H182" s="49">
        <v>11.625</v>
      </c>
      <c r="I182" s="49">
        <v>12.111499999999999</v>
      </c>
      <c r="J182" s="4">
        <v>50</v>
      </c>
      <c r="K182" s="10" t="s">
        <v>367</v>
      </c>
      <c r="L182" s="4"/>
      <c r="M182" s="4" t="s">
        <v>121</v>
      </c>
      <c r="N182" s="4"/>
      <c r="O182" s="4" t="s">
        <v>108</v>
      </c>
      <c r="P182" s="4">
        <v>100</v>
      </c>
      <c r="Q182" s="5">
        <f t="shared" si="88"/>
        <v>9.3955000000000002</v>
      </c>
      <c r="R182" s="5">
        <f t="shared" si="89"/>
        <v>9.5459999999999994</v>
      </c>
      <c r="S182" s="5">
        <f t="shared" si="90"/>
        <v>11.858499999999999</v>
      </c>
      <c r="T182" s="5">
        <f t="shared" si="91"/>
        <v>12.558499999999999</v>
      </c>
      <c r="U182" s="5">
        <f t="shared" si="92"/>
        <v>11.958500000000001</v>
      </c>
      <c r="V182" s="5">
        <f t="shared" si="93"/>
        <v>11.625</v>
      </c>
      <c r="W182" s="5">
        <f t="shared" si="94"/>
        <v>12.111499999999999</v>
      </c>
    </row>
    <row r="183" spans="1:23" s="86" customFormat="1">
      <c r="A183" s="7">
        <v>3</v>
      </c>
      <c r="B183" s="4" t="s">
        <v>377</v>
      </c>
      <c r="C183" s="49">
        <v>0.13700000000000001</v>
      </c>
      <c r="D183" s="49">
        <v>0</v>
      </c>
      <c r="E183" s="49">
        <v>0</v>
      </c>
      <c r="F183" s="49">
        <v>0</v>
      </c>
      <c r="G183" s="49">
        <v>0</v>
      </c>
      <c r="H183" s="49">
        <v>0</v>
      </c>
      <c r="I183" s="49">
        <v>0</v>
      </c>
      <c r="J183" s="4">
        <v>50</v>
      </c>
      <c r="K183" s="10" t="s">
        <v>367</v>
      </c>
      <c r="L183" s="4"/>
      <c r="M183" s="4" t="s">
        <v>121</v>
      </c>
      <c r="N183" s="4"/>
      <c r="O183" s="4" t="s">
        <v>108</v>
      </c>
      <c r="P183" s="4">
        <v>100</v>
      </c>
      <c r="Q183" s="5">
        <f t="shared" si="88"/>
        <v>0.13700000000000001</v>
      </c>
      <c r="R183" s="5">
        <f t="shared" si="89"/>
        <v>0</v>
      </c>
      <c r="S183" s="5">
        <f t="shared" si="90"/>
        <v>0</v>
      </c>
      <c r="T183" s="5">
        <f t="shared" si="91"/>
        <v>0</v>
      </c>
      <c r="U183" s="5">
        <f t="shared" si="92"/>
        <v>0</v>
      </c>
      <c r="V183" s="5">
        <f t="shared" si="93"/>
        <v>0</v>
      </c>
      <c r="W183" s="5">
        <f t="shared" si="94"/>
        <v>0</v>
      </c>
    </row>
    <row r="184" spans="1:23" ht="14.4">
      <c r="A184" s="7">
        <v>3</v>
      </c>
      <c r="B184" s="4" t="s">
        <v>378</v>
      </c>
      <c r="C184" s="49">
        <v>0</v>
      </c>
      <c r="D184" s="49">
        <v>0</v>
      </c>
      <c r="E184" s="49">
        <v>0</v>
      </c>
      <c r="F184" s="49">
        <v>0</v>
      </c>
      <c r="G184" s="49">
        <v>0</v>
      </c>
      <c r="H184" s="49">
        <v>0</v>
      </c>
      <c r="I184" s="49">
        <v>0</v>
      </c>
      <c r="J184" s="4">
        <v>100</v>
      </c>
      <c r="K184" s="10">
        <v>6</v>
      </c>
      <c r="L184" s="2" t="s">
        <v>189</v>
      </c>
      <c r="M184" s="4" t="s">
        <v>121</v>
      </c>
      <c r="O184" s="4" t="s">
        <v>108</v>
      </c>
      <c r="P184" s="4">
        <v>100</v>
      </c>
      <c r="Q184" s="5">
        <f t="shared" si="88"/>
        <v>0</v>
      </c>
      <c r="R184" s="5">
        <f t="shared" si="89"/>
        <v>0</v>
      </c>
      <c r="S184" s="5">
        <f t="shared" si="90"/>
        <v>0</v>
      </c>
      <c r="T184" s="5">
        <f t="shared" si="91"/>
        <v>0</v>
      </c>
      <c r="U184" s="5">
        <f t="shared" si="92"/>
        <v>0</v>
      </c>
      <c r="V184" s="5">
        <f t="shared" si="93"/>
        <v>0</v>
      </c>
      <c r="W184" s="5">
        <f t="shared" si="94"/>
        <v>0</v>
      </c>
    </row>
    <row r="185" spans="1:23" s="86" customFormat="1">
      <c r="A185" s="7">
        <v>3</v>
      </c>
      <c r="B185" s="4" t="s">
        <v>379</v>
      </c>
      <c r="C185" s="49">
        <v>0.60399999999999998</v>
      </c>
      <c r="D185" s="49">
        <v>0.76100000000000001</v>
      </c>
      <c r="E185" s="49">
        <v>0.91300000000000003</v>
      </c>
      <c r="F185" s="49">
        <v>0.72499999999999998</v>
      </c>
      <c r="G185" s="49">
        <v>0.61099999999999999</v>
      </c>
      <c r="H185" s="49">
        <v>0.61099999999999999</v>
      </c>
      <c r="I185" s="49">
        <v>0.622</v>
      </c>
      <c r="J185" s="4">
        <v>20</v>
      </c>
      <c r="K185" s="10" t="s">
        <v>380</v>
      </c>
      <c r="L185" s="4"/>
      <c r="M185" s="4" t="s">
        <v>381</v>
      </c>
      <c r="N185" s="4"/>
      <c r="O185" s="4" t="s">
        <v>108</v>
      </c>
      <c r="P185" s="4">
        <v>100</v>
      </c>
      <c r="Q185" s="5">
        <f t="shared" si="88"/>
        <v>0.60399999999999998</v>
      </c>
      <c r="R185" s="5">
        <f t="shared" si="89"/>
        <v>0.76100000000000001</v>
      </c>
      <c r="S185" s="5">
        <f t="shared" si="90"/>
        <v>0.91300000000000003</v>
      </c>
      <c r="T185" s="5">
        <f t="shared" si="91"/>
        <v>0.72499999999999998</v>
      </c>
      <c r="U185" s="5">
        <f t="shared" si="92"/>
        <v>0.61099999999999999</v>
      </c>
      <c r="V185" s="5">
        <f t="shared" si="93"/>
        <v>0.61099999999999999</v>
      </c>
      <c r="W185" s="5">
        <f t="shared" si="94"/>
        <v>0.622</v>
      </c>
    </row>
    <row r="186" spans="1:23" s="86" customFormat="1">
      <c r="A186" s="7">
        <v>3</v>
      </c>
      <c r="B186" s="4" t="s">
        <v>382</v>
      </c>
      <c r="C186" s="49">
        <v>2.5168000000000004</v>
      </c>
      <c r="D186" s="49">
        <v>0.4</v>
      </c>
      <c r="E186" s="49">
        <v>0</v>
      </c>
      <c r="F186" s="49">
        <v>0</v>
      </c>
      <c r="G186" s="49">
        <v>0</v>
      </c>
      <c r="H186" s="49">
        <v>0</v>
      </c>
      <c r="I186" s="49">
        <v>0</v>
      </c>
      <c r="J186" s="4">
        <v>20</v>
      </c>
      <c r="K186" s="10" t="s">
        <v>369</v>
      </c>
      <c r="L186" s="4"/>
      <c r="M186" s="4" t="s">
        <v>121</v>
      </c>
      <c r="N186" s="4"/>
      <c r="O186" s="4" t="s">
        <v>108</v>
      </c>
      <c r="P186" s="4">
        <v>100</v>
      </c>
      <c r="Q186" s="5">
        <f t="shared" si="88"/>
        <v>2.5168000000000004</v>
      </c>
      <c r="R186" s="5">
        <f t="shared" si="89"/>
        <v>0.4</v>
      </c>
      <c r="S186" s="5">
        <f t="shared" si="90"/>
        <v>0</v>
      </c>
      <c r="T186" s="5">
        <f t="shared" si="91"/>
        <v>0</v>
      </c>
      <c r="U186" s="5">
        <f t="shared" si="92"/>
        <v>0</v>
      </c>
      <c r="V186" s="5">
        <f t="shared" si="93"/>
        <v>0</v>
      </c>
      <c r="W186" s="5">
        <f t="shared" si="94"/>
        <v>0</v>
      </c>
    </row>
    <row r="187" spans="1:23" s="86" customFormat="1">
      <c r="A187" s="7">
        <v>3</v>
      </c>
      <c r="B187" s="4" t="s">
        <v>383</v>
      </c>
      <c r="C187" s="49">
        <v>21</v>
      </c>
      <c r="D187" s="49">
        <v>15</v>
      </c>
      <c r="E187" s="49">
        <v>6</v>
      </c>
      <c r="F187" s="49">
        <v>0</v>
      </c>
      <c r="G187" s="49">
        <v>0</v>
      </c>
      <c r="H187" s="49">
        <v>0</v>
      </c>
      <c r="I187" s="49">
        <v>0</v>
      </c>
      <c r="J187" s="4">
        <v>30</v>
      </c>
      <c r="K187" s="10" t="s">
        <v>369</v>
      </c>
      <c r="L187" s="4"/>
      <c r="M187" s="4" t="s">
        <v>121</v>
      </c>
      <c r="N187" s="4"/>
      <c r="O187" s="4" t="s">
        <v>108</v>
      </c>
      <c r="P187" s="4">
        <v>100</v>
      </c>
      <c r="Q187" s="5">
        <f t="shared" ref="Q187:W188" si="95">+$P187/100*C188</f>
        <v>2.5907000000000004</v>
      </c>
      <c r="R187" s="5">
        <f t="shared" si="95"/>
        <v>1</v>
      </c>
      <c r="S187" s="5">
        <f t="shared" si="95"/>
        <v>0</v>
      </c>
      <c r="T187" s="5">
        <f t="shared" si="95"/>
        <v>0</v>
      </c>
      <c r="U187" s="5">
        <f t="shared" si="95"/>
        <v>0</v>
      </c>
      <c r="V187" s="5">
        <f t="shared" si="95"/>
        <v>0</v>
      </c>
      <c r="W187" s="5">
        <f t="shared" si="95"/>
        <v>0</v>
      </c>
    </row>
    <row r="188" spans="1:23" s="86" customFormat="1">
      <c r="A188" s="7">
        <v>3</v>
      </c>
      <c r="B188" s="4" t="s">
        <v>384</v>
      </c>
      <c r="C188" s="49">
        <v>2.5907000000000004</v>
      </c>
      <c r="D188" s="49">
        <v>1</v>
      </c>
      <c r="E188" s="49">
        <v>0</v>
      </c>
      <c r="F188" s="49">
        <v>0</v>
      </c>
      <c r="G188" s="49">
        <v>0</v>
      </c>
      <c r="H188" s="49">
        <v>0</v>
      </c>
      <c r="I188" s="49">
        <v>0</v>
      </c>
      <c r="J188" s="4">
        <v>10</v>
      </c>
      <c r="K188" s="10" t="s">
        <v>369</v>
      </c>
      <c r="L188" s="4"/>
      <c r="M188" s="4" t="s">
        <v>121</v>
      </c>
      <c r="N188" s="4"/>
      <c r="O188" s="4" t="s">
        <v>108</v>
      </c>
      <c r="P188" s="4">
        <v>100</v>
      </c>
      <c r="Q188" s="5">
        <f t="shared" ref="Q188" si="96">+$P188/100*C189</f>
        <v>0</v>
      </c>
      <c r="R188" s="5">
        <f t="shared" ref="R188" si="97">+$P188/100*D189</f>
        <v>0</v>
      </c>
      <c r="S188" s="5">
        <f t="shared" ref="S188" si="98">+$P188/100*E189</f>
        <v>0</v>
      </c>
      <c r="T188" s="5">
        <f t="shared" ref="T188" si="99">+$P188/100*F189</f>
        <v>16.583399999999997</v>
      </c>
      <c r="U188" s="5">
        <f t="shared" ref="U188" si="100">+$P188/100*G189</f>
        <v>17.035799999999998</v>
      </c>
      <c r="V188" s="5">
        <f t="shared" ref="V188" si="101">+$P188/100*H189</f>
        <v>17.487599999999997</v>
      </c>
      <c r="W188" s="5">
        <f t="shared" si="95"/>
        <v>13.0656</v>
      </c>
    </row>
    <row r="189" spans="1:23" s="86" customFormat="1">
      <c r="A189" s="7">
        <v>3</v>
      </c>
      <c r="B189" s="4" t="s">
        <v>385</v>
      </c>
      <c r="C189" s="49">
        <v>0</v>
      </c>
      <c r="D189" s="49">
        <v>0</v>
      </c>
      <c r="E189" s="49">
        <v>0</v>
      </c>
      <c r="F189" s="49">
        <v>16.583399999999997</v>
      </c>
      <c r="G189" s="49">
        <v>17.035799999999998</v>
      </c>
      <c r="H189" s="49">
        <v>17.487599999999997</v>
      </c>
      <c r="I189" s="49">
        <v>13.0656</v>
      </c>
      <c r="J189" s="4">
        <v>60</v>
      </c>
      <c r="K189" s="10" t="s">
        <v>386</v>
      </c>
      <c r="L189" s="4"/>
      <c r="M189" s="4" t="s">
        <v>121</v>
      </c>
      <c r="N189" s="4"/>
      <c r="O189" s="4" t="s">
        <v>108</v>
      </c>
      <c r="P189" s="4">
        <v>100</v>
      </c>
      <c r="Q189" s="5">
        <f t="shared" si="88"/>
        <v>0</v>
      </c>
      <c r="R189" s="5">
        <f t="shared" si="89"/>
        <v>0</v>
      </c>
      <c r="S189" s="5">
        <f t="shared" si="90"/>
        <v>0</v>
      </c>
      <c r="T189" s="5">
        <f t="shared" si="91"/>
        <v>16.583399999999997</v>
      </c>
      <c r="U189" s="5">
        <f t="shared" si="92"/>
        <v>17.035799999999998</v>
      </c>
      <c r="V189" s="5">
        <f t="shared" si="93"/>
        <v>17.487599999999997</v>
      </c>
      <c r="W189" s="5">
        <f t="shared" si="94"/>
        <v>13.0656</v>
      </c>
    </row>
    <row r="190" spans="1:23" s="86" customFormat="1">
      <c r="A190" s="7">
        <v>3</v>
      </c>
      <c r="B190" s="4" t="s">
        <v>696</v>
      </c>
      <c r="C190" s="49">
        <v>0</v>
      </c>
      <c r="D190" s="49">
        <v>0</v>
      </c>
      <c r="E190" s="49">
        <v>22.5</v>
      </c>
      <c r="F190" s="49">
        <v>37.5</v>
      </c>
      <c r="G190" s="49">
        <v>15</v>
      </c>
      <c r="H190" s="49">
        <v>0</v>
      </c>
      <c r="I190" s="49">
        <v>0</v>
      </c>
      <c r="J190" s="4">
        <v>30</v>
      </c>
      <c r="K190" s="10" t="s">
        <v>369</v>
      </c>
      <c r="L190" s="4"/>
      <c r="M190" s="4" t="s">
        <v>121</v>
      </c>
      <c r="N190" s="4"/>
      <c r="O190" s="4" t="s">
        <v>108</v>
      </c>
      <c r="P190" s="4">
        <v>100</v>
      </c>
      <c r="Q190" s="5">
        <f t="shared" si="88"/>
        <v>0</v>
      </c>
      <c r="R190" s="5">
        <f t="shared" si="89"/>
        <v>0</v>
      </c>
      <c r="S190" s="5">
        <f t="shared" si="90"/>
        <v>22.5</v>
      </c>
      <c r="T190" s="5">
        <f t="shared" si="91"/>
        <v>37.5</v>
      </c>
      <c r="U190" s="5">
        <f t="shared" si="92"/>
        <v>15</v>
      </c>
      <c r="V190" s="5">
        <f t="shared" si="93"/>
        <v>0</v>
      </c>
      <c r="W190" s="5">
        <f t="shared" si="94"/>
        <v>0</v>
      </c>
    </row>
    <row r="191" spans="1:23" s="15" customFormat="1" ht="14.4">
      <c r="A191" s="7">
        <v>3</v>
      </c>
      <c r="B191" s="4" t="s">
        <v>387</v>
      </c>
      <c r="C191" s="49">
        <v>0</v>
      </c>
      <c r="D191" s="49">
        <v>7</v>
      </c>
      <c r="E191" s="49">
        <v>45</v>
      </c>
      <c r="F191" s="49">
        <v>3.62</v>
      </c>
      <c r="G191" s="49">
        <v>0</v>
      </c>
      <c r="H191" s="49">
        <v>0</v>
      </c>
      <c r="I191" s="49">
        <v>0</v>
      </c>
      <c r="J191" s="4">
        <v>20</v>
      </c>
      <c r="K191" s="10">
        <v>6</v>
      </c>
      <c r="L191" s="2" t="s">
        <v>189</v>
      </c>
      <c r="M191" s="4" t="s">
        <v>121</v>
      </c>
      <c r="N191" s="4"/>
      <c r="O191" s="4" t="s">
        <v>108</v>
      </c>
      <c r="P191" s="4">
        <v>100</v>
      </c>
      <c r="Q191" s="5">
        <f t="shared" si="88"/>
        <v>0</v>
      </c>
      <c r="R191" s="5">
        <f t="shared" si="89"/>
        <v>7</v>
      </c>
      <c r="S191" s="5">
        <f t="shared" si="90"/>
        <v>45</v>
      </c>
      <c r="T191" s="5">
        <f t="shared" si="91"/>
        <v>3.62</v>
      </c>
      <c r="U191" s="5">
        <f t="shared" si="92"/>
        <v>0</v>
      </c>
      <c r="V191" s="5">
        <f t="shared" si="93"/>
        <v>0</v>
      </c>
      <c r="W191" s="5">
        <f t="shared" si="94"/>
        <v>0</v>
      </c>
    </row>
    <row r="192" spans="1:23" s="15" customFormat="1" ht="14.4">
      <c r="A192" s="7"/>
      <c r="B192" s="321" t="s">
        <v>388</v>
      </c>
      <c r="C192" s="49">
        <v>0</v>
      </c>
      <c r="D192" s="49">
        <v>0</v>
      </c>
      <c r="E192" s="49">
        <v>0</v>
      </c>
      <c r="F192" s="49">
        <v>3.75</v>
      </c>
      <c r="G192" s="49">
        <v>3.75</v>
      </c>
      <c r="H192" s="49">
        <v>3.75</v>
      </c>
      <c r="I192" s="49">
        <v>3.75</v>
      </c>
      <c r="J192" s="4">
        <v>50</v>
      </c>
      <c r="K192" s="10">
        <v>6</v>
      </c>
      <c r="L192" s="2" t="s">
        <v>189</v>
      </c>
      <c r="M192" s="4" t="s">
        <v>121</v>
      </c>
      <c r="N192" s="4"/>
      <c r="O192" s="4" t="s">
        <v>108</v>
      </c>
      <c r="P192" s="4">
        <v>100</v>
      </c>
      <c r="Q192" s="5">
        <f t="shared" ref="Q192:Q193" si="102">+$P192/100*C192</f>
        <v>0</v>
      </c>
      <c r="R192" s="5">
        <f t="shared" ref="R192:R193" si="103">+$P192/100*D192</f>
        <v>0</v>
      </c>
      <c r="S192" s="5">
        <f t="shared" ref="S192:S193" si="104">+$P192/100*E192</f>
        <v>0</v>
      </c>
      <c r="T192" s="5">
        <f t="shared" ref="T192:T193" si="105">+$P192/100*F192</f>
        <v>3.75</v>
      </c>
      <c r="U192" s="5">
        <f t="shared" ref="U192:U193" si="106">+$P192/100*G192</f>
        <v>3.75</v>
      </c>
      <c r="V192" s="5">
        <f t="shared" ref="V192:V193" si="107">+$P192/100*H192</f>
        <v>3.75</v>
      </c>
      <c r="W192" s="5">
        <f t="shared" ref="W192:W193" si="108">+$P192/100*I192</f>
        <v>3.75</v>
      </c>
    </row>
    <row r="193" spans="1:23" s="15" customFormat="1" ht="14.4">
      <c r="A193" s="7"/>
      <c r="B193" s="321" t="s">
        <v>389</v>
      </c>
      <c r="C193" s="49">
        <v>12.5</v>
      </c>
      <c r="D193" s="49">
        <v>37.5</v>
      </c>
      <c r="E193" s="49">
        <v>0</v>
      </c>
      <c r="F193" s="49">
        <v>0</v>
      </c>
      <c r="G193" s="49">
        <v>0</v>
      </c>
      <c r="H193" s="49">
        <v>0</v>
      </c>
      <c r="I193" s="49">
        <v>0</v>
      </c>
      <c r="J193" s="4">
        <v>50</v>
      </c>
      <c r="K193" s="10">
        <v>6.14</v>
      </c>
      <c r="L193" s="2"/>
      <c r="M193" s="4" t="s">
        <v>121</v>
      </c>
      <c r="N193" s="4"/>
      <c r="O193" s="4" t="s">
        <v>108</v>
      </c>
      <c r="P193" s="4">
        <v>100</v>
      </c>
      <c r="Q193" s="5">
        <f t="shared" si="102"/>
        <v>12.5</v>
      </c>
      <c r="R193" s="5">
        <f t="shared" si="103"/>
        <v>37.5</v>
      </c>
      <c r="S193" s="5">
        <f t="shared" si="104"/>
        <v>0</v>
      </c>
      <c r="T193" s="5">
        <f t="shared" si="105"/>
        <v>0</v>
      </c>
      <c r="U193" s="5">
        <f t="shared" si="106"/>
        <v>0</v>
      </c>
      <c r="V193" s="5">
        <f t="shared" si="107"/>
        <v>0</v>
      </c>
      <c r="W193" s="5">
        <f t="shared" si="108"/>
        <v>0</v>
      </c>
    </row>
    <row r="194" spans="1:23" ht="14.4">
      <c r="A194" s="3" t="s">
        <v>390</v>
      </c>
      <c r="B194" s="6" t="s">
        <v>391</v>
      </c>
      <c r="C194" s="46"/>
      <c r="D194" s="46"/>
      <c r="E194" s="46"/>
      <c r="F194" s="46"/>
      <c r="G194" s="46"/>
      <c r="H194" s="46"/>
      <c r="I194" s="46"/>
      <c r="J194" s="49"/>
      <c r="K194" s="10"/>
      <c r="P194" s="4"/>
      <c r="Q194" s="52"/>
      <c r="R194" s="52"/>
      <c r="S194" s="52"/>
      <c r="T194" s="52"/>
      <c r="U194" s="52"/>
      <c r="V194" s="52"/>
      <c r="W194" s="52"/>
    </row>
    <row r="195" spans="1:23">
      <c r="A195" s="277" t="s">
        <v>392</v>
      </c>
      <c r="B195" s="251" t="s">
        <v>393</v>
      </c>
      <c r="C195" s="4">
        <v>13.596</v>
      </c>
      <c r="D195" s="256">
        <v>18.7</v>
      </c>
      <c r="E195" s="256">
        <v>18.725000000000001</v>
      </c>
      <c r="F195" s="256">
        <v>18.373000000000001</v>
      </c>
      <c r="G195" s="256">
        <v>16.067</v>
      </c>
      <c r="H195" s="256">
        <v>14.176</v>
      </c>
      <c r="I195" s="256">
        <v>7.2770000000000001</v>
      </c>
      <c r="J195" s="4">
        <v>25</v>
      </c>
      <c r="K195" s="4">
        <v>2.5</v>
      </c>
      <c r="M195" s="4" t="s">
        <v>121</v>
      </c>
      <c r="O195" s="4" t="s">
        <v>108</v>
      </c>
      <c r="P195" s="10">
        <v>100</v>
      </c>
      <c r="Q195" s="5">
        <f>+$P195/100*C196</f>
        <v>7.6539999999999999</v>
      </c>
      <c r="R195" s="5">
        <f>+$P195/100*D195</f>
        <v>18.7</v>
      </c>
      <c r="S195" s="5">
        <f t="shared" ref="S195:S218" si="109">+$P195/100*E195</f>
        <v>18.725000000000001</v>
      </c>
      <c r="T195" s="5">
        <f t="shared" ref="T195:T218" si="110">+$P195/100*F195</f>
        <v>18.373000000000001</v>
      </c>
      <c r="U195" s="5">
        <f t="shared" ref="U195:U218" si="111">+$P195/100*G195</f>
        <v>16.067</v>
      </c>
      <c r="V195" s="5">
        <f t="shared" ref="V195:V218" si="112">+$P195/100*H195</f>
        <v>14.176</v>
      </c>
      <c r="W195" s="5">
        <f t="shared" ref="W195:W218" si="113">+$P195/100*I195</f>
        <v>7.2770000000000001</v>
      </c>
    </row>
    <row r="196" spans="1:23">
      <c r="A196" s="277" t="s">
        <v>392</v>
      </c>
      <c r="B196" s="251" t="s">
        <v>394</v>
      </c>
      <c r="C196" s="49">
        <v>7.6539999999999999</v>
      </c>
      <c r="D196" s="256">
        <v>5.9489999999999998</v>
      </c>
      <c r="E196" s="256">
        <v>0</v>
      </c>
      <c r="F196" s="256">
        <v>0</v>
      </c>
      <c r="G196" s="256">
        <v>0</v>
      </c>
      <c r="H196" s="256">
        <v>0</v>
      </c>
      <c r="I196" s="256">
        <v>0</v>
      </c>
      <c r="J196" s="4">
        <v>25</v>
      </c>
      <c r="K196" s="4">
        <v>2.5</v>
      </c>
      <c r="M196" s="4" t="s">
        <v>121</v>
      </c>
      <c r="O196" s="4" t="s">
        <v>108</v>
      </c>
      <c r="P196" s="10">
        <v>100</v>
      </c>
      <c r="Q196" s="5">
        <f t="shared" ref="Q196:R218" si="114">+$P196/100*C196</f>
        <v>7.6539999999999999</v>
      </c>
      <c r="R196" s="5">
        <f t="shared" si="114"/>
        <v>5.9489999999999998</v>
      </c>
      <c r="S196" s="5">
        <f t="shared" si="109"/>
        <v>0</v>
      </c>
      <c r="T196" s="5">
        <f t="shared" si="110"/>
        <v>0</v>
      </c>
      <c r="U196" s="5">
        <f t="shared" si="111"/>
        <v>0</v>
      </c>
      <c r="V196" s="5">
        <f t="shared" si="112"/>
        <v>0</v>
      </c>
      <c r="W196" s="5">
        <f t="shared" si="113"/>
        <v>0</v>
      </c>
    </row>
    <row r="197" spans="1:23" s="86" customFormat="1">
      <c r="A197" s="277" t="s">
        <v>392</v>
      </c>
      <c r="B197" s="251" t="s">
        <v>395</v>
      </c>
      <c r="C197" s="49">
        <v>12.406000000000001</v>
      </c>
      <c r="D197" s="256">
        <v>28.099</v>
      </c>
      <c r="E197" s="256">
        <v>67.262</v>
      </c>
      <c r="F197" s="256">
        <v>77.522000000000006</v>
      </c>
      <c r="G197" s="256">
        <v>71.777000000000001</v>
      </c>
      <c r="H197" s="256">
        <v>70.216999999999999</v>
      </c>
      <c r="I197" s="256">
        <v>98.284999999999997</v>
      </c>
      <c r="J197" s="4">
        <v>30</v>
      </c>
      <c r="K197" s="4">
        <v>2.5</v>
      </c>
      <c r="L197" s="4"/>
      <c r="M197" s="4" t="s">
        <v>121</v>
      </c>
      <c r="N197" s="4"/>
      <c r="O197" s="4" t="s">
        <v>108</v>
      </c>
      <c r="P197" s="10">
        <v>100</v>
      </c>
      <c r="Q197" s="5">
        <f t="shared" ref="Q197:Q218" si="115">+$P197/100*C197</f>
        <v>12.406000000000001</v>
      </c>
      <c r="R197" s="5">
        <f t="shared" si="114"/>
        <v>28.099</v>
      </c>
      <c r="S197" s="5">
        <f t="shared" si="109"/>
        <v>67.262</v>
      </c>
      <c r="T197" s="5">
        <f t="shared" si="110"/>
        <v>77.522000000000006</v>
      </c>
      <c r="U197" s="5">
        <f t="shared" si="111"/>
        <v>71.777000000000001</v>
      </c>
      <c r="V197" s="5">
        <f t="shared" si="112"/>
        <v>70.216999999999999</v>
      </c>
      <c r="W197" s="5">
        <f t="shared" si="113"/>
        <v>98.284999999999997</v>
      </c>
    </row>
    <row r="198" spans="1:23">
      <c r="A198" s="277" t="s">
        <v>392</v>
      </c>
      <c r="B198" s="251" t="s">
        <v>396</v>
      </c>
      <c r="C198" s="49">
        <v>0.36799999999999999</v>
      </c>
      <c r="D198" s="256">
        <v>0.69299999999999995</v>
      </c>
      <c r="E198" s="256">
        <v>0.57999999999999996</v>
      </c>
      <c r="F198" s="256">
        <v>0.129</v>
      </c>
      <c r="G198" s="256">
        <v>0</v>
      </c>
      <c r="H198" s="256">
        <v>0</v>
      </c>
      <c r="I198" s="256">
        <v>0</v>
      </c>
      <c r="J198" s="4">
        <v>30</v>
      </c>
      <c r="K198" s="4">
        <v>2.6</v>
      </c>
      <c r="M198" s="4" t="s">
        <v>121</v>
      </c>
      <c r="O198" s="4" t="s">
        <v>108</v>
      </c>
      <c r="P198" s="10">
        <v>100</v>
      </c>
      <c r="Q198" s="5">
        <f t="shared" si="115"/>
        <v>0.36799999999999999</v>
      </c>
      <c r="R198" s="5">
        <f t="shared" si="114"/>
        <v>0.69299999999999995</v>
      </c>
      <c r="S198" s="5">
        <f t="shared" si="109"/>
        <v>0.57999999999999996</v>
      </c>
      <c r="T198" s="5">
        <f t="shared" si="110"/>
        <v>0.129</v>
      </c>
      <c r="U198" s="5">
        <f t="shared" si="111"/>
        <v>0</v>
      </c>
      <c r="V198" s="5">
        <f t="shared" si="112"/>
        <v>0</v>
      </c>
      <c r="W198" s="5">
        <f t="shared" si="113"/>
        <v>0</v>
      </c>
    </row>
    <row r="199" spans="1:23" ht="14.4">
      <c r="A199" s="277" t="s">
        <v>392</v>
      </c>
      <c r="B199" s="251" t="s">
        <v>397</v>
      </c>
      <c r="C199" s="49">
        <v>0.19</v>
      </c>
      <c r="D199" s="256">
        <v>0.55600000000000005</v>
      </c>
      <c r="E199" s="256">
        <v>0.48099999999999998</v>
      </c>
      <c r="F199" s="256">
        <v>0.438</v>
      </c>
      <c r="G199" s="256">
        <v>0.33100000000000002</v>
      </c>
      <c r="H199" s="256">
        <v>0.39800000000000002</v>
      </c>
      <c r="I199" s="256">
        <v>0.4</v>
      </c>
      <c r="J199" s="4">
        <v>25</v>
      </c>
      <c r="K199" s="4">
        <v>5</v>
      </c>
      <c r="L199" s="2" t="s">
        <v>398</v>
      </c>
      <c r="M199" s="4" t="s">
        <v>121</v>
      </c>
      <c r="O199" s="4" t="s">
        <v>108</v>
      </c>
      <c r="P199" s="10">
        <v>100</v>
      </c>
      <c r="Q199" s="5">
        <f t="shared" si="115"/>
        <v>0.19</v>
      </c>
      <c r="R199" s="5">
        <f t="shared" si="114"/>
        <v>0.55600000000000005</v>
      </c>
      <c r="S199" s="5">
        <f t="shared" si="109"/>
        <v>0.48099999999999998</v>
      </c>
      <c r="T199" s="5">
        <f t="shared" si="110"/>
        <v>0.438</v>
      </c>
      <c r="U199" s="5">
        <f t="shared" si="111"/>
        <v>0.33100000000000002</v>
      </c>
      <c r="V199" s="5">
        <f t="shared" si="112"/>
        <v>0.39800000000000002</v>
      </c>
      <c r="W199" s="5">
        <f t="shared" si="113"/>
        <v>0.4</v>
      </c>
    </row>
    <row r="200" spans="1:23">
      <c r="A200" s="277" t="s">
        <v>392</v>
      </c>
      <c r="B200" s="251" t="s">
        <v>399</v>
      </c>
      <c r="C200" s="49">
        <v>2.621</v>
      </c>
      <c r="D200" s="256">
        <v>2.109</v>
      </c>
      <c r="E200" s="256">
        <v>6.32</v>
      </c>
      <c r="F200" s="256">
        <v>6.38</v>
      </c>
      <c r="G200" s="256">
        <v>4.3869999999999996</v>
      </c>
      <c r="H200" s="256">
        <v>1.986</v>
      </c>
      <c r="I200" s="256">
        <v>4.5819999999999999</v>
      </c>
      <c r="J200" s="4">
        <v>15</v>
      </c>
      <c r="K200" s="4">
        <v>2.5</v>
      </c>
      <c r="M200" s="4" t="s">
        <v>217</v>
      </c>
      <c r="O200" s="4" t="s">
        <v>108</v>
      </c>
      <c r="P200" s="10">
        <v>100</v>
      </c>
      <c r="Q200" s="5">
        <f t="shared" si="115"/>
        <v>2.621</v>
      </c>
      <c r="R200" s="5">
        <f t="shared" si="114"/>
        <v>2.109</v>
      </c>
      <c r="S200" s="5">
        <f t="shared" si="109"/>
        <v>6.32</v>
      </c>
      <c r="T200" s="5">
        <f t="shared" si="110"/>
        <v>6.38</v>
      </c>
      <c r="U200" s="5">
        <f t="shared" si="111"/>
        <v>4.3869999999999996</v>
      </c>
      <c r="V200" s="5">
        <f t="shared" si="112"/>
        <v>1.986</v>
      </c>
      <c r="W200" s="5">
        <f t="shared" si="113"/>
        <v>4.5819999999999999</v>
      </c>
    </row>
    <row r="201" spans="1:23">
      <c r="A201" s="277" t="s">
        <v>392</v>
      </c>
      <c r="B201" s="251" t="s">
        <v>400</v>
      </c>
      <c r="C201" s="49">
        <v>7.8070000000000004</v>
      </c>
      <c r="D201" s="256">
        <v>11.097</v>
      </c>
      <c r="E201" s="256">
        <v>10.715</v>
      </c>
      <c r="F201" s="256">
        <v>9.2070000000000007</v>
      </c>
      <c r="G201" s="256">
        <v>7.5860000000000003</v>
      </c>
      <c r="H201" s="256">
        <v>4.5</v>
      </c>
      <c r="I201" s="256">
        <v>13.664</v>
      </c>
      <c r="J201" s="4">
        <v>50</v>
      </c>
      <c r="K201" s="4">
        <v>2.5</v>
      </c>
      <c r="M201" s="4" t="s">
        <v>401</v>
      </c>
      <c r="O201" s="4" t="s">
        <v>108</v>
      </c>
      <c r="P201" s="10">
        <v>100</v>
      </c>
      <c r="Q201" s="5">
        <f t="shared" si="115"/>
        <v>7.8070000000000004</v>
      </c>
      <c r="R201" s="5">
        <f t="shared" si="114"/>
        <v>11.097</v>
      </c>
      <c r="S201" s="5">
        <f t="shared" si="109"/>
        <v>10.715</v>
      </c>
      <c r="T201" s="5">
        <f t="shared" si="110"/>
        <v>9.2070000000000007</v>
      </c>
      <c r="U201" s="5">
        <f t="shared" si="111"/>
        <v>7.5860000000000003</v>
      </c>
      <c r="V201" s="5">
        <f t="shared" si="112"/>
        <v>4.5</v>
      </c>
      <c r="W201" s="5">
        <f t="shared" si="113"/>
        <v>13.664</v>
      </c>
    </row>
    <row r="202" spans="1:23">
      <c r="A202" s="277"/>
      <c r="B202" s="251" t="s">
        <v>402</v>
      </c>
      <c r="C202" s="49">
        <v>2.6419999999999999</v>
      </c>
      <c r="D202" s="256">
        <v>0.15</v>
      </c>
      <c r="E202" s="256">
        <v>0</v>
      </c>
      <c r="F202" s="256">
        <v>0</v>
      </c>
      <c r="G202" s="256">
        <v>0</v>
      </c>
      <c r="H202" s="256">
        <v>0</v>
      </c>
      <c r="I202" s="256">
        <v>0</v>
      </c>
    </row>
    <row r="203" spans="1:23">
      <c r="A203" s="277" t="s">
        <v>392</v>
      </c>
      <c r="B203" s="251" t="s">
        <v>403</v>
      </c>
      <c r="C203" s="49">
        <v>0</v>
      </c>
      <c r="D203" s="256">
        <v>27.701000000000001</v>
      </c>
      <c r="E203" s="256">
        <v>121.979</v>
      </c>
      <c r="F203" s="256">
        <v>171.07</v>
      </c>
      <c r="G203" s="256">
        <v>225.36</v>
      </c>
      <c r="H203" s="256">
        <v>47.609000000000002</v>
      </c>
      <c r="I203" s="256">
        <v>1.5449999999999999</v>
      </c>
      <c r="J203" s="4">
        <v>50</v>
      </c>
      <c r="K203" s="4">
        <v>2.5</v>
      </c>
      <c r="M203" s="4" t="s">
        <v>308</v>
      </c>
      <c r="O203" s="4" t="s">
        <v>108</v>
      </c>
      <c r="P203" s="10">
        <v>100</v>
      </c>
      <c r="Q203" s="5">
        <f t="shared" si="115"/>
        <v>0</v>
      </c>
      <c r="R203" s="5">
        <f t="shared" si="114"/>
        <v>27.701000000000001</v>
      </c>
      <c r="S203" s="5">
        <f t="shared" si="109"/>
        <v>121.979</v>
      </c>
      <c r="T203" s="5">
        <f t="shared" si="110"/>
        <v>171.07</v>
      </c>
      <c r="U203" s="5">
        <f t="shared" si="111"/>
        <v>225.36</v>
      </c>
      <c r="V203" s="5">
        <f t="shared" si="112"/>
        <v>47.609000000000002</v>
      </c>
      <c r="W203" s="5">
        <f t="shared" si="113"/>
        <v>1.5449999999999999</v>
      </c>
    </row>
    <row r="204" spans="1:23" ht="14.4">
      <c r="A204" s="277" t="s">
        <v>392</v>
      </c>
      <c r="B204" s="251" t="s">
        <v>404</v>
      </c>
      <c r="C204" s="49">
        <v>10.041</v>
      </c>
      <c r="D204" s="256">
        <v>12.547000000000001</v>
      </c>
      <c r="E204" s="256">
        <v>12.547000000000001</v>
      </c>
      <c r="F204" s="256">
        <v>0</v>
      </c>
      <c r="G204" s="256">
        <v>0</v>
      </c>
      <c r="H204" s="256">
        <v>0</v>
      </c>
      <c r="I204" s="256">
        <v>0</v>
      </c>
      <c r="J204" s="4">
        <v>100</v>
      </c>
      <c r="K204" s="4">
        <v>2</v>
      </c>
      <c r="L204" s="2" t="s">
        <v>158</v>
      </c>
      <c r="M204" s="4" t="s">
        <v>405</v>
      </c>
      <c r="O204" s="4" t="s">
        <v>108</v>
      </c>
      <c r="P204" s="10">
        <v>50</v>
      </c>
      <c r="Q204" s="5">
        <f t="shared" si="115"/>
        <v>5.0205000000000002</v>
      </c>
      <c r="R204" s="5">
        <f t="shared" si="114"/>
        <v>6.2735000000000003</v>
      </c>
      <c r="S204" s="5">
        <f t="shared" si="109"/>
        <v>6.2735000000000003</v>
      </c>
      <c r="T204" s="5">
        <f t="shared" si="110"/>
        <v>0</v>
      </c>
      <c r="U204" s="5">
        <f t="shared" si="111"/>
        <v>0</v>
      </c>
      <c r="V204" s="5">
        <f t="shared" si="112"/>
        <v>0</v>
      </c>
      <c r="W204" s="5">
        <f t="shared" si="113"/>
        <v>0</v>
      </c>
    </row>
    <row r="205" spans="1:23" ht="14.4">
      <c r="A205" s="277" t="s">
        <v>392</v>
      </c>
      <c r="B205" s="251" t="s">
        <v>406</v>
      </c>
      <c r="C205" s="49">
        <v>2.242</v>
      </c>
      <c r="D205" s="256">
        <v>2.62</v>
      </c>
      <c r="E205" s="256">
        <v>4.0839999999999996</v>
      </c>
      <c r="F205" s="256">
        <v>4.1920000000000002</v>
      </c>
      <c r="G205" s="256">
        <v>4.1959999999999997</v>
      </c>
      <c r="H205" s="256">
        <v>4.202</v>
      </c>
      <c r="I205" s="256">
        <v>4.2119999999999997</v>
      </c>
      <c r="J205" s="4">
        <v>100</v>
      </c>
      <c r="K205" s="4">
        <v>2</v>
      </c>
      <c r="L205" s="2" t="s">
        <v>158</v>
      </c>
      <c r="M205" s="4" t="s">
        <v>407</v>
      </c>
      <c r="O205" s="4" t="s">
        <v>108</v>
      </c>
      <c r="P205" s="10">
        <v>50</v>
      </c>
      <c r="Q205" s="5">
        <f t="shared" si="115"/>
        <v>1.121</v>
      </c>
      <c r="R205" s="5">
        <f t="shared" si="114"/>
        <v>1.31</v>
      </c>
      <c r="S205" s="5">
        <f t="shared" si="109"/>
        <v>2.0419999999999998</v>
      </c>
      <c r="T205" s="5">
        <f t="shared" si="110"/>
        <v>2.0960000000000001</v>
      </c>
      <c r="U205" s="5">
        <f t="shared" si="111"/>
        <v>2.0979999999999999</v>
      </c>
      <c r="V205" s="5">
        <f t="shared" si="112"/>
        <v>2.101</v>
      </c>
      <c r="W205" s="5">
        <f t="shared" si="113"/>
        <v>2.1059999999999999</v>
      </c>
    </row>
    <row r="206" spans="1:23" ht="14.4">
      <c r="A206" s="277" t="s">
        <v>392</v>
      </c>
      <c r="B206" s="251" t="s">
        <v>408</v>
      </c>
      <c r="C206" s="49">
        <v>5.44</v>
      </c>
      <c r="D206" s="256">
        <v>6.9850000000000003</v>
      </c>
      <c r="E206" s="256">
        <v>6.899</v>
      </c>
      <c r="F206" s="256">
        <v>6.8879999999999999</v>
      </c>
      <c r="G206" s="256">
        <v>3.887</v>
      </c>
      <c r="H206" s="256">
        <v>4.67</v>
      </c>
      <c r="I206" s="256">
        <v>4.681</v>
      </c>
      <c r="J206" s="4">
        <v>100</v>
      </c>
      <c r="K206" s="4">
        <v>5</v>
      </c>
      <c r="L206" s="2" t="s">
        <v>398</v>
      </c>
      <c r="M206" s="4" t="s">
        <v>409</v>
      </c>
      <c r="O206" s="4" t="s">
        <v>130</v>
      </c>
      <c r="P206" s="10">
        <v>25</v>
      </c>
      <c r="Q206" s="5">
        <f t="shared" si="115"/>
        <v>1.36</v>
      </c>
      <c r="R206" s="5">
        <f t="shared" si="114"/>
        <v>1.7462500000000001</v>
      </c>
      <c r="S206" s="5">
        <f t="shared" si="109"/>
        <v>1.72475</v>
      </c>
      <c r="T206" s="5">
        <f t="shared" si="110"/>
        <v>1.722</v>
      </c>
      <c r="U206" s="5">
        <f t="shared" si="111"/>
        <v>0.97175</v>
      </c>
      <c r="V206" s="5">
        <f t="shared" si="112"/>
        <v>1.1675</v>
      </c>
      <c r="W206" s="5">
        <f t="shared" si="113"/>
        <v>1.17025</v>
      </c>
    </row>
    <row r="207" spans="1:23">
      <c r="A207" s="277" t="s">
        <v>392</v>
      </c>
      <c r="B207" s="251" t="s">
        <v>410</v>
      </c>
      <c r="C207" s="49">
        <v>0</v>
      </c>
      <c r="D207" s="256">
        <v>0.996</v>
      </c>
      <c r="E207" s="256">
        <v>3.5369999999999999</v>
      </c>
      <c r="F207" s="256">
        <v>4.5119999999999996</v>
      </c>
      <c r="G207" s="256">
        <v>3.9319999999999999</v>
      </c>
      <c r="H207" s="256">
        <v>0</v>
      </c>
      <c r="I207" s="256">
        <v>0</v>
      </c>
      <c r="J207" s="4">
        <v>50</v>
      </c>
      <c r="K207" s="4">
        <v>2.5</v>
      </c>
      <c r="M207" s="4" t="s">
        <v>93</v>
      </c>
      <c r="O207" s="4" t="s">
        <v>108</v>
      </c>
      <c r="P207" s="10">
        <v>100</v>
      </c>
      <c r="Q207" s="5">
        <f t="shared" si="115"/>
        <v>0</v>
      </c>
      <c r="R207" s="5">
        <f t="shared" si="114"/>
        <v>0.996</v>
      </c>
      <c r="S207" s="5">
        <f t="shared" si="109"/>
        <v>3.5369999999999999</v>
      </c>
      <c r="T207" s="5">
        <f t="shared" si="110"/>
        <v>4.5119999999999996</v>
      </c>
      <c r="U207" s="5">
        <f t="shared" si="111"/>
        <v>3.9319999999999999</v>
      </c>
      <c r="V207" s="5">
        <f t="shared" si="112"/>
        <v>0</v>
      </c>
      <c r="W207" s="5">
        <f t="shared" si="113"/>
        <v>0</v>
      </c>
    </row>
    <row r="208" spans="1:23">
      <c r="A208" s="277" t="s">
        <v>392</v>
      </c>
      <c r="B208" s="251" t="s">
        <v>411</v>
      </c>
      <c r="C208" s="49">
        <v>7.5730000000000004</v>
      </c>
      <c r="D208" s="256">
        <v>8.2390000000000008</v>
      </c>
      <c r="E208" s="256">
        <v>13.260999999999999</v>
      </c>
      <c r="F208" s="256">
        <v>2.5</v>
      </c>
      <c r="G208" s="256">
        <v>3</v>
      </c>
      <c r="H208" s="256">
        <v>0</v>
      </c>
      <c r="I208" s="256">
        <v>0</v>
      </c>
      <c r="J208" s="4">
        <v>50</v>
      </c>
      <c r="K208" s="4">
        <v>2.5</v>
      </c>
      <c r="M208" s="4" t="s">
        <v>121</v>
      </c>
      <c r="O208" s="4" t="s">
        <v>108</v>
      </c>
      <c r="P208" s="10">
        <v>100</v>
      </c>
      <c r="Q208" s="5">
        <f t="shared" si="115"/>
        <v>7.5730000000000004</v>
      </c>
      <c r="R208" s="5">
        <f t="shared" si="114"/>
        <v>8.2390000000000008</v>
      </c>
      <c r="S208" s="5">
        <f t="shared" si="109"/>
        <v>13.260999999999999</v>
      </c>
      <c r="T208" s="5">
        <f t="shared" si="110"/>
        <v>2.5</v>
      </c>
      <c r="U208" s="5">
        <f t="shared" si="111"/>
        <v>3</v>
      </c>
      <c r="V208" s="5">
        <f t="shared" si="112"/>
        <v>0</v>
      </c>
      <c r="W208" s="5">
        <f t="shared" si="113"/>
        <v>0</v>
      </c>
    </row>
    <row r="209" spans="1:23">
      <c r="A209" s="277"/>
      <c r="B209" s="251" t="s">
        <v>412</v>
      </c>
      <c r="C209" s="49">
        <v>0</v>
      </c>
      <c r="D209" s="256">
        <v>3.7999999999999999E-2</v>
      </c>
      <c r="E209" s="256">
        <v>0.875</v>
      </c>
      <c r="F209" s="256">
        <v>1.3</v>
      </c>
      <c r="G209" s="256">
        <v>2.125</v>
      </c>
      <c r="H209" s="256">
        <v>2.35</v>
      </c>
      <c r="I209" s="256">
        <v>2.0630000000000002</v>
      </c>
      <c r="J209" s="4">
        <v>25</v>
      </c>
      <c r="K209" s="4">
        <v>2</v>
      </c>
      <c r="L209" s="4" t="s">
        <v>158</v>
      </c>
      <c r="M209" s="4" t="s">
        <v>121</v>
      </c>
      <c r="O209" s="4" t="s">
        <v>108</v>
      </c>
      <c r="P209" s="10">
        <v>100</v>
      </c>
      <c r="Q209" s="5">
        <f t="shared" si="114"/>
        <v>0</v>
      </c>
      <c r="R209" s="5">
        <f t="shared" si="114"/>
        <v>3.7999999999999999E-2</v>
      </c>
      <c r="S209" s="5">
        <f t="shared" si="109"/>
        <v>0.875</v>
      </c>
      <c r="T209" s="5">
        <f t="shared" si="110"/>
        <v>1.3</v>
      </c>
      <c r="U209" s="5">
        <f t="shared" si="111"/>
        <v>2.125</v>
      </c>
      <c r="V209" s="5">
        <f t="shared" si="112"/>
        <v>2.35</v>
      </c>
      <c r="W209" s="5">
        <f t="shared" si="113"/>
        <v>2.0630000000000002</v>
      </c>
    </row>
    <row r="210" spans="1:23" s="15" customFormat="1" ht="14.4">
      <c r="A210" s="277" t="s">
        <v>392</v>
      </c>
      <c r="B210" s="251" t="s">
        <v>413</v>
      </c>
      <c r="C210" s="49">
        <v>1.224</v>
      </c>
      <c r="D210" s="256">
        <v>4.5330000000000004</v>
      </c>
      <c r="E210" s="256">
        <v>9.0210000000000008</v>
      </c>
      <c r="F210" s="256">
        <v>5.9480000000000004</v>
      </c>
      <c r="G210" s="256">
        <v>5.867</v>
      </c>
      <c r="H210" s="256">
        <v>2.129</v>
      </c>
      <c r="I210" s="256">
        <v>2.133</v>
      </c>
      <c r="J210" s="4">
        <v>100</v>
      </c>
      <c r="K210" s="4">
        <v>5</v>
      </c>
      <c r="L210" s="2" t="s">
        <v>398</v>
      </c>
      <c r="M210" s="4" t="s">
        <v>108</v>
      </c>
      <c r="N210" s="4"/>
      <c r="O210" s="4" t="s">
        <v>108</v>
      </c>
      <c r="P210" s="10">
        <v>0</v>
      </c>
      <c r="Q210" s="5">
        <f t="shared" si="115"/>
        <v>0</v>
      </c>
      <c r="R210" s="5">
        <f t="shared" si="114"/>
        <v>0</v>
      </c>
      <c r="S210" s="5">
        <f t="shared" si="109"/>
        <v>0</v>
      </c>
      <c r="T210" s="5">
        <f t="shared" si="110"/>
        <v>0</v>
      </c>
      <c r="U210" s="5">
        <f t="shared" si="111"/>
        <v>0</v>
      </c>
      <c r="V210" s="5">
        <f t="shared" si="112"/>
        <v>0</v>
      </c>
      <c r="W210" s="5">
        <f t="shared" si="113"/>
        <v>0</v>
      </c>
    </row>
    <row r="211" spans="1:23" s="15" customFormat="1" ht="14.4">
      <c r="A211" s="277" t="s">
        <v>392</v>
      </c>
      <c r="B211" s="251" t="s">
        <v>414</v>
      </c>
      <c r="C211" s="49">
        <v>1.843</v>
      </c>
      <c r="D211" s="256">
        <v>1.593</v>
      </c>
      <c r="E211" s="256">
        <v>2.5649999999999999</v>
      </c>
      <c r="F211" s="256">
        <v>2.5659999999999998</v>
      </c>
      <c r="G211" s="256">
        <v>2.5659999999999998</v>
      </c>
      <c r="H211" s="256">
        <v>2.5659999999999998</v>
      </c>
      <c r="I211" s="256">
        <v>2.5659999999999998</v>
      </c>
      <c r="J211" s="4">
        <v>100</v>
      </c>
      <c r="K211" s="4">
        <v>5</v>
      </c>
      <c r="L211" s="2" t="s">
        <v>398</v>
      </c>
      <c r="M211" s="4" t="s">
        <v>93</v>
      </c>
      <c r="N211" s="4"/>
      <c r="O211" s="4" t="s">
        <v>108</v>
      </c>
      <c r="P211" s="10">
        <v>0</v>
      </c>
      <c r="Q211" s="5">
        <f t="shared" si="115"/>
        <v>0</v>
      </c>
      <c r="R211" s="5">
        <f t="shared" si="114"/>
        <v>0</v>
      </c>
      <c r="S211" s="5">
        <f t="shared" si="109"/>
        <v>0</v>
      </c>
      <c r="T211" s="5">
        <f t="shared" si="110"/>
        <v>0</v>
      </c>
      <c r="U211" s="5">
        <f t="shared" si="111"/>
        <v>0</v>
      </c>
      <c r="V211" s="5">
        <f t="shared" si="112"/>
        <v>0</v>
      </c>
      <c r="W211" s="5">
        <f t="shared" si="113"/>
        <v>0</v>
      </c>
    </row>
    <row r="212" spans="1:23" s="15" customFormat="1" ht="14.4">
      <c r="A212" s="277" t="s">
        <v>392</v>
      </c>
      <c r="B212" s="251" t="s">
        <v>415</v>
      </c>
      <c r="C212" s="49">
        <v>8.1989999999999998</v>
      </c>
      <c r="D212" s="256">
        <v>8.6370000000000005</v>
      </c>
      <c r="E212" s="256">
        <v>8.5960000000000001</v>
      </c>
      <c r="F212" s="256">
        <v>8.5790000000000006</v>
      </c>
      <c r="G212" s="256">
        <v>8.5839999999999996</v>
      </c>
      <c r="H212" s="256">
        <v>8.5950000000000006</v>
      </c>
      <c r="I212" s="256">
        <v>8.6110000000000007</v>
      </c>
      <c r="J212" s="4">
        <v>100</v>
      </c>
      <c r="K212" s="4">
        <v>5</v>
      </c>
      <c r="L212" s="2" t="s">
        <v>398</v>
      </c>
      <c r="M212" s="4" t="s">
        <v>416</v>
      </c>
      <c r="N212" s="4"/>
      <c r="O212" s="4" t="s">
        <v>130</v>
      </c>
      <c r="P212" s="10">
        <v>100</v>
      </c>
      <c r="Q212" s="5">
        <f t="shared" si="115"/>
        <v>8.1989999999999998</v>
      </c>
      <c r="R212" s="5">
        <f t="shared" si="114"/>
        <v>8.6370000000000005</v>
      </c>
      <c r="S212" s="5">
        <f t="shared" si="109"/>
        <v>8.5960000000000001</v>
      </c>
      <c r="T212" s="5">
        <f t="shared" si="110"/>
        <v>8.5790000000000006</v>
      </c>
      <c r="U212" s="5">
        <f t="shared" si="111"/>
        <v>8.5839999999999996</v>
      </c>
      <c r="V212" s="5">
        <f t="shared" si="112"/>
        <v>8.5950000000000006</v>
      </c>
      <c r="W212" s="5">
        <f t="shared" si="113"/>
        <v>8.6110000000000007</v>
      </c>
    </row>
    <row r="213" spans="1:23" ht="14.4">
      <c r="A213" s="277" t="s">
        <v>392</v>
      </c>
      <c r="B213" s="251" t="s">
        <v>280</v>
      </c>
      <c r="C213" s="49">
        <v>2.94</v>
      </c>
      <c r="D213" s="256">
        <v>2.883</v>
      </c>
      <c r="E213" s="256">
        <v>1.984</v>
      </c>
      <c r="F213" s="256">
        <v>2.1040000000000001</v>
      </c>
      <c r="G213" s="256">
        <v>2.1059999999999999</v>
      </c>
      <c r="H213" s="256">
        <v>2.109</v>
      </c>
      <c r="I213" s="256">
        <v>2.1139999999999999</v>
      </c>
      <c r="J213" s="4">
        <v>100</v>
      </c>
      <c r="K213" s="4">
        <v>5</v>
      </c>
      <c r="L213" s="2" t="s">
        <v>398</v>
      </c>
      <c r="M213" s="4" t="s">
        <v>93</v>
      </c>
      <c r="O213" s="4" t="s">
        <v>108</v>
      </c>
      <c r="P213" s="10">
        <v>0</v>
      </c>
      <c r="Q213" s="5">
        <f t="shared" si="115"/>
        <v>0</v>
      </c>
      <c r="R213" s="5">
        <f t="shared" si="114"/>
        <v>0</v>
      </c>
      <c r="S213" s="5">
        <f t="shared" si="109"/>
        <v>0</v>
      </c>
      <c r="T213" s="5">
        <f t="shared" si="110"/>
        <v>0</v>
      </c>
      <c r="U213" s="5">
        <f t="shared" si="111"/>
        <v>0</v>
      </c>
      <c r="V213" s="5">
        <f t="shared" si="112"/>
        <v>0</v>
      </c>
      <c r="W213" s="5">
        <f t="shared" si="113"/>
        <v>0</v>
      </c>
    </row>
    <row r="214" spans="1:23" ht="14.4">
      <c r="A214" s="277"/>
      <c r="B214" s="251" t="s">
        <v>418</v>
      </c>
      <c r="C214" s="49">
        <v>30.954999999999998</v>
      </c>
      <c r="D214" s="256">
        <v>19.524000000000001</v>
      </c>
      <c r="E214" s="256">
        <v>75.433000000000007</v>
      </c>
      <c r="F214" s="256">
        <v>50.435000000000002</v>
      </c>
      <c r="G214" s="256">
        <v>35.619999999999997</v>
      </c>
      <c r="H214" s="256">
        <v>29.873000000000001</v>
      </c>
      <c r="I214" s="256">
        <v>28.802</v>
      </c>
      <c r="J214" s="4">
        <v>100</v>
      </c>
      <c r="K214" s="4">
        <v>5</v>
      </c>
      <c r="L214" s="2" t="s">
        <v>398</v>
      </c>
      <c r="M214" s="4" t="s">
        <v>93</v>
      </c>
      <c r="O214" s="4" t="s">
        <v>108</v>
      </c>
      <c r="P214" s="10">
        <v>0</v>
      </c>
      <c r="Q214" s="5">
        <f t="shared" si="115"/>
        <v>0</v>
      </c>
      <c r="R214" s="5">
        <f t="shared" si="114"/>
        <v>0</v>
      </c>
      <c r="S214" s="5">
        <f t="shared" si="109"/>
        <v>0</v>
      </c>
      <c r="T214" s="5">
        <f t="shared" si="110"/>
        <v>0</v>
      </c>
      <c r="U214" s="5">
        <f t="shared" si="111"/>
        <v>0</v>
      </c>
      <c r="V214" s="5">
        <f t="shared" si="112"/>
        <v>0</v>
      </c>
      <c r="W214" s="5">
        <f t="shared" si="113"/>
        <v>0</v>
      </c>
    </row>
    <row r="215" spans="1:23">
      <c r="A215" s="277" t="s">
        <v>392</v>
      </c>
      <c r="B215" s="352" t="s">
        <v>1089</v>
      </c>
      <c r="C215" s="49">
        <v>56.119</v>
      </c>
      <c r="D215" s="256">
        <v>25.566000000000003</v>
      </c>
      <c r="E215" s="256">
        <v>52.810999999999993</v>
      </c>
      <c r="F215" s="256">
        <v>57.293999999999997</v>
      </c>
      <c r="G215" s="256">
        <v>56.206999999999994</v>
      </c>
      <c r="H215" s="256">
        <v>39.649999999999991</v>
      </c>
      <c r="I215" s="256">
        <v>39.649999999999991</v>
      </c>
      <c r="J215" s="4">
        <v>100</v>
      </c>
      <c r="K215" s="4">
        <v>2.5</v>
      </c>
      <c r="M215" s="4" t="s">
        <v>320</v>
      </c>
      <c r="O215" s="4" t="s">
        <v>130</v>
      </c>
      <c r="P215" s="10">
        <v>50</v>
      </c>
      <c r="Q215" s="5">
        <f t="shared" si="115"/>
        <v>28.0595</v>
      </c>
      <c r="R215" s="5">
        <f t="shared" si="114"/>
        <v>12.783000000000001</v>
      </c>
      <c r="S215" s="5">
        <f t="shared" si="109"/>
        <v>26.405499999999996</v>
      </c>
      <c r="T215" s="5">
        <f t="shared" si="110"/>
        <v>28.646999999999998</v>
      </c>
      <c r="U215" s="5">
        <f t="shared" si="111"/>
        <v>28.103499999999997</v>
      </c>
      <c r="V215" s="5">
        <f t="shared" si="112"/>
        <v>19.824999999999996</v>
      </c>
      <c r="W215" s="5">
        <f t="shared" si="113"/>
        <v>19.824999999999996</v>
      </c>
    </row>
    <row r="216" spans="1:23" s="15" customFormat="1">
      <c r="A216" s="277" t="s">
        <v>392</v>
      </c>
      <c r="B216" s="352" t="s">
        <v>419</v>
      </c>
      <c r="C216" s="49">
        <v>1.3939999999999999</v>
      </c>
      <c r="D216" s="256">
        <v>2.2650000000000001</v>
      </c>
      <c r="E216" s="256">
        <v>2.2440000000000002</v>
      </c>
      <c r="F216" s="256">
        <v>2.222</v>
      </c>
      <c r="G216" s="256">
        <v>2.2109999999999999</v>
      </c>
      <c r="H216" s="256">
        <v>2.2000000000000002</v>
      </c>
      <c r="I216" s="256">
        <v>2.2000000000000002</v>
      </c>
      <c r="J216" s="4">
        <v>100</v>
      </c>
      <c r="K216" s="4">
        <v>2.5</v>
      </c>
      <c r="L216" s="4"/>
      <c r="M216" s="4" t="s">
        <v>320</v>
      </c>
      <c r="N216" s="4"/>
      <c r="O216" s="4" t="s">
        <v>130</v>
      </c>
      <c r="P216" s="10">
        <v>50</v>
      </c>
      <c r="Q216" s="5">
        <f t="shared" si="115"/>
        <v>0.69699999999999995</v>
      </c>
      <c r="R216" s="5">
        <f t="shared" si="114"/>
        <v>1.1325000000000001</v>
      </c>
      <c r="S216" s="5">
        <f t="shared" si="109"/>
        <v>1.1220000000000001</v>
      </c>
      <c r="T216" s="5">
        <f t="shared" si="110"/>
        <v>1.111</v>
      </c>
      <c r="U216" s="5">
        <f t="shared" si="111"/>
        <v>1.1054999999999999</v>
      </c>
      <c r="V216" s="5">
        <f t="shared" si="112"/>
        <v>1.1000000000000001</v>
      </c>
      <c r="W216" s="5">
        <f t="shared" si="113"/>
        <v>1.1000000000000001</v>
      </c>
    </row>
    <row r="217" spans="1:23" s="15" customFormat="1">
      <c r="A217" s="277" t="s">
        <v>392</v>
      </c>
      <c r="B217" s="251" t="s">
        <v>1090</v>
      </c>
      <c r="C217" s="49">
        <v>0</v>
      </c>
      <c r="D217" s="256">
        <v>1.8220000000000001</v>
      </c>
      <c r="E217" s="256">
        <v>67.871000000000009</v>
      </c>
      <c r="F217" s="256">
        <v>14.79</v>
      </c>
      <c r="G217" s="256">
        <v>12.865</v>
      </c>
      <c r="H217" s="256">
        <v>2.5999999999999999E-2</v>
      </c>
      <c r="I217" s="256">
        <v>0</v>
      </c>
      <c r="J217" s="4">
        <v>100</v>
      </c>
      <c r="K217" s="4">
        <v>2.5</v>
      </c>
      <c r="L217" s="4"/>
      <c r="M217" s="4" t="s">
        <v>121</v>
      </c>
      <c r="N217" s="4"/>
      <c r="O217" s="4" t="s">
        <v>108</v>
      </c>
      <c r="P217" s="10">
        <v>100</v>
      </c>
      <c r="Q217" s="5">
        <f t="shared" si="115"/>
        <v>0</v>
      </c>
      <c r="R217" s="5">
        <f t="shared" si="114"/>
        <v>1.8220000000000001</v>
      </c>
      <c r="S217" s="5">
        <f t="shared" si="109"/>
        <v>67.871000000000009</v>
      </c>
      <c r="T217" s="5">
        <f t="shared" si="110"/>
        <v>14.79</v>
      </c>
      <c r="U217" s="5">
        <f t="shared" si="111"/>
        <v>12.865</v>
      </c>
      <c r="V217" s="5">
        <f t="shared" si="112"/>
        <v>2.5999999999999999E-2</v>
      </c>
      <c r="W217" s="5">
        <f t="shared" si="113"/>
        <v>0</v>
      </c>
    </row>
    <row r="218" spans="1:23" s="15" customFormat="1">
      <c r="A218" s="277" t="s">
        <v>392</v>
      </c>
      <c r="B218" s="251" t="s">
        <v>420</v>
      </c>
      <c r="C218" s="49">
        <v>37.5</v>
      </c>
      <c r="D218" s="256">
        <v>12.611000000000001</v>
      </c>
      <c r="E218" s="256">
        <v>12.827999999999999</v>
      </c>
      <c r="F218" s="256">
        <v>0</v>
      </c>
      <c r="G218" s="256">
        <v>0</v>
      </c>
      <c r="H218" s="256">
        <v>0</v>
      </c>
      <c r="I218" s="256">
        <v>0</v>
      </c>
      <c r="J218" s="4">
        <v>100</v>
      </c>
      <c r="K218" s="4">
        <v>2.5</v>
      </c>
      <c r="L218" s="4"/>
      <c r="M218" s="4" t="s">
        <v>421</v>
      </c>
      <c r="N218" s="4"/>
      <c r="O218" s="4" t="s">
        <v>108</v>
      </c>
      <c r="P218" s="4">
        <v>50</v>
      </c>
      <c r="Q218" s="5">
        <f t="shared" si="115"/>
        <v>18.75</v>
      </c>
      <c r="R218" s="5">
        <f t="shared" si="114"/>
        <v>6.3055000000000003</v>
      </c>
      <c r="S218" s="5">
        <f t="shared" si="109"/>
        <v>6.4139999999999997</v>
      </c>
      <c r="T218" s="5">
        <f t="shared" si="110"/>
        <v>0</v>
      </c>
      <c r="U218" s="5">
        <f t="shared" si="111"/>
        <v>0</v>
      </c>
      <c r="V218" s="5">
        <f t="shared" si="112"/>
        <v>0</v>
      </c>
      <c r="W218" s="5">
        <f t="shared" si="113"/>
        <v>0</v>
      </c>
    </row>
    <row r="219" spans="1:23" s="86" customFormat="1" ht="14.4">
      <c r="A219" s="4"/>
      <c r="B219" s="3" t="s">
        <v>422</v>
      </c>
      <c r="C219" s="285">
        <f t="shared" ref="C219:I219" si="116">SUM(C125:C218)</f>
        <v>1449.2481349999998</v>
      </c>
      <c r="D219" s="285">
        <f t="shared" si="116"/>
        <v>1624.7130450000004</v>
      </c>
      <c r="E219" s="285">
        <f t="shared" si="116"/>
        <v>1934.1858999999999</v>
      </c>
      <c r="F219" s="285">
        <f t="shared" si="116"/>
        <v>1805.737005</v>
      </c>
      <c r="G219" s="285">
        <f t="shared" si="116"/>
        <v>1742.88537</v>
      </c>
      <c r="H219" s="285">
        <f t="shared" si="116"/>
        <v>1453.9961950000004</v>
      </c>
      <c r="I219" s="285">
        <f t="shared" si="116"/>
        <v>1376.6398700000009</v>
      </c>
      <c r="J219" s="4"/>
      <c r="K219" s="4"/>
      <c r="L219" s="4"/>
      <c r="M219" s="4"/>
      <c r="N219" s="4"/>
      <c r="O219" s="4"/>
      <c r="P219" s="10"/>
      <c r="Q219" s="6">
        <f t="shared" ref="Q219:W219" si="117">SUM(Q125:Q218)</f>
        <v>1260.4373500000002</v>
      </c>
      <c r="R219" s="6">
        <f t="shared" si="117"/>
        <v>1486.5793999999999</v>
      </c>
      <c r="S219" s="6">
        <f t="shared" si="117"/>
        <v>1722.4011000000003</v>
      </c>
      <c r="T219" s="6">
        <f t="shared" si="117"/>
        <v>1654.7851000000001</v>
      </c>
      <c r="U219" s="6">
        <f t="shared" si="117"/>
        <v>1609.1685500000003</v>
      </c>
      <c r="V219" s="6">
        <f t="shared" si="117"/>
        <v>1345.5796000000003</v>
      </c>
      <c r="W219" s="6">
        <f t="shared" si="117"/>
        <v>1256.8208500000003</v>
      </c>
    </row>
    <row r="220" spans="1:23" s="86" customFormat="1">
      <c r="A220" s="4"/>
      <c r="B220" s="4"/>
      <c r="C220" s="284"/>
      <c r="D220" s="284"/>
      <c r="E220" s="284"/>
      <c r="F220" s="284"/>
      <c r="G220" s="284"/>
      <c r="H220" s="284"/>
      <c r="I220" s="284"/>
      <c r="J220" s="4"/>
      <c r="K220" s="4"/>
      <c r="L220" s="4"/>
      <c r="M220" s="4"/>
      <c r="N220" s="4"/>
      <c r="O220" s="4"/>
      <c r="P220" s="10"/>
      <c r="Q220" s="5"/>
      <c r="R220" s="5"/>
      <c r="S220" s="5"/>
      <c r="T220" s="5"/>
      <c r="U220" s="5"/>
      <c r="V220" s="5"/>
      <c r="W220" s="5"/>
    </row>
    <row r="221" spans="1:23" s="2" customFormat="1" ht="14.4">
      <c r="A221" s="13"/>
      <c r="B221" s="21" t="s">
        <v>423</v>
      </c>
      <c r="C221" s="237"/>
      <c r="D221" s="353"/>
      <c r="E221" s="237"/>
      <c r="F221" s="237"/>
      <c r="G221" s="237"/>
      <c r="H221" s="237"/>
      <c r="I221" s="237"/>
      <c r="J221" s="13"/>
      <c r="K221" s="13"/>
      <c r="L221" s="14"/>
      <c r="M221" s="13"/>
      <c r="N221" s="13"/>
      <c r="O221" s="13"/>
      <c r="P221" s="12" t="s">
        <v>424</v>
      </c>
      <c r="Q221" s="132"/>
      <c r="R221" s="132"/>
      <c r="S221" s="132"/>
      <c r="T221" s="132"/>
      <c r="U221" s="132"/>
      <c r="V221" s="132"/>
      <c r="W221" s="132"/>
    </row>
    <row r="222" spans="1:23" s="3" customFormat="1" ht="14.4">
      <c r="A222" s="7" t="s">
        <v>425</v>
      </c>
      <c r="B222" s="4" t="s">
        <v>426</v>
      </c>
      <c r="C222" s="5">
        <v>61.593000000000004</v>
      </c>
      <c r="D222" s="5">
        <v>61.972000000000001</v>
      </c>
      <c r="E222" s="5">
        <v>49.152000000000001</v>
      </c>
      <c r="F222" s="5">
        <v>51.447000000000003</v>
      </c>
      <c r="G222" s="5">
        <v>42.383000000000003</v>
      </c>
      <c r="H222" s="5">
        <v>35.460999999999999</v>
      </c>
      <c r="I222" s="5">
        <v>38.368000000000002</v>
      </c>
      <c r="J222" s="4">
        <v>100</v>
      </c>
      <c r="K222" s="4">
        <v>8</v>
      </c>
      <c r="L222" s="4" t="s">
        <v>248</v>
      </c>
      <c r="M222" s="2" t="s">
        <v>209</v>
      </c>
      <c r="O222" s="2" t="s">
        <v>427</v>
      </c>
      <c r="P222" s="115">
        <v>30</v>
      </c>
      <c r="Q222" s="5">
        <f t="shared" ref="Q222:Q258" si="118">+$P222/100*C222</f>
        <v>18.477900000000002</v>
      </c>
      <c r="R222" s="5">
        <f t="shared" ref="R222:R258" si="119">+$P222/100*D222</f>
        <v>18.5916</v>
      </c>
      <c r="S222" s="5">
        <f t="shared" ref="S222:S258" si="120">+$P222/100*E222</f>
        <v>14.7456</v>
      </c>
      <c r="T222" s="5">
        <f t="shared" ref="T222:T258" si="121">+$P222/100*F222</f>
        <v>15.434100000000001</v>
      </c>
      <c r="U222" s="5">
        <f t="shared" ref="U222:U258" si="122">+$P222/100*G222</f>
        <v>12.7149</v>
      </c>
      <c r="V222" s="5">
        <f t="shared" ref="V222:V258" si="123">+$P222/100*H222</f>
        <v>10.638299999999999</v>
      </c>
      <c r="W222" s="5">
        <f t="shared" ref="W222:W258" si="124">+$P222/100*I222</f>
        <v>11.510400000000001</v>
      </c>
    </row>
    <row r="223" spans="1:23">
      <c r="A223" s="7" t="s">
        <v>428</v>
      </c>
      <c r="B223" s="4" t="s">
        <v>429</v>
      </c>
      <c r="C223" s="49">
        <v>3.7040000000000002</v>
      </c>
      <c r="D223" s="49">
        <v>2.9180000000000001</v>
      </c>
      <c r="E223" s="49">
        <v>3.1190000000000002</v>
      </c>
      <c r="F223" s="49">
        <v>2.528</v>
      </c>
      <c r="G223" s="49">
        <v>2.008</v>
      </c>
      <c r="H223" s="117">
        <v>2.0649999999999999</v>
      </c>
      <c r="I223" s="117">
        <v>2.0649999999999999</v>
      </c>
      <c r="J223" s="4">
        <v>100</v>
      </c>
      <c r="K223" s="4">
        <v>8</v>
      </c>
      <c r="L223" s="4" t="s">
        <v>248</v>
      </c>
      <c r="M223" s="4" t="s">
        <v>209</v>
      </c>
      <c r="O223" s="4" t="s">
        <v>427</v>
      </c>
      <c r="P223" s="10">
        <v>30</v>
      </c>
      <c r="Q223" s="5">
        <f t="shared" si="118"/>
        <v>1.1112</v>
      </c>
      <c r="R223" s="5">
        <f t="shared" si="119"/>
        <v>0.87540000000000007</v>
      </c>
      <c r="S223" s="5">
        <f t="shared" si="120"/>
        <v>0.93569999999999998</v>
      </c>
      <c r="T223" s="5">
        <f t="shared" si="121"/>
        <v>0.75839999999999996</v>
      </c>
      <c r="U223" s="5">
        <f t="shared" si="122"/>
        <v>0.60239999999999994</v>
      </c>
      <c r="V223" s="5">
        <f t="shared" si="123"/>
        <v>0.61949999999999994</v>
      </c>
      <c r="W223" s="5">
        <f t="shared" si="124"/>
        <v>0.61949999999999994</v>
      </c>
    </row>
    <row r="224" spans="1:23">
      <c r="A224" s="7" t="s">
        <v>430</v>
      </c>
      <c r="B224" s="4" t="s">
        <v>431</v>
      </c>
      <c r="C224" s="49">
        <v>15.851000000000001</v>
      </c>
      <c r="D224" s="49">
        <v>19.446999999999999</v>
      </c>
      <c r="E224" s="49">
        <v>8.6920000000000002</v>
      </c>
      <c r="F224" s="49">
        <v>6.1779999999999999</v>
      </c>
      <c r="G224" s="49">
        <v>6.3230000000000004</v>
      </c>
      <c r="H224" s="49">
        <v>6.4649999999999999</v>
      </c>
      <c r="I224" s="117">
        <v>7.4089999999999998</v>
      </c>
      <c r="J224" s="4">
        <v>100</v>
      </c>
      <c r="K224" s="4">
        <v>8</v>
      </c>
      <c r="L224" s="4" t="s">
        <v>248</v>
      </c>
      <c r="M224" s="4" t="s">
        <v>92</v>
      </c>
      <c r="O224" s="4" t="s">
        <v>427</v>
      </c>
      <c r="P224" s="10">
        <v>30</v>
      </c>
      <c r="Q224" s="5">
        <f t="shared" si="118"/>
        <v>4.7553000000000001</v>
      </c>
      <c r="R224" s="5">
        <f t="shared" si="119"/>
        <v>5.8340999999999994</v>
      </c>
      <c r="S224" s="5">
        <f t="shared" si="120"/>
        <v>2.6076000000000001</v>
      </c>
      <c r="T224" s="5">
        <f t="shared" si="121"/>
        <v>1.8533999999999999</v>
      </c>
      <c r="U224" s="5">
        <f t="shared" si="122"/>
        <v>1.8969</v>
      </c>
      <c r="V224" s="5">
        <f t="shared" si="123"/>
        <v>1.9394999999999998</v>
      </c>
      <c r="W224" s="5">
        <f t="shared" si="124"/>
        <v>2.2226999999999997</v>
      </c>
    </row>
    <row r="225" spans="1:23">
      <c r="A225" s="7" t="s">
        <v>432</v>
      </c>
      <c r="B225" s="4" t="s">
        <v>433</v>
      </c>
      <c r="C225" s="49">
        <v>0.39800000000000002</v>
      </c>
      <c r="D225" s="49">
        <v>2.0960000000000001</v>
      </c>
      <c r="E225" s="49">
        <v>1.601</v>
      </c>
      <c r="F225" s="49">
        <v>1.911</v>
      </c>
      <c r="G225" s="49">
        <v>1.9119999999999999</v>
      </c>
      <c r="H225" s="49">
        <v>1.9119999999999999</v>
      </c>
      <c r="I225" s="117">
        <v>1.9359999999999999</v>
      </c>
      <c r="J225" s="4">
        <v>100</v>
      </c>
      <c r="K225" s="4">
        <v>8</v>
      </c>
      <c r="L225" s="4" t="s">
        <v>248</v>
      </c>
      <c r="M225" s="4" t="s">
        <v>434</v>
      </c>
      <c r="O225" s="4" t="s">
        <v>108</v>
      </c>
      <c r="P225" s="10">
        <v>43</v>
      </c>
      <c r="Q225" s="5">
        <f t="shared" si="118"/>
        <v>0.17114000000000001</v>
      </c>
      <c r="R225" s="5">
        <f t="shared" si="119"/>
        <v>0.90127999999999997</v>
      </c>
      <c r="S225" s="5">
        <f t="shared" si="120"/>
        <v>0.68842999999999999</v>
      </c>
      <c r="T225" s="5">
        <f t="shared" si="121"/>
        <v>0.82172999999999996</v>
      </c>
      <c r="U225" s="5">
        <f t="shared" si="122"/>
        <v>0.82216</v>
      </c>
      <c r="V225" s="5">
        <f t="shared" si="123"/>
        <v>0.82216</v>
      </c>
      <c r="W225" s="5">
        <f t="shared" si="124"/>
        <v>0.83248</v>
      </c>
    </row>
    <row r="226" spans="1:23">
      <c r="A226" s="7" t="s">
        <v>435</v>
      </c>
      <c r="B226" s="4" t="s">
        <v>436</v>
      </c>
      <c r="C226" s="49">
        <v>4.21</v>
      </c>
      <c r="D226" s="49">
        <v>6.4260000000000002</v>
      </c>
      <c r="E226" s="49">
        <v>8.3919999999999995</v>
      </c>
      <c r="F226" s="49">
        <v>19.47</v>
      </c>
      <c r="G226" s="49">
        <v>18.643000000000001</v>
      </c>
      <c r="H226" s="49">
        <v>19</v>
      </c>
      <c r="I226" s="117">
        <v>16.678000000000001</v>
      </c>
      <c r="J226" s="4">
        <v>100</v>
      </c>
      <c r="K226" s="4">
        <v>8</v>
      </c>
      <c r="L226" s="4" t="s">
        <v>248</v>
      </c>
      <c r="M226" s="4" t="s">
        <v>434</v>
      </c>
      <c r="O226" s="4" t="s">
        <v>108</v>
      </c>
      <c r="P226" s="10">
        <v>40</v>
      </c>
      <c r="Q226" s="5">
        <f t="shared" si="118"/>
        <v>1.6840000000000002</v>
      </c>
      <c r="R226" s="5">
        <f t="shared" si="119"/>
        <v>2.5704000000000002</v>
      </c>
      <c r="S226" s="5">
        <f t="shared" si="120"/>
        <v>3.3567999999999998</v>
      </c>
      <c r="T226" s="5">
        <f t="shared" si="121"/>
        <v>7.7880000000000003</v>
      </c>
      <c r="U226" s="5">
        <f t="shared" si="122"/>
        <v>7.4572000000000003</v>
      </c>
      <c r="V226" s="5">
        <f t="shared" si="123"/>
        <v>7.6000000000000005</v>
      </c>
      <c r="W226" s="5">
        <f t="shared" si="124"/>
        <v>6.6712000000000007</v>
      </c>
    </row>
    <row r="227" spans="1:23">
      <c r="A227" s="7" t="s">
        <v>437</v>
      </c>
      <c r="B227" s="4" t="s">
        <v>438</v>
      </c>
      <c r="C227" s="49">
        <v>3.35</v>
      </c>
      <c r="D227" s="49">
        <v>1.37</v>
      </c>
      <c r="E227" s="49">
        <v>6.2240000000000002</v>
      </c>
      <c r="F227" s="49">
        <v>6.5730000000000004</v>
      </c>
      <c r="G227" s="49">
        <v>5.1449999999999996</v>
      </c>
      <c r="H227" s="49">
        <v>1.601</v>
      </c>
      <c r="I227" s="117">
        <v>0</v>
      </c>
      <c r="J227" s="4">
        <v>100</v>
      </c>
      <c r="K227" s="4">
        <v>8</v>
      </c>
      <c r="L227" s="4" t="s">
        <v>248</v>
      </c>
      <c r="M227" s="4" t="s">
        <v>434</v>
      </c>
      <c r="O227" s="4" t="s">
        <v>108</v>
      </c>
      <c r="P227" s="10">
        <v>50</v>
      </c>
      <c r="Q227" s="5">
        <f t="shared" si="118"/>
        <v>1.675</v>
      </c>
      <c r="R227" s="5">
        <f t="shared" si="119"/>
        <v>0.68500000000000005</v>
      </c>
      <c r="S227" s="5">
        <f t="shared" si="120"/>
        <v>3.1120000000000001</v>
      </c>
      <c r="T227" s="5">
        <f t="shared" si="121"/>
        <v>3.2865000000000002</v>
      </c>
      <c r="U227" s="5">
        <f t="shared" si="122"/>
        <v>2.5724999999999998</v>
      </c>
      <c r="V227" s="5">
        <f t="shared" si="123"/>
        <v>0.80049999999999999</v>
      </c>
      <c r="W227" s="5">
        <f t="shared" si="124"/>
        <v>0</v>
      </c>
    </row>
    <row r="228" spans="1:23">
      <c r="A228" s="7" t="s">
        <v>439</v>
      </c>
      <c r="B228" s="4" t="s">
        <v>440</v>
      </c>
      <c r="C228" s="49">
        <v>2.0219999999999998</v>
      </c>
      <c r="D228" s="49">
        <v>2.35</v>
      </c>
      <c r="E228" s="49">
        <v>1.4219999999999999</v>
      </c>
      <c r="F228" s="49">
        <v>0</v>
      </c>
      <c r="G228" s="49">
        <v>0</v>
      </c>
      <c r="H228" s="49">
        <v>0</v>
      </c>
      <c r="I228" s="49">
        <v>0</v>
      </c>
      <c r="J228" s="4">
        <v>100</v>
      </c>
      <c r="K228" s="4">
        <v>8</v>
      </c>
      <c r="L228" s="4" t="s">
        <v>248</v>
      </c>
      <c r="M228" s="4" t="s">
        <v>434</v>
      </c>
      <c r="O228" s="4" t="s">
        <v>108</v>
      </c>
      <c r="P228" s="10">
        <v>30</v>
      </c>
      <c r="Q228" s="5">
        <f t="shared" si="118"/>
        <v>0.60659999999999992</v>
      </c>
      <c r="R228" s="5">
        <f t="shared" si="119"/>
        <v>0.70499999999999996</v>
      </c>
      <c r="S228" s="5">
        <f t="shared" si="120"/>
        <v>0.42659999999999998</v>
      </c>
      <c r="T228" s="5">
        <f t="shared" si="121"/>
        <v>0</v>
      </c>
      <c r="U228" s="5">
        <f t="shared" si="122"/>
        <v>0</v>
      </c>
      <c r="V228" s="5">
        <f t="shared" si="123"/>
        <v>0</v>
      </c>
      <c r="W228" s="5">
        <f t="shared" si="124"/>
        <v>0</v>
      </c>
    </row>
    <row r="229" spans="1:23">
      <c r="A229" s="7" t="s">
        <v>441</v>
      </c>
      <c r="B229" s="4" t="s">
        <v>442</v>
      </c>
      <c r="C229" s="49">
        <v>4.3959999999999999</v>
      </c>
      <c r="D229" s="49">
        <v>3.6309999999999998</v>
      </c>
      <c r="E229" s="49">
        <v>2.1</v>
      </c>
      <c r="F229" s="49">
        <v>1.548</v>
      </c>
      <c r="G229" s="49">
        <v>0.94199999999999995</v>
      </c>
      <c r="H229" s="49">
        <v>1.655</v>
      </c>
      <c r="I229" s="117">
        <v>1.655</v>
      </c>
      <c r="J229" s="4">
        <v>100</v>
      </c>
      <c r="K229" s="4">
        <v>8</v>
      </c>
      <c r="L229" s="4" t="s">
        <v>248</v>
      </c>
      <c r="M229" s="4" t="s">
        <v>434</v>
      </c>
      <c r="O229" s="4" t="s">
        <v>108</v>
      </c>
      <c r="P229" s="10">
        <v>30</v>
      </c>
      <c r="Q229" s="5">
        <f t="shared" si="118"/>
        <v>1.3188</v>
      </c>
      <c r="R229" s="5">
        <f t="shared" si="119"/>
        <v>1.0892999999999999</v>
      </c>
      <c r="S229" s="5">
        <f t="shared" si="120"/>
        <v>0.63</v>
      </c>
      <c r="T229" s="5">
        <f t="shared" si="121"/>
        <v>0.46439999999999998</v>
      </c>
      <c r="U229" s="5">
        <f t="shared" si="122"/>
        <v>0.28259999999999996</v>
      </c>
      <c r="V229" s="5">
        <f t="shared" si="123"/>
        <v>0.4965</v>
      </c>
      <c r="W229" s="5">
        <f t="shared" si="124"/>
        <v>0.4965</v>
      </c>
    </row>
    <row r="230" spans="1:23">
      <c r="A230" s="7" t="s">
        <v>443</v>
      </c>
      <c r="B230" s="4" t="s">
        <v>444</v>
      </c>
      <c r="C230" s="49">
        <v>14.959</v>
      </c>
      <c r="D230" s="49">
        <v>15.085000000000001</v>
      </c>
      <c r="E230" s="49">
        <v>6.7460000000000004</v>
      </c>
      <c r="F230" s="49">
        <v>3.7549999999999999</v>
      </c>
      <c r="G230" s="49">
        <v>3.14</v>
      </c>
      <c r="H230" s="49">
        <v>3.125</v>
      </c>
      <c r="I230" s="117">
        <v>3.746</v>
      </c>
      <c r="J230" s="4">
        <v>100</v>
      </c>
      <c r="K230" s="4">
        <v>8</v>
      </c>
      <c r="L230" s="4" t="s">
        <v>248</v>
      </c>
      <c r="M230" s="4" t="s">
        <v>92</v>
      </c>
      <c r="O230" s="4" t="s">
        <v>108</v>
      </c>
      <c r="P230" s="10">
        <v>30</v>
      </c>
      <c r="Q230" s="5">
        <f t="shared" si="118"/>
        <v>4.4876999999999994</v>
      </c>
      <c r="R230" s="5">
        <f t="shared" si="119"/>
        <v>4.5255000000000001</v>
      </c>
      <c r="S230" s="5">
        <f t="shared" si="120"/>
        <v>2.0238</v>
      </c>
      <c r="T230" s="5">
        <f t="shared" si="121"/>
        <v>1.1264999999999998</v>
      </c>
      <c r="U230" s="5">
        <f t="shared" si="122"/>
        <v>0.94199999999999995</v>
      </c>
      <c r="V230" s="5">
        <f t="shared" si="123"/>
        <v>0.9375</v>
      </c>
      <c r="W230" s="5">
        <f t="shared" si="124"/>
        <v>1.1237999999999999</v>
      </c>
    </row>
    <row r="231" spans="1:23">
      <c r="A231" s="7" t="s">
        <v>445</v>
      </c>
      <c r="B231" s="4" t="s">
        <v>446</v>
      </c>
      <c r="C231" s="49">
        <v>9.8930000000000007</v>
      </c>
      <c r="D231" s="49">
        <v>4.1150000000000002</v>
      </c>
      <c r="E231" s="49">
        <v>10.19</v>
      </c>
      <c r="F231" s="49">
        <v>1.397</v>
      </c>
      <c r="G231" s="49">
        <v>1.645</v>
      </c>
      <c r="H231" s="49">
        <v>1.645</v>
      </c>
      <c r="I231" s="117">
        <v>0</v>
      </c>
      <c r="J231" s="4">
        <v>100</v>
      </c>
      <c r="K231" s="4">
        <v>8</v>
      </c>
      <c r="L231" s="4" t="s">
        <v>248</v>
      </c>
      <c r="M231" s="4" t="s">
        <v>92</v>
      </c>
      <c r="O231" s="4" t="s">
        <v>108</v>
      </c>
      <c r="P231" s="10">
        <v>100</v>
      </c>
      <c r="Q231" s="5">
        <f t="shared" si="118"/>
        <v>9.8930000000000007</v>
      </c>
      <c r="R231" s="5">
        <f t="shared" si="119"/>
        <v>4.1150000000000002</v>
      </c>
      <c r="S231" s="5">
        <f t="shared" si="120"/>
        <v>10.19</v>
      </c>
      <c r="T231" s="5">
        <f t="shared" si="121"/>
        <v>1.397</v>
      </c>
      <c r="U231" s="5">
        <f t="shared" si="122"/>
        <v>1.645</v>
      </c>
      <c r="V231" s="5">
        <f t="shared" si="123"/>
        <v>1.645</v>
      </c>
      <c r="W231" s="5">
        <f t="shared" si="124"/>
        <v>0</v>
      </c>
    </row>
    <row r="232" spans="1:23">
      <c r="A232" s="7" t="s">
        <v>447</v>
      </c>
      <c r="B232" s="4" t="s">
        <v>448</v>
      </c>
      <c r="C232" s="49">
        <v>0</v>
      </c>
      <c r="D232" s="49">
        <v>4.2300000000000004</v>
      </c>
      <c r="E232" s="49">
        <v>2.5379999999999998</v>
      </c>
      <c r="F232" s="49">
        <v>1.6919999999999999</v>
      </c>
      <c r="G232" s="49">
        <v>0</v>
      </c>
      <c r="H232" s="49">
        <v>0</v>
      </c>
      <c r="I232" s="117">
        <v>0</v>
      </c>
      <c r="J232" s="4">
        <v>100</v>
      </c>
      <c r="K232" s="4">
        <v>8</v>
      </c>
      <c r="L232" s="4" t="s">
        <v>248</v>
      </c>
      <c r="M232" s="4" t="s">
        <v>92</v>
      </c>
      <c r="O232" s="4" t="s">
        <v>108</v>
      </c>
      <c r="P232" s="10">
        <v>15</v>
      </c>
      <c r="Q232" s="5">
        <f t="shared" si="118"/>
        <v>0</v>
      </c>
      <c r="R232" s="5">
        <f t="shared" si="119"/>
        <v>0.63450000000000006</v>
      </c>
      <c r="S232" s="5">
        <f t="shared" si="120"/>
        <v>0.38069999999999998</v>
      </c>
      <c r="T232" s="5">
        <f t="shared" si="121"/>
        <v>0.25379999999999997</v>
      </c>
      <c r="U232" s="5">
        <f t="shared" si="122"/>
        <v>0</v>
      </c>
      <c r="V232" s="5">
        <f t="shared" si="123"/>
        <v>0</v>
      </c>
      <c r="W232" s="5">
        <f t="shared" si="124"/>
        <v>0</v>
      </c>
    </row>
    <row r="233" spans="1:23">
      <c r="A233" s="7" t="s">
        <v>449</v>
      </c>
      <c r="B233" s="4" t="s">
        <v>450</v>
      </c>
      <c r="C233" s="49">
        <v>0.214</v>
      </c>
      <c r="D233" s="49">
        <v>0.108</v>
      </c>
      <c r="E233" s="49">
        <v>0</v>
      </c>
      <c r="F233" s="49">
        <v>0</v>
      </c>
      <c r="G233" s="49">
        <v>0</v>
      </c>
      <c r="H233" s="49">
        <v>0</v>
      </c>
      <c r="I233" s="117">
        <v>0</v>
      </c>
      <c r="J233" s="4">
        <v>100</v>
      </c>
      <c r="K233" s="4">
        <v>8</v>
      </c>
      <c r="L233" s="4" t="s">
        <v>248</v>
      </c>
      <c r="M233" s="4" t="s">
        <v>92</v>
      </c>
      <c r="O233" s="4" t="s">
        <v>108</v>
      </c>
      <c r="P233" s="10">
        <v>20</v>
      </c>
      <c r="Q233" s="5">
        <f t="shared" si="118"/>
        <v>4.2800000000000005E-2</v>
      </c>
      <c r="R233" s="5">
        <f t="shared" si="119"/>
        <v>2.1600000000000001E-2</v>
      </c>
      <c r="S233" s="5">
        <f t="shared" si="120"/>
        <v>0</v>
      </c>
      <c r="T233" s="5">
        <f t="shared" si="121"/>
        <v>0</v>
      </c>
      <c r="U233" s="5">
        <f t="shared" si="122"/>
        <v>0</v>
      </c>
      <c r="V233" s="5">
        <f t="shared" si="123"/>
        <v>0</v>
      </c>
      <c r="W233" s="5">
        <f t="shared" si="124"/>
        <v>0</v>
      </c>
    </row>
    <row r="234" spans="1:23">
      <c r="A234" s="7" t="s">
        <v>451</v>
      </c>
      <c r="B234" s="4" t="s">
        <v>452</v>
      </c>
      <c r="C234" s="49">
        <v>0</v>
      </c>
      <c r="D234" s="49">
        <v>2.5449999999999999</v>
      </c>
      <c r="E234" s="49">
        <v>6.1829999999999998</v>
      </c>
      <c r="F234" s="49">
        <v>50.326000000000001</v>
      </c>
      <c r="G234" s="49">
        <v>60.36</v>
      </c>
      <c r="H234" s="49">
        <v>90.069000000000003</v>
      </c>
      <c r="I234" s="117">
        <v>59.476999999999997</v>
      </c>
      <c r="J234" s="4">
        <v>100</v>
      </c>
      <c r="K234" s="4">
        <v>8</v>
      </c>
      <c r="L234" s="4" t="s">
        <v>248</v>
      </c>
      <c r="M234" s="4" t="s">
        <v>92</v>
      </c>
      <c r="O234" s="4" t="s">
        <v>108</v>
      </c>
      <c r="P234" s="10">
        <v>20</v>
      </c>
      <c r="Q234" s="5">
        <f t="shared" si="118"/>
        <v>0</v>
      </c>
      <c r="R234" s="5">
        <f t="shared" si="119"/>
        <v>0.50900000000000001</v>
      </c>
      <c r="S234" s="5">
        <f t="shared" si="120"/>
        <v>1.2366000000000001</v>
      </c>
      <c r="T234" s="5">
        <f t="shared" si="121"/>
        <v>10.065200000000001</v>
      </c>
      <c r="U234" s="5">
        <f t="shared" si="122"/>
        <v>12.072000000000001</v>
      </c>
      <c r="V234" s="5">
        <f t="shared" si="123"/>
        <v>18.0138</v>
      </c>
      <c r="W234" s="5">
        <f t="shared" si="124"/>
        <v>11.8954</v>
      </c>
    </row>
    <row r="235" spans="1:23">
      <c r="A235" s="7" t="s">
        <v>453</v>
      </c>
      <c r="B235" s="4" t="s">
        <v>454</v>
      </c>
      <c r="C235" s="49">
        <v>3.44</v>
      </c>
      <c r="D235" s="49">
        <v>16.225000000000001</v>
      </c>
      <c r="E235" s="49">
        <v>18.048999999999999</v>
      </c>
      <c r="F235" s="49">
        <v>18.048999999999999</v>
      </c>
      <c r="G235" s="49">
        <v>18.048999999999999</v>
      </c>
      <c r="H235" s="49">
        <v>18.048999999999999</v>
      </c>
      <c r="I235" s="117">
        <v>36.097999999999999</v>
      </c>
      <c r="J235" s="4">
        <v>100</v>
      </c>
      <c r="K235" s="4">
        <v>8</v>
      </c>
      <c r="L235" s="4" t="s">
        <v>248</v>
      </c>
      <c r="M235" s="4" t="s">
        <v>92</v>
      </c>
      <c r="O235" s="4" t="s">
        <v>108</v>
      </c>
      <c r="P235" s="10">
        <v>20</v>
      </c>
      <c r="Q235" s="5">
        <f t="shared" si="118"/>
        <v>0.68800000000000006</v>
      </c>
      <c r="R235" s="5">
        <f t="shared" si="119"/>
        <v>3.2450000000000006</v>
      </c>
      <c r="S235" s="5">
        <f t="shared" si="120"/>
        <v>3.6097999999999999</v>
      </c>
      <c r="T235" s="5">
        <f t="shared" si="121"/>
        <v>3.6097999999999999</v>
      </c>
      <c r="U235" s="5">
        <f t="shared" si="122"/>
        <v>3.6097999999999999</v>
      </c>
      <c r="V235" s="5">
        <f t="shared" si="123"/>
        <v>3.6097999999999999</v>
      </c>
      <c r="W235" s="5">
        <f t="shared" si="124"/>
        <v>7.2195999999999998</v>
      </c>
    </row>
    <row r="236" spans="1:23">
      <c r="A236" s="7" t="s">
        <v>455</v>
      </c>
      <c r="B236" s="4" t="s">
        <v>456</v>
      </c>
      <c r="C236" s="49">
        <v>0</v>
      </c>
      <c r="D236" s="49">
        <v>0.25800000000000001</v>
      </c>
      <c r="E236" s="49">
        <v>0</v>
      </c>
      <c r="F236" s="49">
        <v>0</v>
      </c>
      <c r="G236" s="49">
        <v>0</v>
      </c>
      <c r="H236" s="49">
        <v>0</v>
      </c>
      <c r="I236" s="117">
        <v>0</v>
      </c>
      <c r="J236" s="4">
        <v>100</v>
      </c>
      <c r="K236" s="4">
        <v>8</v>
      </c>
      <c r="L236" s="4" t="s">
        <v>248</v>
      </c>
      <c r="M236" s="4" t="s">
        <v>92</v>
      </c>
      <c r="O236" s="4" t="s">
        <v>108</v>
      </c>
      <c r="P236" s="10">
        <v>30</v>
      </c>
      <c r="Q236" s="5">
        <f t="shared" si="118"/>
        <v>0</v>
      </c>
      <c r="R236" s="5">
        <f t="shared" si="119"/>
        <v>7.7399999999999997E-2</v>
      </c>
      <c r="S236" s="5">
        <f t="shared" si="120"/>
        <v>0</v>
      </c>
      <c r="T236" s="5">
        <f t="shared" si="121"/>
        <v>0</v>
      </c>
      <c r="U236" s="5">
        <f t="shared" si="122"/>
        <v>0</v>
      </c>
      <c r="V236" s="5">
        <f t="shared" si="123"/>
        <v>0</v>
      </c>
      <c r="W236" s="5">
        <f t="shared" si="124"/>
        <v>0</v>
      </c>
    </row>
    <row r="237" spans="1:23">
      <c r="A237" s="7" t="s">
        <v>457</v>
      </c>
      <c r="B237" s="321" t="s">
        <v>458</v>
      </c>
      <c r="C237" s="49">
        <v>0</v>
      </c>
      <c r="D237" s="49">
        <v>4.3</v>
      </c>
      <c r="E237" s="49">
        <v>14.04</v>
      </c>
      <c r="F237" s="49">
        <v>14.04</v>
      </c>
      <c r="G237" s="49">
        <v>14.157999999999999</v>
      </c>
      <c r="H237" s="49">
        <v>13.3</v>
      </c>
      <c r="I237" s="117">
        <v>0</v>
      </c>
      <c r="J237" s="4">
        <v>100</v>
      </c>
      <c r="K237" s="4">
        <v>8</v>
      </c>
      <c r="L237" s="4" t="s">
        <v>248</v>
      </c>
      <c r="M237" s="4" t="s">
        <v>92</v>
      </c>
      <c r="O237" s="4" t="s">
        <v>108</v>
      </c>
      <c r="P237" s="10">
        <v>30</v>
      </c>
      <c r="Q237" s="5">
        <f t="shared" si="118"/>
        <v>0</v>
      </c>
      <c r="R237" s="5">
        <f t="shared" si="119"/>
        <v>1.2899999999999998</v>
      </c>
      <c r="S237" s="5">
        <f t="shared" si="120"/>
        <v>4.2119999999999997</v>
      </c>
      <c r="T237" s="5">
        <f t="shared" si="121"/>
        <v>4.2119999999999997</v>
      </c>
      <c r="U237" s="5">
        <f t="shared" si="122"/>
        <v>4.2473999999999998</v>
      </c>
      <c r="V237" s="5">
        <f t="shared" si="123"/>
        <v>3.99</v>
      </c>
      <c r="W237" s="5">
        <f t="shared" si="124"/>
        <v>0</v>
      </c>
    </row>
    <row r="238" spans="1:23">
      <c r="A238" s="7" t="s">
        <v>459</v>
      </c>
      <c r="B238" s="321" t="s">
        <v>460</v>
      </c>
      <c r="C238" s="49">
        <v>2.6720000000000002</v>
      </c>
      <c r="D238" s="49">
        <v>4.7939999999999996</v>
      </c>
      <c r="E238" s="49">
        <v>5.22</v>
      </c>
      <c r="F238" s="49">
        <v>2.4009999999999998</v>
      </c>
      <c r="G238" s="49">
        <v>2.2309999999999999</v>
      </c>
      <c r="H238" s="49">
        <v>0</v>
      </c>
      <c r="I238" s="117">
        <v>0</v>
      </c>
      <c r="J238" s="4">
        <v>100</v>
      </c>
      <c r="K238" s="4">
        <v>8</v>
      </c>
      <c r="L238" s="4" t="s">
        <v>248</v>
      </c>
      <c r="M238" s="4" t="s">
        <v>92</v>
      </c>
      <c r="O238" s="4" t="s">
        <v>108</v>
      </c>
      <c r="P238" s="10">
        <v>100</v>
      </c>
      <c r="Q238" s="5">
        <f t="shared" si="118"/>
        <v>2.6720000000000002</v>
      </c>
      <c r="R238" s="5">
        <f t="shared" si="119"/>
        <v>4.7939999999999996</v>
      </c>
      <c r="S238" s="5">
        <f t="shared" si="120"/>
        <v>5.22</v>
      </c>
      <c r="T238" s="5">
        <f t="shared" si="121"/>
        <v>2.4009999999999998</v>
      </c>
      <c r="U238" s="5">
        <f t="shared" si="122"/>
        <v>2.2309999999999999</v>
      </c>
      <c r="V238" s="5">
        <f t="shared" si="123"/>
        <v>0</v>
      </c>
      <c r="W238" s="5">
        <f t="shared" si="124"/>
        <v>0</v>
      </c>
    </row>
    <row r="239" spans="1:23">
      <c r="A239" s="7" t="s">
        <v>461</v>
      </c>
      <c r="B239" s="321" t="s">
        <v>462</v>
      </c>
      <c r="C239" s="49">
        <v>12.016</v>
      </c>
      <c r="D239" s="49">
        <v>16.356000000000002</v>
      </c>
      <c r="E239" s="49">
        <v>9.9779999999999998</v>
      </c>
      <c r="F239" s="49">
        <v>5.7080000000000002</v>
      </c>
      <c r="G239" s="49">
        <v>4.2910000000000004</v>
      </c>
      <c r="H239" s="49">
        <v>7.5</v>
      </c>
      <c r="I239" s="117">
        <v>0</v>
      </c>
      <c r="J239" s="4">
        <v>100</v>
      </c>
      <c r="K239" s="4">
        <v>8</v>
      </c>
      <c r="L239" s="4" t="s">
        <v>248</v>
      </c>
      <c r="M239" s="4" t="s">
        <v>92</v>
      </c>
      <c r="O239" s="4" t="s">
        <v>108</v>
      </c>
      <c r="P239" s="10">
        <v>50</v>
      </c>
      <c r="Q239" s="5">
        <f t="shared" si="118"/>
        <v>6.008</v>
      </c>
      <c r="R239" s="5">
        <f t="shared" si="119"/>
        <v>8.1780000000000008</v>
      </c>
      <c r="S239" s="5">
        <f t="shared" si="120"/>
        <v>4.9889999999999999</v>
      </c>
      <c r="T239" s="5">
        <f t="shared" si="121"/>
        <v>2.8540000000000001</v>
      </c>
      <c r="U239" s="5">
        <f t="shared" si="122"/>
        <v>2.1455000000000002</v>
      </c>
      <c r="V239" s="5">
        <f t="shared" si="123"/>
        <v>3.75</v>
      </c>
      <c r="W239" s="5">
        <f t="shared" si="124"/>
        <v>0</v>
      </c>
    </row>
    <row r="240" spans="1:23">
      <c r="A240" s="7" t="s">
        <v>463</v>
      </c>
      <c r="B240" s="321" t="s">
        <v>464</v>
      </c>
      <c r="C240" s="49">
        <v>5.2911649699999996</v>
      </c>
      <c r="D240" s="49">
        <v>4.4470000000000001</v>
      </c>
      <c r="E240" s="49">
        <v>3.66</v>
      </c>
      <c r="F240" s="49">
        <v>2.2629999999999999</v>
      </c>
      <c r="G240" s="49">
        <v>0.92</v>
      </c>
      <c r="H240" s="49">
        <v>0</v>
      </c>
      <c r="I240" s="117">
        <v>0</v>
      </c>
      <c r="J240" s="4">
        <v>100</v>
      </c>
      <c r="K240" s="4">
        <v>8</v>
      </c>
      <c r="L240" s="4" t="s">
        <v>248</v>
      </c>
      <c r="M240" s="4" t="s">
        <v>92</v>
      </c>
      <c r="O240" s="4" t="s">
        <v>108</v>
      </c>
      <c r="P240" s="10">
        <v>20</v>
      </c>
      <c r="Q240" s="5">
        <f t="shared" si="118"/>
        <v>1.0582329939999999</v>
      </c>
      <c r="R240" s="5">
        <f t="shared" si="119"/>
        <v>0.88940000000000008</v>
      </c>
      <c r="S240" s="5">
        <f t="shared" si="120"/>
        <v>0.7320000000000001</v>
      </c>
      <c r="T240" s="5">
        <f t="shared" si="121"/>
        <v>0.4526</v>
      </c>
      <c r="U240" s="5">
        <f t="shared" si="122"/>
        <v>0.18400000000000002</v>
      </c>
      <c r="V240" s="5">
        <f t="shared" si="123"/>
        <v>0</v>
      </c>
      <c r="W240" s="5">
        <f t="shared" si="124"/>
        <v>0</v>
      </c>
    </row>
    <row r="241" spans="1:23">
      <c r="A241" s="7" t="s">
        <v>465</v>
      </c>
      <c r="B241" s="321" t="s">
        <v>466</v>
      </c>
      <c r="C241" s="49">
        <v>0.17499999999999999</v>
      </c>
      <c r="D241" s="49">
        <v>0.71399999999999997</v>
      </c>
      <c r="E241" s="49">
        <v>9.7200000000000006</v>
      </c>
      <c r="F241" s="49">
        <v>9.7919999999999998</v>
      </c>
      <c r="G241" s="49">
        <v>11.574999999999999</v>
      </c>
      <c r="H241" s="49">
        <v>7.9370000000000003</v>
      </c>
      <c r="I241" s="117">
        <v>11.458</v>
      </c>
      <c r="J241" s="4">
        <v>62</v>
      </c>
      <c r="K241" s="4">
        <v>8</v>
      </c>
      <c r="L241" s="4" t="s">
        <v>248</v>
      </c>
      <c r="M241" s="4" t="s">
        <v>467</v>
      </c>
      <c r="O241" s="4" t="s">
        <v>108</v>
      </c>
      <c r="P241" s="10">
        <v>75</v>
      </c>
      <c r="Q241" s="5">
        <f t="shared" si="118"/>
        <v>0.13124999999999998</v>
      </c>
      <c r="R241" s="5">
        <f t="shared" si="119"/>
        <v>0.53549999999999998</v>
      </c>
      <c r="S241" s="5">
        <f t="shared" si="120"/>
        <v>7.2900000000000009</v>
      </c>
      <c r="T241" s="5">
        <f t="shared" si="121"/>
        <v>7.3439999999999994</v>
      </c>
      <c r="U241" s="5">
        <f t="shared" si="122"/>
        <v>8.6812499999999986</v>
      </c>
      <c r="V241" s="5">
        <f t="shared" si="123"/>
        <v>5.95275</v>
      </c>
      <c r="W241" s="5">
        <f t="shared" si="124"/>
        <v>8.5935000000000006</v>
      </c>
    </row>
    <row r="242" spans="1:23">
      <c r="A242" s="7" t="s">
        <v>468</v>
      </c>
      <c r="B242" s="321" t="s">
        <v>469</v>
      </c>
      <c r="C242" s="49">
        <v>8.0000000000000002E-3</v>
      </c>
      <c r="D242" s="49">
        <v>2.7E-2</v>
      </c>
      <c r="E242" s="49">
        <v>0.70599999999999996</v>
      </c>
      <c r="F242" s="49">
        <v>0.53500000000000003</v>
      </c>
      <c r="G242" s="49">
        <v>0.121</v>
      </c>
      <c r="H242" s="49">
        <v>0.51700000000000002</v>
      </c>
      <c r="I242" s="117">
        <v>0.32500000000000001</v>
      </c>
      <c r="J242" s="4">
        <v>25</v>
      </c>
      <c r="K242" s="4">
        <v>8</v>
      </c>
      <c r="L242" s="4" t="s">
        <v>248</v>
      </c>
      <c r="M242" s="4" t="s">
        <v>92</v>
      </c>
      <c r="O242" s="4" t="s">
        <v>108</v>
      </c>
      <c r="P242" s="10">
        <v>25</v>
      </c>
      <c r="Q242" s="5">
        <f t="shared" si="118"/>
        <v>2E-3</v>
      </c>
      <c r="R242" s="5">
        <f t="shared" si="119"/>
        <v>6.7499999999999999E-3</v>
      </c>
      <c r="S242" s="5">
        <f t="shared" si="120"/>
        <v>0.17649999999999999</v>
      </c>
      <c r="T242" s="5">
        <f t="shared" si="121"/>
        <v>0.13375000000000001</v>
      </c>
      <c r="U242" s="5">
        <f t="shared" si="122"/>
        <v>3.0249999999999999E-2</v>
      </c>
      <c r="V242" s="5">
        <f t="shared" si="123"/>
        <v>0.12925</v>
      </c>
      <c r="W242" s="5">
        <f t="shared" si="124"/>
        <v>8.1250000000000003E-2</v>
      </c>
    </row>
    <row r="243" spans="1:23">
      <c r="A243" s="7" t="s">
        <v>470</v>
      </c>
      <c r="B243" s="321" t="s">
        <v>471</v>
      </c>
      <c r="C243" s="49">
        <v>0</v>
      </c>
      <c r="D243" s="49">
        <v>6.0999999999999999E-2</v>
      </c>
      <c r="E243" s="49">
        <v>5.3140000000000001</v>
      </c>
      <c r="F243" s="49">
        <v>4.6890000000000001</v>
      </c>
      <c r="G243" s="49">
        <v>4.7809999999999997</v>
      </c>
      <c r="H243" s="49">
        <v>6.4429999999999996</v>
      </c>
      <c r="I243" s="117">
        <v>2.8929999999999998</v>
      </c>
      <c r="J243" s="4">
        <v>62.5</v>
      </c>
      <c r="K243" s="4">
        <v>8</v>
      </c>
      <c r="L243" s="4" t="s">
        <v>248</v>
      </c>
      <c r="M243" s="4" t="s">
        <v>467</v>
      </c>
      <c r="O243" s="4" t="s">
        <v>108</v>
      </c>
      <c r="P243" s="10">
        <v>0</v>
      </c>
      <c r="Q243" s="5">
        <f t="shared" si="118"/>
        <v>0</v>
      </c>
      <c r="R243" s="5">
        <f t="shared" si="119"/>
        <v>0</v>
      </c>
      <c r="S243" s="5">
        <f t="shared" si="120"/>
        <v>0</v>
      </c>
      <c r="T243" s="5">
        <f t="shared" si="121"/>
        <v>0</v>
      </c>
      <c r="U243" s="5">
        <f t="shared" si="122"/>
        <v>0</v>
      </c>
      <c r="V243" s="5">
        <f t="shared" si="123"/>
        <v>0</v>
      </c>
      <c r="W243" s="5">
        <f t="shared" si="124"/>
        <v>0</v>
      </c>
    </row>
    <row r="244" spans="1:23">
      <c r="A244" s="7" t="s">
        <v>472</v>
      </c>
      <c r="B244" s="321" t="s">
        <v>473</v>
      </c>
      <c r="C244" s="49">
        <v>0</v>
      </c>
      <c r="D244" s="49">
        <v>1.6459999999999999</v>
      </c>
      <c r="E244" s="49">
        <v>7.5</v>
      </c>
      <c r="F244" s="49">
        <v>0</v>
      </c>
      <c r="G244" s="49">
        <v>0</v>
      </c>
      <c r="H244" s="49">
        <v>0</v>
      </c>
      <c r="I244" s="117">
        <v>0</v>
      </c>
      <c r="J244" s="4">
        <v>100</v>
      </c>
      <c r="K244" s="4">
        <v>8</v>
      </c>
      <c r="L244" s="4" t="s">
        <v>248</v>
      </c>
      <c r="M244" s="4" t="s">
        <v>121</v>
      </c>
      <c r="O244" s="4" t="s">
        <v>108</v>
      </c>
      <c r="P244" s="10">
        <v>0</v>
      </c>
      <c r="Q244" s="5">
        <f t="shared" si="118"/>
        <v>0</v>
      </c>
      <c r="R244" s="5">
        <f t="shared" si="119"/>
        <v>0</v>
      </c>
      <c r="S244" s="5">
        <f t="shared" si="120"/>
        <v>0</v>
      </c>
      <c r="T244" s="5">
        <f t="shared" si="121"/>
        <v>0</v>
      </c>
      <c r="U244" s="5">
        <f t="shared" si="122"/>
        <v>0</v>
      </c>
      <c r="V244" s="5">
        <f t="shared" si="123"/>
        <v>0</v>
      </c>
      <c r="W244" s="5">
        <f t="shared" si="124"/>
        <v>0</v>
      </c>
    </row>
    <row r="245" spans="1:23">
      <c r="A245" s="7" t="s">
        <v>474</v>
      </c>
      <c r="B245" s="321" t="s">
        <v>475</v>
      </c>
      <c r="C245" s="49">
        <v>8.0000000000000002E-3</v>
      </c>
      <c r="D245" s="49">
        <v>7.2999999999999995E-2</v>
      </c>
      <c r="E245" s="49">
        <v>0.14099999999999999</v>
      </c>
      <c r="F245" s="49">
        <v>0.159</v>
      </c>
      <c r="G245" s="49">
        <v>0.16400000000000001</v>
      </c>
      <c r="H245" s="49">
        <v>0.16400000000000001</v>
      </c>
      <c r="I245" s="342">
        <v>0.20100000000000001</v>
      </c>
      <c r="J245" s="321">
        <v>5</v>
      </c>
      <c r="K245" s="321">
        <v>8</v>
      </c>
      <c r="L245" s="321" t="s">
        <v>248</v>
      </c>
      <c r="M245" s="4" t="s">
        <v>92</v>
      </c>
      <c r="O245" s="4" t="s">
        <v>108</v>
      </c>
      <c r="P245" s="10">
        <v>0</v>
      </c>
      <c r="Q245" s="5">
        <f t="shared" si="118"/>
        <v>0</v>
      </c>
      <c r="R245" s="5">
        <f t="shared" si="119"/>
        <v>0</v>
      </c>
      <c r="S245" s="5">
        <f t="shared" si="120"/>
        <v>0</v>
      </c>
      <c r="T245" s="5">
        <f t="shared" si="121"/>
        <v>0</v>
      </c>
      <c r="U245" s="5">
        <f t="shared" si="122"/>
        <v>0</v>
      </c>
      <c r="V245" s="5">
        <f t="shared" si="123"/>
        <v>0</v>
      </c>
      <c r="W245" s="5">
        <f t="shared" si="124"/>
        <v>0</v>
      </c>
    </row>
    <row r="246" spans="1:23">
      <c r="A246" s="7" t="s">
        <v>476</v>
      </c>
      <c r="B246" s="321" t="s">
        <v>477</v>
      </c>
      <c r="C246" s="49">
        <v>58.646000000000001</v>
      </c>
      <c r="D246" s="49">
        <v>65.747</v>
      </c>
      <c r="E246" s="49">
        <v>77.278000000000006</v>
      </c>
      <c r="F246" s="49">
        <v>76.372</v>
      </c>
      <c r="G246" s="49">
        <v>76.372</v>
      </c>
      <c r="H246" s="49">
        <v>82.95</v>
      </c>
      <c r="I246" s="347">
        <v>82.605999999999995</v>
      </c>
      <c r="J246" s="321">
        <v>100</v>
      </c>
      <c r="K246" s="321">
        <v>8</v>
      </c>
      <c r="L246" s="321" t="s">
        <v>248</v>
      </c>
      <c r="M246" s="4" t="s">
        <v>209</v>
      </c>
      <c r="O246" s="4" t="s">
        <v>108</v>
      </c>
      <c r="P246" s="10">
        <v>30</v>
      </c>
      <c r="Q246" s="5">
        <f t="shared" si="118"/>
        <v>17.593799999999998</v>
      </c>
      <c r="R246" s="5">
        <f t="shared" si="119"/>
        <v>19.7241</v>
      </c>
      <c r="S246" s="5">
        <f t="shared" si="120"/>
        <v>23.183400000000002</v>
      </c>
      <c r="T246" s="5">
        <f t="shared" si="121"/>
        <v>22.9116</v>
      </c>
      <c r="U246" s="5">
        <f t="shared" si="122"/>
        <v>22.9116</v>
      </c>
      <c r="V246" s="5">
        <f t="shared" si="123"/>
        <v>24.885000000000002</v>
      </c>
      <c r="W246" s="5">
        <f t="shared" si="124"/>
        <v>24.781799999999997</v>
      </c>
    </row>
    <row r="247" spans="1:23">
      <c r="A247" s="7" t="s">
        <v>478</v>
      </c>
      <c r="B247" s="321" t="s">
        <v>479</v>
      </c>
      <c r="C247" s="49">
        <v>47.637999999999998</v>
      </c>
      <c r="D247" s="49">
        <v>47</v>
      </c>
      <c r="E247" s="49">
        <v>48.274999999999999</v>
      </c>
      <c r="F247" s="49">
        <v>43.018000000000001</v>
      </c>
      <c r="G247" s="49">
        <v>49.052999999999997</v>
      </c>
      <c r="H247" s="49">
        <v>44.832000000000001</v>
      </c>
      <c r="I247" s="347">
        <v>44.832000000000001</v>
      </c>
      <c r="J247" s="321">
        <v>100</v>
      </c>
      <c r="K247" s="321">
        <v>8</v>
      </c>
      <c r="L247" s="321" t="s">
        <v>248</v>
      </c>
      <c r="M247" s="4" t="s">
        <v>209</v>
      </c>
      <c r="O247" s="4" t="s">
        <v>108</v>
      </c>
      <c r="P247" s="10">
        <v>100</v>
      </c>
      <c r="Q247" s="5">
        <f t="shared" si="118"/>
        <v>47.637999999999998</v>
      </c>
      <c r="R247" s="5">
        <f t="shared" si="119"/>
        <v>47</v>
      </c>
      <c r="S247" s="5">
        <f t="shared" si="120"/>
        <v>48.274999999999999</v>
      </c>
      <c r="T247" s="5">
        <f t="shared" si="121"/>
        <v>43.018000000000001</v>
      </c>
      <c r="U247" s="5">
        <f t="shared" si="122"/>
        <v>49.052999999999997</v>
      </c>
      <c r="V247" s="5">
        <f t="shared" si="123"/>
        <v>44.832000000000001</v>
      </c>
      <c r="W247" s="5">
        <f t="shared" si="124"/>
        <v>44.832000000000001</v>
      </c>
    </row>
    <row r="248" spans="1:23">
      <c r="A248" s="7" t="s">
        <v>480</v>
      </c>
      <c r="B248" s="321" t="s">
        <v>481</v>
      </c>
      <c r="C248" s="49">
        <v>49.47</v>
      </c>
      <c r="D248" s="49">
        <v>45.856000000000002</v>
      </c>
      <c r="E248" s="49">
        <v>32.619</v>
      </c>
      <c r="F248" s="49">
        <v>22.696999999999999</v>
      </c>
      <c r="G248" s="49">
        <v>14.042000000000002</v>
      </c>
      <c r="H248" s="49">
        <v>13.101000000000001</v>
      </c>
      <c r="I248" s="347">
        <v>13.093</v>
      </c>
      <c r="J248" s="321">
        <v>68</v>
      </c>
      <c r="K248" s="321">
        <v>8</v>
      </c>
      <c r="L248" s="321" t="s">
        <v>248</v>
      </c>
      <c r="M248" s="4" t="s">
        <v>209</v>
      </c>
      <c r="O248" s="4" t="s">
        <v>108</v>
      </c>
      <c r="P248" s="10">
        <v>30</v>
      </c>
      <c r="Q248" s="5">
        <f t="shared" si="118"/>
        <v>14.840999999999999</v>
      </c>
      <c r="R248" s="5">
        <f t="shared" si="119"/>
        <v>13.7568</v>
      </c>
      <c r="S248" s="5">
        <f t="shared" si="120"/>
        <v>9.7857000000000003</v>
      </c>
      <c r="T248" s="5">
        <f t="shared" si="121"/>
        <v>6.8090999999999999</v>
      </c>
      <c r="U248" s="5">
        <f t="shared" si="122"/>
        <v>4.2126000000000001</v>
      </c>
      <c r="V248" s="5">
        <f t="shared" si="123"/>
        <v>3.9302999999999999</v>
      </c>
      <c r="W248" s="5">
        <f t="shared" si="124"/>
        <v>3.9278999999999997</v>
      </c>
    </row>
    <row r="249" spans="1:23">
      <c r="A249" s="7" t="s">
        <v>482</v>
      </c>
      <c r="B249" s="321" t="s">
        <v>483</v>
      </c>
      <c r="C249" s="49">
        <v>0</v>
      </c>
      <c r="D249" s="49">
        <v>0</v>
      </c>
      <c r="E249" s="49">
        <v>0</v>
      </c>
      <c r="F249" s="49">
        <v>0</v>
      </c>
      <c r="G249" s="49">
        <v>4.9000000000000002E-2</v>
      </c>
      <c r="H249" s="49">
        <v>4.4999999999999998E-2</v>
      </c>
      <c r="I249" s="347">
        <v>4.4999999999999998E-2</v>
      </c>
      <c r="J249" s="321">
        <v>67</v>
      </c>
      <c r="K249" s="321">
        <v>8</v>
      </c>
      <c r="L249" s="321" t="s">
        <v>248</v>
      </c>
      <c r="M249" s="4" t="s">
        <v>97</v>
      </c>
      <c r="O249" s="4" t="s">
        <v>108</v>
      </c>
      <c r="P249" s="10">
        <v>20</v>
      </c>
      <c r="Q249" s="5">
        <f t="shared" si="118"/>
        <v>0</v>
      </c>
      <c r="R249" s="5">
        <f t="shared" si="119"/>
        <v>0</v>
      </c>
      <c r="S249" s="5">
        <f t="shared" si="120"/>
        <v>0</v>
      </c>
      <c r="T249" s="5">
        <f t="shared" si="121"/>
        <v>0</v>
      </c>
      <c r="U249" s="5">
        <f t="shared" si="122"/>
        <v>9.8000000000000014E-3</v>
      </c>
      <c r="V249" s="5">
        <f t="shared" si="123"/>
        <v>8.9999999999999993E-3</v>
      </c>
      <c r="W249" s="5">
        <f t="shared" si="124"/>
        <v>8.9999999999999993E-3</v>
      </c>
    </row>
    <row r="250" spans="1:23">
      <c r="A250" s="7" t="s">
        <v>484</v>
      </c>
      <c r="B250" s="321" t="s">
        <v>485</v>
      </c>
      <c r="C250" s="49">
        <v>1.026</v>
      </c>
      <c r="D250" s="49">
        <v>2.782</v>
      </c>
      <c r="E250" s="49">
        <v>13.997</v>
      </c>
      <c r="F250" s="49">
        <v>16.152999999999999</v>
      </c>
      <c r="G250" s="49">
        <v>19.725999999999999</v>
      </c>
      <c r="H250" s="49">
        <v>12.208</v>
      </c>
      <c r="I250" s="347">
        <v>8.8580000000000005</v>
      </c>
      <c r="J250" s="321">
        <v>65</v>
      </c>
      <c r="K250" s="321">
        <v>8</v>
      </c>
      <c r="L250" s="321" t="s">
        <v>248</v>
      </c>
      <c r="M250" s="4" t="s">
        <v>92</v>
      </c>
      <c r="O250" s="4" t="s">
        <v>108</v>
      </c>
      <c r="P250" s="10">
        <v>100</v>
      </c>
      <c r="Q250" s="5">
        <f t="shared" si="118"/>
        <v>1.026</v>
      </c>
      <c r="R250" s="5">
        <f t="shared" si="119"/>
        <v>2.782</v>
      </c>
      <c r="S250" s="5">
        <f t="shared" si="120"/>
        <v>13.997</v>
      </c>
      <c r="T250" s="5">
        <f t="shared" si="121"/>
        <v>16.152999999999999</v>
      </c>
      <c r="U250" s="5">
        <f t="shared" si="122"/>
        <v>19.725999999999999</v>
      </c>
      <c r="V250" s="5">
        <f t="shared" si="123"/>
        <v>12.208</v>
      </c>
      <c r="W250" s="5">
        <f t="shared" si="124"/>
        <v>8.8580000000000005</v>
      </c>
    </row>
    <row r="251" spans="1:23">
      <c r="A251" s="7" t="s">
        <v>486</v>
      </c>
      <c r="B251" s="4" t="s">
        <v>487</v>
      </c>
      <c r="C251" s="49">
        <v>0</v>
      </c>
      <c r="D251" s="49">
        <v>1.4550000000000001</v>
      </c>
      <c r="E251" s="49">
        <v>4.7249999999999996</v>
      </c>
      <c r="F251" s="49">
        <v>5.9850000000000003</v>
      </c>
      <c r="G251" s="49">
        <v>0</v>
      </c>
      <c r="H251" s="49">
        <v>0</v>
      </c>
      <c r="I251" s="347">
        <v>0</v>
      </c>
      <c r="J251" s="321">
        <v>63</v>
      </c>
      <c r="K251" s="321">
        <v>8</v>
      </c>
      <c r="L251" s="321" t="s">
        <v>248</v>
      </c>
      <c r="M251" s="4" t="s">
        <v>92</v>
      </c>
      <c r="O251" s="4" t="s">
        <v>108</v>
      </c>
      <c r="P251" s="10">
        <v>100</v>
      </c>
      <c r="Q251" s="5">
        <f t="shared" si="118"/>
        <v>0</v>
      </c>
      <c r="R251" s="5">
        <f t="shared" si="119"/>
        <v>1.4550000000000001</v>
      </c>
      <c r="S251" s="5">
        <f t="shared" si="120"/>
        <v>4.7249999999999996</v>
      </c>
      <c r="T251" s="5">
        <f t="shared" si="121"/>
        <v>5.9850000000000003</v>
      </c>
      <c r="U251" s="5">
        <f t="shared" si="122"/>
        <v>0</v>
      </c>
      <c r="V251" s="5">
        <f t="shared" si="123"/>
        <v>0</v>
      </c>
      <c r="W251" s="5">
        <f t="shared" si="124"/>
        <v>0</v>
      </c>
    </row>
    <row r="252" spans="1:23">
      <c r="A252" s="7" t="s">
        <v>488</v>
      </c>
      <c r="B252" s="4" t="s">
        <v>489</v>
      </c>
      <c r="C252" s="49">
        <v>9.7000000000000003E-2</v>
      </c>
      <c r="D252" s="49">
        <v>0.70299999999999996</v>
      </c>
      <c r="E252" s="49">
        <v>0.72899999999999998</v>
      </c>
      <c r="F252" s="49">
        <v>0.745</v>
      </c>
      <c r="G252" s="49">
        <v>0.745</v>
      </c>
      <c r="H252" s="49">
        <v>0.745</v>
      </c>
      <c r="I252" s="347">
        <v>0.745</v>
      </c>
      <c r="J252" s="321">
        <v>62</v>
      </c>
      <c r="K252" s="321">
        <v>6</v>
      </c>
      <c r="L252" s="321" t="s">
        <v>248</v>
      </c>
      <c r="M252" s="4" t="s">
        <v>490</v>
      </c>
      <c r="O252" s="4" t="s">
        <v>108</v>
      </c>
      <c r="P252" s="10">
        <v>30</v>
      </c>
      <c r="Q252" s="5">
        <f t="shared" si="118"/>
        <v>2.9100000000000001E-2</v>
      </c>
      <c r="R252" s="5">
        <f t="shared" si="119"/>
        <v>0.21089999999999998</v>
      </c>
      <c r="S252" s="5">
        <f t="shared" si="120"/>
        <v>0.21869999999999998</v>
      </c>
      <c r="T252" s="5">
        <f t="shared" si="121"/>
        <v>0.2235</v>
      </c>
      <c r="U252" s="5">
        <f t="shared" si="122"/>
        <v>0.2235</v>
      </c>
      <c r="V252" s="5">
        <f t="shared" si="123"/>
        <v>0.2235</v>
      </c>
      <c r="W252" s="5">
        <f t="shared" si="124"/>
        <v>0.2235</v>
      </c>
    </row>
    <row r="253" spans="1:23">
      <c r="A253" s="7" t="s">
        <v>491</v>
      </c>
      <c r="B253" s="4" t="s">
        <v>492</v>
      </c>
      <c r="C253" s="49">
        <v>0.32</v>
      </c>
      <c r="D253" s="49">
        <v>0.374</v>
      </c>
      <c r="E253" s="49">
        <v>0.89100000000000001</v>
      </c>
      <c r="F253" s="49">
        <v>0.71699999999999997</v>
      </c>
      <c r="G253" s="49">
        <v>0.69699999999999995</v>
      </c>
      <c r="H253" s="49">
        <v>0.69499999999999995</v>
      </c>
      <c r="I253" s="347">
        <v>0.69499999999999995</v>
      </c>
      <c r="J253" s="321">
        <v>60</v>
      </c>
      <c r="K253" s="321">
        <v>6</v>
      </c>
      <c r="L253" s="321" t="s">
        <v>248</v>
      </c>
      <c r="M253" s="4" t="s">
        <v>490</v>
      </c>
      <c r="O253" s="4" t="s">
        <v>108</v>
      </c>
      <c r="P253" s="10">
        <v>30</v>
      </c>
      <c r="Q253" s="5">
        <f t="shared" si="118"/>
        <v>9.6000000000000002E-2</v>
      </c>
      <c r="R253" s="5">
        <f t="shared" si="119"/>
        <v>0.11219999999999999</v>
      </c>
      <c r="S253" s="5">
        <f t="shared" si="120"/>
        <v>0.26729999999999998</v>
      </c>
      <c r="T253" s="5">
        <f t="shared" si="121"/>
        <v>0.21509999999999999</v>
      </c>
      <c r="U253" s="5">
        <f t="shared" si="122"/>
        <v>0.20909999999999998</v>
      </c>
      <c r="V253" s="5">
        <f t="shared" si="123"/>
        <v>0.20849999999999999</v>
      </c>
      <c r="W253" s="5">
        <f t="shared" si="124"/>
        <v>0.20849999999999999</v>
      </c>
    </row>
    <row r="254" spans="1:23">
      <c r="A254" s="7" t="s">
        <v>493</v>
      </c>
      <c r="B254" s="4" t="s">
        <v>494</v>
      </c>
      <c r="C254" s="49">
        <v>1.2749999999999999</v>
      </c>
      <c r="D254" s="49">
        <v>0.72899999999999998</v>
      </c>
      <c r="E254" s="49">
        <v>1.7210000000000001</v>
      </c>
      <c r="F254" s="49">
        <v>1.8720000000000001</v>
      </c>
      <c r="G254" s="49">
        <v>1.637</v>
      </c>
      <c r="H254" s="49">
        <v>1.4710000000000001</v>
      </c>
      <c r="I254" s="347">
        <v>1.4710000000000001</v>
      </c>
      <c r="J254" s="321">
        <v>58</v>
      </c>
      <c r="K254" s="321">
        <v>8</v>
      </c>
      <c r="L254" s="321" t="s">
        <v>248</v>
      </c>
      <c r="M254" s="4" t="s">
        <v>121</v>
      </c>
      <c r="O254" s="4" t="s">
        <v>108</v>
      </c>
      <c r="P254" s="10">
        <v>30</v>
      </c>
      <c r="Q254" s="5">
        <f t="shared" si="118"/>
        <v>0.38249999999999995</v>
      </c>
      <c r="R254" s="5">
        <f t="shared" si="119"/>
        <v>0.21869999999999998</v>
      </c>
      <c r="S254" s="5">
        <f t="shared" si="120"/>
        <v>0.51629999999999998</v>
      </c>
      <c r="T254" s="5">
        <f t="shared" si="121"/>
        <v>0.56159999999999999</v>
      </c>
      <c r="U254" s="5">
        <f t="shared" si="122"/>
        <v>0.49109999999999998</v>
      </c>
      <c r="V254" s="5">
        <f t="shared" si="123"/>
        <v>0.44130000000000003</v>
      </c>
      <c r="W254" s="5">
        <f t="shared" si="124"/>
        <v>0.44130000000000003</v>
      </c>
    </row>
    <row r="255" spans="1:23">
      <c r="A255" s="7" t="s">
        <v>495</v>
      </c>
      <c r="B255" s="4" t="s">
        <v>496</v>
      </c>
      <c r="C255" s="49">
        <v>0.19400000000000001</v>
      </c>
      <c r="D255" s="49">
        <v>0.39200000000000007</v>
      </c>
      <c r="E255" s="49">
        <v>0</v>
      </c>
      <c r="F255" s="49">
        <v>8.1000000000000003E-2</v>
      </c>
      <c r="G255" s="49">
        <v>9.0999999999999998E-2</v>
      </c>
      <c r="H255" s="49">
        <v>8.5000000000000006E-2</v>
      </c>
      <c r="I255" s="347">
        <v>8.5000000000000006E-2</v>
      </c>
      <c r="J255" s="321">
        <v>56</v>
      </c>
      <c r="K255" s="321">
        <v>8</v>
      </c>
      <c r="L255" s="321" t="s">
        <v>248</v>
      </c>
      <c r="M255" s="4" t="s">
        <v>121</v>
      </c>
      <c r="O255" s="4" t="s">
        <v>108</v>
      </c>
      <c r="P255" s="10">
        <v>30</v>
      </c>
      <c r="Q255" s="5">
        <f t="shared" si="118"/>
        <v>5.8200000000000002E-2</v>
      </c>
      <c r="R255" s="5">
        <f t="shared" si="119"/>
        <v>0.11760000000000001</v>
      </c>
      <c r="S255" s="5">
        <f t="shared" si="120"/>
        <v>0</v>
      </c>
      <c r="T255" s="5">
        <f t="shared" si="121"/>
        <v>2.4299999999999999E-2</v>
      </c>
      <c r="U255" s="5">
        <f t="shared" si="122"/>
        <v>2.7299999999999998E-2</v>
      </c>
      <c r="V255" s="5">
        <f t="shared" si="123"/>
        <v>2.5500000000000002E-2</v>
      </c>
      <c r="W255" s="5">
        <f t="shared" si="124"/>
        <v>2.5500000000000002E-2</v>
      </c>
    </row>
    <row r="256" spans="1:23">
      <c r="A256" s="7" t="s">
        <v>497</v>
      </c>
      <c r="B256" s="4" t="s">
        <v>498</v>
      </c>
      <c r="C256" s="49">
        <v>0</v>
      </c>
      <c r="D256" s="49">
        <v>0.14499999999999999</v>
      </c>
      <c r="E256" s="49">
        <v>1.446</v>
      </c>
      <c r="F256" s="49">
        <v>1.4590000000000001</v>
      </c>
      <c r="G256" s="49">
        <v>1.712</v>
      </c>
      <c r="H256" s="49">
        <v>1.764</v>
      </c>
      <c r="I256" s="117">
        <v>1.764</v>
      </c>
      <c r="J256" s="4">
        <v>55</v>
      </c>
      <c r="K256" s="4">
        <v>8</v>
      </c>
      <c r="L256" s="4" t="s">
        <v>248</v>
      </c>
      <c r="M256" s="4" t="s">
        <v>121</v>
      </c>
      <c r="O256" s="4" t="s">
        <v>108</v>
      </c>
      <c r="P256" s="10">
        <v>0</v>
      </c>
      <c r="Q256" s="5">
        <f t="shared" si="118"/>
        <v>0</v>
      </c>
      <c r="R256" s="5">
        <f t="shared" si="119"/>
        <v>0</v>
      </c>
      <c r="S256" s="5">
        <f t="shared" si="120"/>
        <v>0</v>
      </c>
      <c r="T256" s="5">
        <f t="shared" si="121"/>
        <v>0</v>
      </c>
      <c r="U256" s="5">
        <f t="shared" si="122"/>
        <v>0</v>
      </c>
      <c r="V256" s="5">
        <f t="shared" si="123"/>
        <v>0</v>
      </c>
      <c r="W256" s="5">
        <f t="shared" si="124"/>
        <v>0</v>
      </c>
    </row>
    <row r="257" spans="1:23">
      <c r="A257" s="7" t="s">
        <v>499</v>
      </c>
      <c r="B257" s="321" t="s">
        <v>500</v>
      </c>
      <c r="C257" s="49">
        <v>0.51200000000000001</v>
      </c>
      <c r="D257" s="49">
        <v>0.60099999999999998</v>
      </c>
      <c r="E257" s="49">
        <v>0.93200000000000005</v>
      </c>
      <c r="F257" s="49">
        <v>1.262</v>
      </c>
      <c r="G257" s="49">
        <v>1.262</v>
      </c>
      <c r="H257" s="49">
        <v>1.262</v>
      </c>
      <c r="I257" s="117">
        <v>1.262</v>
      </c>
      <c r="J257" s="4">
        <v>53</v>
      </c>
      <c r="K257" s="4">
        <v>8</v>
      </c>
      <c r="L257" s="4" t="s">
        <v>248</v>
      </c>
      <c r="M257" s="321" t="s">
        <v>121</v>
      </c>
      <c r="O257" s="4" t="s">
        <v>108</v>
      </c>
      <c r="P257" s="10">
        <v>100</v>
      </c>
      <c r="Q257" s="5">
        <f t="shared" si="118"/>
        <v>0.51200000000000001</v>
      </c>
      <c r="R257" s="5">
        <f t="shared" si="119"/>
        <v>0.60099999999999998</v>
      </c>
      <c r="S257" s="5">
        <f t="shared" si="120"/>
        <v>0.93200000000000005</v>
      </c>
      <c r="T257" s="5">
        <f t="shared" si="121"/>
        <v>1.262</v>
      </c>
      <c r="U257" s="5">
        <f t="shared" si="122"/>
        <v>1.262</v>
      </c>
      <c r="V257" s="5">
        <f t="shared" si="123"/>
        <v>1.262</v>
      </c>
      <c r="W257" s="5">
        <f t="shared" si="124"/>
        <v>1.262</v>
      </c>
    </row>
    <row r="258" spans="1:23">
      <c r="A258" s="7" t="s">
        <v>501</v>
      </c>
      <c r="B258" s="321" t="s">
        <v>502</v>
      </c>
      <c r="C258" s="49">
        <v>0.76600000000000001</v>
      </c>
      <c r="D258" s="49">
        <v>0.35199999999999998</v>
      </c>
      <c r="E258" s="49">
        <v>0.92900000000000005</v>
      </c>
      <c r="F258" s="49">
        <v>4.3890000000000002</v>
      </c>
      <c r="G258" s="49">
        <v>4.3890000000000002</v>
      </c>
      <c r="H258" s="49">
        <v>4.3090000000000002</v>
      </c>
      <c r="I258" s="117">
        <v>3.923</v>
      </c>
      <c r="J258" s="4">
        <v>51</v>
      </c>
      <c r="K258" s="4">
        <v>8</v>
      </c>
      <c r="L258" s="4" t="s">
        <v>248</v>
      </c>
      <c r="M258" s="321" t="s">
        <v>503</v>
      </c>
      <c r="O258" s="4" t="s">
        <v>108</v>
      </c>
      <c r="P258" s="10">
        <v>0</v>
      </c>
      <c r="Q258" s="5">
        <f t="shared" si="118"/>
        <v>0</v>
      </c>
      <c r="R258" s="5">
        <f t="shared" si="119"/>
        <v>0</v>
      </c>
      <c r="S258" s="5">
        <f t="shared" si="120"/>
        <v>0</v>
      </c>
      <c r="T258" s="5">
        <f t="shared" si="121"/>
        <v>0</v>
      </c>
      <c r="U258" s="5">
        <f t="shared" si="122"/>
        <v>0</v>
      </c>
      <c r="V258" s="5">
        <f t="shared" si="123"/>
        <v>0</v>
      </c>
      <c r="W258" s="5">
        <f t="shared" si="124"/>
        <v>0</v>
      </c>
    </row>
    <row r="259" spans="1:23">
      <c r="A259" s="7" t="s">
        <v>504</v>
      </c>
      <c r="B259" s="321" t="s">
        <v>505</v>
      </c>
      <c r="C259" s="49">
        <v>0.106</v>
      </c>
      <c r="D259" s="49">
        <v>4.2000000000000003E-2</v>
      </c>
      <c r="E259" s="49">
        <v>5.3150000000000004</v>
      </c>
      <c r="F259" s="49">
        <v>4.4740000000000002</v>
      </c>
      <c r="G259" s="49">
        <v>3.6509999999999998</v>
      </c>
      <c r="H259" s="49">
        <v>5.1310000000000002</v>
      </c>
      <c r="I259" s="117">
        <v>5.1369999999999996</v>
      </c>
      <c r="J259" s="4">
        <v>42</v>
      </c>
      <c r="K259" s="4">
        <v>8</v>
      </c>
      <c r="L259" s="4" t="s">
        <v>248</v>
      </c>
      <c r="M259" s="321"/>
      <c r="O259" s="4" t="s">
        <v>108</v>
      </c>
      <c r="P259" s="10">
        <v>100</v>
      </c>
      <c r="Q259" s="5">
        <f t="shared" ref="Q259:Q260" si="125">+$P259/100*C259</f>
        <v>0.106</v>
      </c>
      <c r="R259" s="5">
        <f t="shared" ref="R259:R260" si="126">+$P259/100*D259</f>
        <v>4.2000000000000003E-2</v>
      </c>
      <c r="S259" s="5">
        <f t="shared" ref="S259:S260" si="127">+$P259/100*E259</f>
        <v>5.3150000000000004</v>
      </c>
      <c r="T259" s="5">
        <f t="shared" ref="T259:T260" si="128">+$P259/100*F259</f>
        <v>4.4740000000000002</v>
      </c>
      <c r="U259" s="5">
        <f t="shared" ref="U259:U260" si="129">+$P259/100*G259</f>
        <v>3.6509999999999998</v>
      </c>
      <c r="V259" s="5">
        <f t="shared" ref="V259:V260" si="130">+$P259/100*H259</f>
        <v>5.1310000000000002</v>
      </c>
      <c r="W259" s="5">
        <f t="shared" ref="W259:W260" si="131">+$P259/100*I259</f>
        <v>5.1369999999999996</v>
      </c>
    </row>
    <row r="260" spans="1:23">
      <c r="A260" s="7" t="s">
        <v>506</v>
      </c>
      <c r="B260" s="4" t="s">
        <v>507</v>
      </c>
      <c r="C260" s="49">
        <v>2.5409999999999999</v>
      </c>
      <c r="D260" s="49">
        <v>2.1890000000000001</v>
      </c>
      <c r="E260" s="49">
        <v>4.9610000000000003</v>
      </c>
      <c r="F260" s="49">
        <v>4.984</v>
      </c>
      <c r="G260" s="49">
        <v>4.6210000000000004</v>
      </c>
      <c r="H260" s="49">
        <v>3.2229999999999999</v>
      </c>
      <c r="I260" s="117">
        <v>3.633</v>
      </c>
      <c r="J260" s="4">
        <v>41</v>
      </c>
      <c r="K260" s="4">
        <v>6</v>
      </c>
      <c r="L260" s="4" t="s">
        <v>189</v>
      </c>
      <c r="M260" s="4" t="s">
        <v>97</v>
      </c>
      <c r="O260" s="4" t="s">
        <v>108</v>
      </c>
      <c r="P260" s="10">
        <v>100</v>
      </c>
      <c r="Q260" s="5">
        <f t="shared" si="125"/>
        <v>2.5409999999999999</v>
      </c>
      <c r="R260" s="5">
        <f t="shared" si="126"/>
        <v>2.1890000000000001</v>
      </c>
      <c r="S260" s="5">
        <f t="shared" si="127"/>
        <v>4.9610000000000003</v>
      </c>
      <c r="T260" s="5">
        <f t="shared" si="128"/>
        <v>4.984</v>
      </c>
      <c r="U260" s="5">
        <f t="shared" si="129"/>
        <v>4.6210000000000004</v>
      </c>
      <c r="V260" s="5">
        <f t="shared" si="130"/>
        <v>3.2229999999999999</v>
      </c>
      <c r="W260" s="5">
        <f t="shared" si="131"/>
        <v>3.633</v>
      </c>
    </row>
    <row r="261" spans="1:23" s="86" customFormat="1" ht="14.4">
      <c r="A261" s="3"/>
      <c r="B261" s="3" t="s">
        <v>508</v>
      </c>
      <c r="C261" s="9">
        <f t="shared" ref="C261:I261" si="132">SUM(C222:C260)</f>
        <v>306.79116497000001</v>
      </c>
      <c r="D261" s="9">
        <f t="shared" si="132"/>
        <v>343.56099999999992</v>
      </c>
      <c r="E261" s="9">
        <f t="shared" si="132"/>
        <v>374.505</v>
      </c>
      <c r="F261" s="9">
        <f t="shared" si="132"/>
        <v>388.66900000000004</v>
      </c>
      <c r="G261" s="9">
        <f t="shared" si="132"/>
        <v>376.83799999999991</v>
      </c>
      <c r="H261" s="9">
        <f t="shared" si="132"/>
        <v>388.7290000000001</v>
      </c>
      <c r="I261" s="9">
        <f t="shared" si="132"/>
        <v>350.45799999999997</v>
      </c>
      <c r="J261" s="3"/>
      <c r="K261" s="3"/>
      <c r="L261" s="4"/>
      <c r="M261" s="4"/>
      <c r="N261" s="4"/>
      <c r="O261" s="4"/>
      <c r="P261" s="10"/>
      <c r="Q261" s="52">
        <f t="shared" ref="Q261:W261" si="133">SUM(Q222:Q260)</f>
        <v>139.60652299400002</v>
      </c>
      <c r="R261" s="52">
        <f t="shared" si="133"/>
        <v>148.28303000000005</v>
      </c>
      <c r="S261" s="52">
        <f t="shared" si="133"/>
        <v>178.73953000000003</v>
      </c>
      <c r="T261" s="52">
        <f t="shared" si="133"/>
        <v>170.87738000000002</v>
      </c>
      <c r="U261" s="52">
        <f t="shared" si="133"/>
        <v>168.53486000000004</v>
      </c>
      <c r="V261" s="52">
        <f t="shared" si="133"/>
        <v>157.32365999999999</v>
      </c>
      <c r="W261" s="52">
        <f t="shared" si="133"/>
        <v>144.60582999999997</v>
      </c>
    </row>
    <row r="262" spans="1:23" s="14" customFormat="1" ht="14.4">
      <c r="A262" s="4"/>
      <c r="B262" s="49"/>
      <c r="C262" s="49"/>
      <c r="D262" s="49"/>
      <c r="E262" s="49"/>
      <c r="F262" s="49"/>
      <c r="G262" s="49"/>
      <c r="H262" s="49"/>
      <c r="I262" s="49"/>
      <c r="J262" s="4"/>
      <c r="K262" s="4"/>
      <c r="L262" s="17"/>
      <c r="M262" s="29"/>
      <c r="N262" s="29"/>
      <c r="O262" s="29"/>
      <c r="P262" s="29"/>
      <c r="Q262" s="5"/>
      <c r="R262" s="5"/>
      <c r="S262" s="5"/>
      <c r="T262" s="5"/>
      <c r="U262" s="5"/>
      <c r="V262" s="5"/>
      <c r="W262" s="5"/>
    </row>
    <row r="263" spans="1:23" ht="14.4">
      <c r="A263" s="24"/>
      <c r="B263" s="21" t="s">
        <v>509</v>
      </c>
      <c r="C263" s="50"/>
      <c r="D263" s="50"/>
      <c r="E263" s="50"/>
      <c r="F263" s="50"/>
      <c r="G263" s="50"/>
      <c r="H263" s="50"/>
      <c r="I263" s="50"/>
      <c r="J263" s="21"/>
      <c r="K263" s="23"/>
      <c r="L263" s="70"/>
      <c r="M263" s="21"/>
      <c r="N263" s="21"/>
      <c r="O263" s="21"/>
      <c r="P263" s="21" t="s">
        <v>509</v>
      </c>
      <c r="Q263" s="192"/>
      <c r="R263" s="192"/>
      <c r="S263" s="192"/>
      <c r="T263" s="192"/>
      <c r="U263" s="192"/>
      <c r="V263" s="192"/>
      <c r="W263" s="192"/>
    </row>
    <row r="264" spans="1:23">
      <c r="A264" s="4">
        <v>1</v>
      </c>
      <c r="B264" s="321" t="s">
        <v>510</v>
      </c>
      <c r="C264" s="49">
        <v>5.0270000000000001</v>
      </c>
      <c r="D264" s="49">
        <v>5.3639999999999999</v>
      </c>
      <c r="E264" s="49">
        <v>4.875</v>
      </c>
      <c r="F264" s="49">
        <v>4.875</v>
      </c>
      <c r="G264" s="49">
        <v>4.875</v>
      </c>
      <c r="H264" s="49">
        <v>4.875</v>
      </c>
      <c r="I264" s="49">
        <v>4.875</v>
      </c>
      <c r="J264" s="125"/>
      <c r="K264" s="4">
        <v>7</v>
      </c>
      <c r="L264" s="72" t="s">
        <v>174</v>
      </c>
      <c r="M264" s="72" t="s">
        <v>274</v>
      </c>
      <c r="N264" s="72"/>
      <c r="O264" s="4" t="s">
        <v>130</v>
      </c>
      <c r="Q264" s="5">
        <f t="shared" ref="Q264:Q271" si="134">+$P264/100*C264</f>
        <v>0</v>
      </c>
      <c r="R264" s="5">
        <f t="shared" ref="R264:R271" si="135">+$P264/100*D264</f>
        <v>0</v>
      </c>
      <c r="S264" s="5">
        <f t="shared" ref="S264:S271" si="136">+$P264/100*E264</f>
        <v>0</v>
      </c>
      <c r="T264" s="5">
        <f t="shared" ref="T264:T271" si="137">+$P264/100*F264</f>
        <v>0</v>
      </c>
      <c r="U264" s="5">
        <f t="shared" ref="U264:U271" si="138">+$P264/100*G264</f>
        <v>0</v>
      </c>
      <c r="V264" s="5">
        <f t="shared" ref="V264:V271" si="139">+$P264/100*H264</f>
        <v>0</v>
      </c>
      <c r="W264" s="5">
        <f t="shared" ref="W264:W271" si="140">+$P264/100*I264</f>
        <v>0</v>
      </c>
    </row>
    <row r="265" spans="1:23">
      <c r="A265" s="4">
        <v>1</v>
      </c>
      <c r="B265" s="321" t="s">
        <v>511</v>
      </c>
      <c r="C265" s="49">
        <v>0</v>
      </c>
      <c r="D265" s="49">
        <v>0.129</v>
      </c>
      <c r="E265" s="49">
        <v>4.0750000000000002</v>
      </c>
      <c r="F265" s="49">
        <v>4.0750000000000002</v>
      </c>
      <c r="G265" s="49">
        <v>4.0750000000000002</v>
      </c>
      <c r="H265" s="49">
        <v>4.0750000000000002</v>
      </c>
      <c r="I265" s="49">
        <v>4.0750000000000002</v>
      </c>
      <c r="J265" s="125"/>
      <c r="K265" s="4">
        <v>7</v>
      </c>
      <c r="L265" s="72" t="s">
        <v>174</v>
      </c>
      <c r="M265" s="4" t="s">
        <v>320</v>
      </c>
      <c r="O265" s="4" t="s">
        <v>130</v>
      </c>
      <c r="Q265" s="5">
        <f t="shared" si="134"/>
        <v>0</v>
      </c>
      <c r="R265" s="5">
        <f t="shared" si="135"/>
        <v>0</v>
      </c>
      <c r="S265" s="5">
        <f t="shared" si="136"/>
        <v>0</v>
      </c>
      <c r="T265" s="5">
        <f t="shared" si="137"/>
        <v>0</v>
      </c>
      <c r="U265" s="5">
        <f t="shared" si="138"/>
        <v>0</v>
      </c>
      <c r="V265" s="5">
        <f t="shared" si="139"/>
        <v>0</v>
      </c>
      <c r="W265" s="5">
        <f t="shared" si="140"/>
        <v>0</v>
      </c>
    </row>
    <row r="266" spans="1:23">
      <c r="A266" s="4">
        <v>1</v>
      </c>
      <c r="B266" s="4" t="s">
        <v>512</v>
      </c>
      <c r="C266" s="49">
        <v>4.0940000000000003</v>
      </c>
      <c r="D266" s="49">
        <v>3.2730000000000001</v>
      </c>
      <c r="E266" s="49">
        <v>3.4729999999999999</v>
      </c>
      <c r="F266" s="49">
        <v>3.5840000000000001</v>
      </c>
      <c r="G266" s="49">
        <v>3.5209999999999999</v>
      </c>
      <c r="H266" s="49">
        <v>3.5209999999999999</v>
      </c>
      <c r="I266" s="49">
        <v>3.5209999999999999</v>
      </c>
      <c r="J266" s="125">
        <v>100</v>
      </c>
      <c r="K266" s="4">
        <v>11</v>
      </c>
      <c r="L266" s="72" t="s">
        <v>91</v>
      </c>
      <c r="M266" s="4" t="s">
        <v>513</v>
      </c>
      <c r="O266" s="4" t="s">
        <v>108</v>
      </c>
      <c r="P266" s="10">
        <v>0</v>
      </c>
      <c r="Q266" s="5">
        <f t="shared" si="134"/>
        <v>0</v>
      </c>
      <c r="R266" s="5">
        <f t="shared" si="135"/>
        <v>0</v>
      </c>
      <c r="S266" s="5">
        <f t="shared" si="136"/>
        <v>0</v>
      </c>
      <c r="T266" s="5">
        <f t="shared" si="137"/>
        <v>0</v>
      </c>
      <c r="U266" s="5">
        <f t="shared" si="138"/>
        <v>0</v>
      </c>
      <c r="V266" s="5">
        <f t="shared" si="139"/>
        <v>0</v>
      </c>
      <c r="W266" s="5">
        <f t="shared" si="140"/>
        <v>0</v>
      </c>
    </row>
    <row r="267" spans="1:23">
      <c r="A267" s="4">
        <v>2</v>
      </c>
      <c r="B267" s="4" t="s">
        <v>514</v>
      </c>
      <c r="C267" s="49">
        <v>1.6439999999999999</v>
      </c>
      <c r="D267" s="49">
        <v>2.0710000000000002</v>
      </c>
      <c r="E267" s="49">
        <v>1.6579999999999999</v>
      </c>
      <c r="F267" s="49">
        <v>1.6519999999999999</v>
      </c>
      <c r="G267" s="49">
        <v>1.552</v>
      </c>
      <c r="H267" s="49">
        <v>1.3520000000000001</v>
      </c>
      <c r="I267" s="49">
        <v>1.3520000000000001</v>
      </c>
      <c r="J267" s="125">
        <v>100</v>
      </c>
      <c r="K267" s="4">
        <v>11</v>
      </c>
      <c r="L267" s="72" t="s">
        <v>91</v>
      </c>
      <c r="M267" s="4" t="s">
        <v>515</v>
      </c>
      <c r="O267" s="4" t="s">
        <v>108</v>
      </c>
      <c r="P267" s="10">
        <v>0</v>
      </c>
      <c r="Q267" s="5">
        <f t="shared" si="134"/>
        <v>0</v>
      </c>
      <c r="R267" s="5">
        <f t="shared" si="135"/>
        <v>0</v>
      </c>
      <c r="S267" s="5">
        <f t="shared" si="136"/>
        <v>0</v>
      </c>
      <c r="T267" s="5">
        <f t="shared" si="137"/>
        <v>0</v>
      </c>
      <c r="U267" s="5">
        <f t="shared" si="138"/>
        <v>0</v>
      </c>
      <c r="V267" s="5">
        <f t="shared" si="139"/>
        <v>0</v>
      </c>
      <c r="W267" s="5">
        <f t="shared" si="140"/>
        <v>0</v>
      </c>
    </row>
    <row r="268" spans="1:23">
      <c r="A268" s="4">
        <v>2</v>
      </c>
      <c r="B268" s="4" t="s">
        <v>514</v>
      </c>
      <c r="C268" s="49">
        <v>0.48199999999999998</v>
      </c>
      <c r="D268" s="49">
        <v>0.44700000000000001</v>
      </c>
      <c r="E268" s="49">
        <v>0.54700000000000004</v>
      </c>
      <c r="F268" s="49">
        <v>2.6190000000000002</v>
      </c>
      <c r="G268" s="49">
        <v>1.712</v>
      </c>
      <c r="H268" s="49">
        <v>1.71</v>
      </c>
      <c r="I268" s="49">
        <v>1.6819999999999999</v>
      </c>
      <c r="J268" s="125">
        <v>100</v>
      </c>
      <c r="K268" s="4">
        <v>11</v>
      </c>
      <c r="L268" s="72" t="s">
        <v>91</v>
      </c>
      <c r="M268" s="4" t="s">
        <v>516</v>
      </c>
      <c r="O268" s="4" t="s">
        <v>108</v>
      </c>
      <c r="P268" s="10">
        <v>0</v>
      </c>
      <c r="Q268" s="5">
        <f t="shared" ref="Q268" si="141">+$P268/100*C268</f>
        <v>0</v>
      </c>
      <c r="R268" s="5">
        <f t="shared" ref="R268" si="142">+$P268/100*D268</f>
        <v>0</v>
      </c>
      <c r="S268" s="5">
        <f t="shared" ref="S268" si="143">+$P268/100*E268</f>
        <v>0</v>
      </c>
      <c r="T268" s="5">
        <f t="shared" ref="T268" si="144">+$P268/100*F268</f>
        <v>0</v>
      </c>
      <c r="U268" s="5">
        <f t="shared" ref="U268" si="145">+$P268/100*G268</f>
        <v>0</v>
      </c>
      <c r="V268" s="5">
        <f t="shared" ref="V268" si="146">+$P268/100*H268</f>
        <v>0</v>
      </c>
      <c r="W268" s="5">
        <f t="shared" ref="W268" si="147">+$P268/100*I268</f>
        <v>0</v>
      </c>
    </row>
    <row r="269" spans="1:23">
      <c r="A269" s="4">
        <v>7</v>
      </c>
      <c r="B269" s="4" t="s">
        <v>517</v>
      </c>
      <c r="C269" s="49">
        <v>1.5409999999999999</v>
      </c>
      <c r="D269" s="49">
        <v>2</v>
      </c>
      <c r="E269" s="49">
        <v>1.8</v>
      </c>
      <c r="F269" s="49">
        <v>1.8</v>
      </c>
      <c r="G269" s="49">
        <v>1.8</v>
      </c>
      <c r="H269" s="49">
        <v>1.8</v>
      </c>
      <c r="I269" s="49">
        <v>1.8</v>
      </c>
      <c r="J269" s="125">
        <v>100</v>
      </c>
      <c r="K269" s="4">
        <v>11</v>
      </c>
      <c r="L269" s="72" t="s">
        <v>91</v>
      </c>
      <c r="M269" s="4" t="s">
        <v>516</v>
      </c>
      <c r="O269" s="4" t="s">
        <v>108</v>
      </c>
      <c r="P269" s="10">
        <v>0</v>
      </c>
      <c r="Q269" s="5">
        <f t="shared" si="134"/>
        <v>0</v>
      </c>
      <c r="R269" s="5">
        <f t="shared" si="135"/>
        <v>0</v>
      </c>
      <c r="S269" s="5">
        <f t="shared" si="136"/>
        <v>0</v>
      </c>
      <c r="T269" s="5">
        <f t="shared" si="137"/>
        <v>0</v>
      </c>
      <c r="U269" s="5">
        <f t="shared" si="138"/>
        <v>0</v>
      </c>
      <c r="V269" s="5">
        <f t="shared" si="139"/>
        <v>0</v>
      </c>
      <c r="W269" s="5">
        <f t="shared" si="140"/>
        <v>0</v>
      </c>
    </row>
    <row r="270" spans="1:23">
      <c r="A270" s="4">
        <v>8</v>
      </c>
      <c r="B270" s="4" t="s">
        <v>518</v>
      </c>
      <c r="C270" s="49">
        <v>1.036</v>
      </c>
      <c r="D270" s="49">
        <v>0.78200000000000003</v>
      </c>
      <c r="E270" s="49">
        <v>0.50700000000000001</v>
      </c>
      <c r="F270" s="49">
        <v>0.50700000000000001</v>
      </c>
      <c r="G270" s="49">
        <v>0.50700000000000001</v>
      </c>
      <c r="H270" s="49">
        <v>0.50700000000000001</v>
      </c>
      <c r="I270" s="49">
        <v>0.50700000000000001</v>
      </c>
      <c r="J270" s="125">
        <v>100</v>
      </c>
      <c r="K270" s="4">
        <v>11</v>
      </c>
      <c r="L270" s="72" t="s">
        <v>91</v>
      </c>
      <c r="M270" s="4" t="s">
        <v>519</v>
      </c>
      <c r="O270" s="4" t="s">
        <v>108</v>
      </c>
      <c r="P270" s="10">
        <v>0</v>
      </c>
      <c r="Q270" s="5">
        <f t="shared" si="134"/>
        <v>0</v>
      </c>
      <c r="R270" s="5">
        <f t="shared" si="135"/>
        <v>0</v>
      </c>
      <c r="S270" s="5">
        <f t="shared" si="136"/>
        <v>0</v>
      </c>
      <c r="T270" s="5">
        <f t="shared" si="137"/>
        <v>0</v>
      </c>
      <c r="U270" s="5">
        <f t="shared" si="138"/>
        <v>0</v>
      </c>
      <c r="V270" s="5">
        <f t="shared" si="139"/>
        <v>0</v>
      </c>
      <c r="W270" s="5">
        <f t="shared" si="140"/>
        <v>0</v>
      </c>
    </row>
    <row r="271" spans="1:23" s="3" customFormat="1" ht="14.4">
      <c r="A271" s="4">
        <v>13</v>
      </c>
      <c r="B271" s="4" t="s">
        <v>520</v>
      </c>
      <c r="C271" s="49">
        <v>0.625</v>
      </c>
      <c r="D271" s="49">
        <v>0.5</v>
      </c>
      <c r="E271" s="49">
        <v>0.5</v>
      </c>
      <c r="F271" s="49">
        <v>0.3</v>
      </c>
      <c r="G271" s="49">
        <v>0.35</v>
      </c>
      <c r="H271" s="49">
        <v>0.4</v>
      </c>
      <c r="I271" s="49">
        <v>0.4</v>
      </c>
      <c r="J271" s="125">
        <v>100</v>
      </c>
      <c r="K271" s="4">
        <v>11</v>
      </c>
      <c r="L271" s="72" t="s">
        <v>91</v>
      </c>
      <c r="M271" s="4" t="s">
        <v>521</v>
      </c>
      <c r="N271" s="4"/>
      <c r="O271" s="4" t="s">
        <v>108</v>
      </c>
      <c r="P271" s="10">
        <v>0</v>
      </c>
      <c r="Q271" s="5">
        <f t="shared" si="134"/>
        <v>0</v>
      </c>
      <c r="R271" s="5">
        <f t="shared" si="135"/>
        <v>0</v>
      </c>
      <c r="S271" s="5">
        <f t="shared" si="136"/>
        <v>0</v>
      </c>
      <c r="T271" s="5">
        <f t="shared" si="137"/>
        <v>0</v>
      </c>
      <c r="U271" s="5">
        <f t="shared" si="138"/>
        <v>0</v>
      </c>
      <c r="V271" s="5">
        <f t="shared" si="139"/>
        <v>0</v>
      </c>
      <c r="W271" s="5">
        <f t="shared" si="140"/>
        <v>0</v>
      </c>
    </row>
    <row r="272" spans="1:23" ht="14.4">
      <c r="A272" s="3"/>
      <c r="B272" s="3" t="s">
        <v>522</v>
      </c>
      <c r="C272" s="9">
        <f>SUM(C264:C271)</f>
        <v>14.449</v>
      </c>
      <c r="D272" s="9">
        <f>SUM(D264:D271)</f>
        <v>14.565999999999999</v>
      </c>
      <c r="E272" s="9">
        <f t="shared" ref="E272:I272" si="148">SUM(E264:E271)</f>
        <v>17.434999999999999</v>
      </c>
      <c r="F272" s="9">
        <f t="shared" si="148"/>
        <v>19.412000000000003</v>
      </c>
      <c r="G272" s="9">
        <f t="shared" si="148"/>
        <v>18.392000000000003</v>
      </c>
      <c r="H272" s="9">
        <f t="shared" si="148"/>
        <v>18.240000000000002</v>
      </c>
      <c r="I272" s="9">
        <f t="shared" si="148"/>
        <v>18.212</v>
      </c>
      <c r="J272" s="3"/>
      <c r="K272" s="3"/>
      <c r="Q272" s="52">
        <f>SUM(Q264:Q271)</f>
        <v>0</v>
      </c>
      <c r="R272" s="52">
        <f t="shared" ref="R272:W272" si="149">SUM(R264:R271)</f>
        <v>0</v>
      </c>
      <c r="S272" s="52">
        <f t="shared" si="149"/>
        <v>0</v>
      </c>
      <c r="T272" s="52">
        <f t="shared" si="149"/>
        <v>0</v>
      </c>
      <c r="U272" s="52">
        <f t="shared" si="149"/>
        <v>0</v>
      </c>
      <c r="V272" s="52">
        <f t="shared" si="149"/>
        <v>0</v>
      </c>
      <c r="W272" s="52">
        <f t="shared" si="149"/>
        <v>0</v>
      </c>
    </row>
    <row r="273" spans="1:23" s="14" customFormat="1" ht="14.4">
      <c r="A273" s="4"/>
      <c r="B273" s="4"/>
      <c r="C273" s="49"/>
      <c r="D273" s="49"/>
      <c r="E273" s="49"/>
      <c r="F273" s="49"/>
      <c r="G273" s="49"/>
      <c r="H273" s="49"/>
      <c r="I273" s="49"/>
      <c r="J273" s="4"/>
      <c r="K273" s="4"/>
      <c r="L273" s="72"/>
      <c r="M273" s="230"/>
      <c r="N273" s="230"/>
      <c r="O273" s="230"/>
      <c r="P273" s="29"/>
      <c r="Q273" s="5"/>
      <c r="R273" s="5"/>
      <c r="S273" s="5"/>
      <c r="T273" s="5"/>
      <c r="U273" s="5"/>
      <c r="V273" s="5"/>
      <c r="W273" s="5"/>
    </row>
    <row r="274" spans="1:23" ht="14.4">
      <c r="A274" s="25"/>
      <c r="B274" s="21" t="s">
        <v>523</v>
      </c>
      <c r="C274" s="51"/>
      <c r="D274" s="51"/>
      <c r="E274" s="51"/>
      <c r="F274" s="51"/>
      <c r="G274" s="51"/>
      <c r="H274" s="51"/>
      <c r="I274" s="51"/>
      <c r="J274" s="25"/>
      <c r="K274" s="25"/>
      <c r="L274" s="71"/>
      <c r="M274" s="25"/>
      <c r="N274" s="25"/>
      <c r="O274" s="25"/>
      <c r="P274" s="21" t="s">
        <v>523</v>
      </c>
      <c r="Q274" s="192"/>
      <c r="R274" s="192"/>
      <c r="S274" s="192"/>
      <c r="T274" s="192"/>
      <c r="U274" s="192"/>
      <c r="V274" s="192"/>
      <c r="W274" s="192"/>
    </row>
    <row r="275" spans="1:23">
      <c r="A275" s="72" t="s">
        <v>524</v>
      </c>
      <c r="B275" s="249" t="s">
        <v>525</v>
      </c>
      <c r="C275" s="77">
        <v>0</v>
      </c>
      <c r="D275" s="77">
        <v>14.417</v>
      </c>
      <c r="E275" s="77">
        <v>12.468999999999999</v>
      </c>
      <c r="F275" s="77">
        <v>13.683</v>
      </c>
      <c r="G275" s="77">
        <v>13.601000000000001</v>
      </c>
      <c r="H275" s="77">
        <v>13.576000000000001</v>
      </c>
      <c r="I275" s="77">
        <v>14.397</v>
      </c>
      <c r="J275" s="78">
        <v>29.6</v>
      </c>
      <c r="K275" s="79">
        <v>7</v>
      </c>
      <c r="L275" s="72" t="s">
        <v>174</v>
      </c>
      <c r="M275" s="72" t="s">
        <v>526</v>
      </c>
      <c r="N275" s="72"/>
      <c r="O275" s="72" t="s">
        <v>108</v>
      </c>
      <c r="P275" s="5"/>
      <c r="Q275" s="5">
        <f t="shared" ref="Q275:Q285" si="150">$P275*C275/100</f>
        <v>0</v>
      </c>
      <c r="R275" s="5">
        <f t="shared" ref="R275:R285" si="151">$P275*D275/100</f>
        <v>0</v>
      </c>
      <c r="S275" s="5">
        <f t="shared" ref="S275:S285" si="152">$P275*E275/100</f>
        <v>0</v>
      </c>
      <c r="T275" s="5">
        <f t="shared" ref="T275:T286" si="153">$P275*F275/100</f>
        <v>0</v>
      </c>
      <c r="U275" s="5">
        <f t="shared" ref="U275:U285" si="154">$P275*G275/100</f>
        <v>0</v>
      </c>
      <c r="V275" s="5">
        <f t="shared" ref="V275:V285" si="155">$P275*H275/100</f>
        <v>0</v>
      </c>
      <c r="W275" s="5">
        <f t="shared" ref="W275:W285" si="156">$P275*I275/100</f>
        <v>0</v>
      </c>
    </row>
    <row r="276" spans="1:23">
      <c r="A276" s="72" t="s">
        <v>527</v>
      </c>
      <c r="B276" s="72" t="s">
        <v>528</v>
      </c>
      <c r="C276" s="77">
        <v>19.516999999999999</v>
      </c>
      <c r="D276" s="77">
        <v>20.044</v>
      </c>
      <c r="E276" s="77">
        <v>20.044</v>
      </c>
      <c r="F276" s="77">
        <v>20.044</v>
      </c>
      <c r="G276" s="77">
        <v>20.044</v>
      </c>
      <c r="H276" s="77">
        <v>20.044</v>
      </c>
      <c r="I276" s="77">
        <v>20.044</v>
      </c>
      <c r="J276" s="78">
        <v>7.7</v>
      </c>
      <c r="K276" s="79">
        <v>7</v>
      </c>
      <c r="L276" s="72" t="s">
        <v>174</v>
      </c>
      <c r="M276" s="72" t="s">
        <v>97</v>
      </c>
      <c r="N276" s="72"/>
      <c r="O276" s="72" t="s">
        <v>130</v>
      </c>
      <c r="P276" s="5"/>
      <c r="Q276" s="5">
        <f t="shared" si="150"/>
        <v>0</v>
      </c>
      <c r="R276" s="5">
        <f t="shared" si="151"/>
        <v>0</v>
      </c>
      <c r="S276" s="5">
        <f t="shared" si="152"/>
        <v>0</v>
      </c>
      <c r="T276" s="5">
        <f t="shared" si="153"/>
        <v>0</v>
      </c>
      <c r="U276" s="5">
        <f t="shared" si="154"/>
        <v>0</v>
      </c>
      <c r="V276" s="5">
        <f t="shared" si="155"/>
        <v>0</v>
      </c>
      <c r="W276" s="5">
        <f t="shared" si="156"/>
        <v>0</v>
      </c>
    </row>
    <row r="277" spans="1:23">
      <c r="A277" s="317" t="s">
        <v>527</v>
      </c>
      <c r="B277" s="317" t="s">
        <v>529</v>
      </c>
      <c r="C277" s="77">
        <v>11.3907405</v>
      </c>
      <c r="D277" s="77">
        <v>1.8578475000000001</v>
      </c>
      <c r="E277" s="77">
        <v>5.2253990000000003</v>
      </c>
      <c r="F277" s="77">
        <v>7.4779819999999999</v>
      </c>
      <c r="G277" s="77">
        <v>3.2663139999999999</v>
      </c>
      <c r="H277" s="77">
        <v>1.2927529999999998</v>
      </c>
      <c r="I277" s="77">
        <v>1.5738645</v>
      </c>
      <c r="J277" s="78">
        <v>50</v>
      </c>
      <c r="K277" s="79">
        <v>7</v>
      </c>
      <c r="L277" s="72" t="s">
        <v>174</v>
      </c>
      <c r="M277" s="72" t="s">
        <v>97</v>
      </c>
      <c r="N277" s="72"/>
      <c r="O277" s="72" t="s">
        <v>108</v>
      </c>
      <c r="P277" s="5">
        <v>100</v>
      </c>
      <c r="Q277" s="5">
        <f t="shared" si="150"/>
        <v>11.3907405</v>
      </c>
      <c r="R277" s="5">
        <f t="shared" si="151"/>
        <v>1.8578475000000001</v>
      </c>
      <c r="S277" s="5">
        <f t="shared" si="152"/>
        <v>5.2253989999999995</v>
      </c>
      <c r="T277" s="5">
        <f t="shared" si="153"/>
        <v>7.4779819999999999</v>
      </c>
      <c r="U277" s="5">
        <f t="shared" si="154"/>
        <v>3.2663139999999999</v>
      </c>
      <c r="V277" s="5">
        <f t="shared" si="155"/>
        <v>1.2927529999999998</v>
      </c>
      <c r="W277" s="5">
        <f t="shared" si="156"/>
        <v>1.5738645</v>
      </c>
    </row>
    <row r="278" spans="1:23">
      <c r="A278" s="317" t="s">
        <v>527</v>
      </c>
      <c r="B278" s="317" t="s">
        <v>530</v>
      </c>
      <c r="C278" s="77">
        <v>3.0575348</v>
      </c>
      <c r="D278" s="77">
        <v>6.055910110000001</v>
      </c>
      <c r="E278" s="77">
        <v>5.869198850000001</v>
      </c>
      <c r="F278" s="77">
        <v>5.2747604599999995</v>
      </c>
      <c r="G278" s="77">
        <v>5.0586100800000002</v>
      </c>
      <c r="H278" s="77">
        <v>2.40710632</v>
      </c>
      <c r="I278" s="77">
        <v>2.1227369999999999</v>
      </c>
      <c r="J278" s="78">
        <v>0</v>
      </c>
      <c r="K278" s="79">
        <v>7</v>
      </c>
      <c r="L278" s="72" t="s">
        <v>174</v>
      </c>
      <c r="M278" s="72" t="s">
        <v>97</v>
      </c>
      <c r="N278" s="72"/>
      <c r="O278" s="72" t="s">
        <v>108</v>
      </c>
      <c r="P278" s="5">
        <v>100</v>
      </c>
      <c r="Q278" s="5">
        <f t="shared" si="150"/>
        <v>3.0575348000000004</v>
      </c>
      <c r="R278" s="5">
        <f t="shared" si="151"/>
        <v>6.055910110000001</v>
      </c>
      <c r="S278" s="5">
        <f t="shared" si="152"/>
        <v>5.869198850000001</v>
      </c>
      <c r="T278" s="5">
        <f t="shared" si="153"/>
        <v>5.2747604599999995</v>
      </c>
      <c r="U278" s="5">
        <f t="shared" si="154"/>
        <v>5.0586100800000002</v>
      </c>
      <c r="V278" s="5">
        <f t="shared" si="155"/>
        <v>2.40710632</v>
      </c>
      <c r="W278" s="5">
        <f t="shared" si="156"/>
        <v>2.1227369999999999</v>
      </c>
    </row>
    <row r="279" spans="1:23">
      <c r="A279" s="317" t="s">
        <v>531</v>
      </c>
      <c r="B279" s="317" t="s">
        <v>532</v>
      </c>
      <c r="C279" s="77">
        <v>7.5830000000000002</v>
      </c>
      <c r="D279" s="77">
        <v>8.2520000000000007</v>
      </c>
      <c r="E279" s="77">
        <v>7.2110000000000003</v>
      </c>
      <c r="F279" s="77">
        <v>6.4290000000000003</v>
      </c>
      <c r="G279" s="77">
        <v>6.0739999999999998</v>
      </c>
      <c r="H279" s="77">
        <v>6.0570000000000004</v>
      </c>
      <c r="I279" s="77">
        <v>6.0570000000000004</v>
      </c>
      <c r="J279" s="78">
        <v>11.9</v>
      </c>
      <c r="K279" s="79">
        <v>7</v>
      </c>
      <c r="L279" s="72" t="s">
        <v>174</v>
      </c>
      <c r="M279" s="72" t="s">
        <v>97</v>
      </c>
      <c r="N279" s="72"/>
      <c r="O279" s="72" t="s">
        <v>130</v>
      </c>
      <c r="P279" s="5"/>
      <c r="Q279" s="5">
        <f t="shared" si="150"/>
        <v>0</v>
      </c>
      <c r="R279" s="5">
        <f t="shared" si="151"/>
        <v>0</v>
      </c>
      <c r="S279" s="5">
        <f t="shared" si="152"/>
        <v>0</v>
      </c>
      <c r="T279" s="5">
        <f t="shared" si="153"/>
        <v>0</v>
      </c>
      <c r="U279" s="5">
        <f t="shared" si="154"/>
        <v>0</v>
      </c>
      <c r="V279" s="5">
        <f t="shared" si="155"/>
        <v>0</v>
      </c>
      <c r="W279" s="5">
        <f t="shared" si="156"/>
        <v>0</v>
      </c>
    </row>
    <row r="280" spans="1:23">
      <c r="A280" s="317" t="s">
        <v>533</v>
      </c>
      <c r="B280" s="317" t="s">
        <v>534</v>
      </c>
      <c r="C280" s="77">
        <v>29.9</v>
      </c>
      <c r="D280" s="77">
        <v>32.582000000000001</v>
      </c>
      <c r="E280" s="77">
        <v>31.5</v>
      </c>
      <c r="F280" s="77">
        <v>10.679</v>
      </c>
      <c r="G280" s="77">
        <v>6.7969999999999997</v>
      </c>
      <c r="H280" s="77">
        <v>4.2969999999999997</v>
      </c>
      <c r="I280" s="77">
        <v>4.2969999999999997</v>
      </c>
      <c r="J280" s="78">
        <v>36</v>
      </c>
      <c r="K280" s="79">
        <v>7</v>
      </c>
      <c r="L280" s="72" t="s">
        <v>174</v>
      </c>
      <c r="M280" s="72" t="s">
        <v>97</v>
      </c>
      <c r="N280" s="72"/>
      <c r="O280" s="72" t="s">
        <v>130</v>
      </c>
      <c r="P280" s="5"/>
      <c r="Q280" s="5">
        <f t="shared" si="150"/>
        <v>0</v>
      </c>
      <c r="R280" s="5">
        <f t="shared" si="151"/>
        <v>0</v>
      </c>
      <c r="S280" s="5">
        <f t="shared" si="152"/>
        <v>0</v>
      </c>
      <c r="T280" s="5">
        <f t="shared" si="153"/>
        <v>0</v>
      </c>
      <c r="U280" s="5">
        <f t="shared" si="154"/>
        <v>0</v>
      </c>
      <c r="V280" s="5">
        <f t="shared" si="155"/>
        <v>0</v>
      </c>
      <c r="W280" s="5">
        <f t="shared" si="156"/>
        <v>0</v>
      </c>
    </row>
    <row r="281" spans="1:23">
      <c r="A281" s="317" t="s">
        <v>535</v>
      </c>
      <c r="B281" s="317" t="s">
        <v>536</v>
      </c>
      <c r="C281" s="77">
        <v>428.029</v>
      </c>
      <c r="D281" s="77">
        <v>422.82100000000003</v>
      </c>
      <c r="E281" s="77">
        <v>401.72399999999999</v>
      </c>
      <c r="F281" s="77">
        <v>319.34899999999999</v>
      </c>
      <c r="G281" s="77">
        <v>277.15899999999999</v>
      </c>
      <c r="H281" s="77">
        <v>208.965</v>
      </c>
      <c r="I281" s="77">
        <v>172.357</v>
      </c>
      <c r="J281" s="78">
        <v>95.1</v>
      </c>
      <c r="K281" s="79">
        <v>7</v>
      </c>
      <c r="L281" s="72" t="s">
        <v>174</v>
      </c>
      <c r="M281" s="72" t="s">
        <v>97</v>
      </c>
      <c r="N281" s="72"/>
      <c r="O281" s="72" t="s">
        <v>108</v>
      </c>
      <c r="P281" s="5"/>
      <c r="Q281" s="5">
        <f t="shared" si="150"/>
        <v>0</v>
      </c>
      <c r="R281" s="5">
        <f t="shared" si="151"/>
        <v>0</v>
      </c>
      <c r="S281" s="5">
        <f t="shared" si="152"/>
        <v>0</v>
      </c>
      <c r="T281" s="5">
        <f t="shared" si="153"/>
        <v>0</v>
      </c>
      <c r="U281" s="5">
        <f t="shared" si="154"/>
        <v>0</v>
      </c>
      <c r="V281" s="5">
        <f t="shared" si="155"/>
        <v>0</v>
      </c>
      <c r="W281" s="5">
        <f t="shared" si="156"/>
        <v>0</v>
      </c>
    </row>
    <row r="282" spans="1:23">
      <c r="A282" s="317" t="s">
        <v>537</v>
      </c>
      <c r="B282" s="317" t="s">
        <v>538</v>
      </c>
      <c r="C282" s="77">
        <v>0.5</v>
      </c>
      <c r="D282" s="77">
        <v>0.1</v>
      </c>
      <c r="E282" s="77">
        <v>0.1</v>
      </c>
      <c r="F282" s="77">
        <v>3.6</v>
      </c>
      <c r="G282" s="77">
        <v>3.3</v>
      </c>
      <c r="H282" s="77">
        <v>3.3</v>
      </c>
      <c r="I282" s="77">
        <v>3.3</v>
      </c>
      <c r="J282" s="78">
        <v>0.1</v>
      </c>
      <c r="K282" s="79">
        <v>7</v>
      </c>
      <c r="L282" s="72" t="s">
        <v>174</v>
      </c>
      <c r="M282" s="72" t="s">
        <v>93</v>
      </c>
      <c r="N282" s="72"/>
      <c r="O282" s="72" t="s">
        <v>108</v>
      </c>
      <c r="Q282" s="5">
        <f t="shared" si="150"/>
        <v>0</v>
      </c>
      <c r="R282" s="5">
        <f t="shared" si="151"/>
        <v>0</v>
      </c>
      <c r="S282" s="5">
        <f t="shared" si="152"/>
        <v>0</v>
      </c>
      <c r="T282" s="5">
        <f t="shared" si="153"/>
        <v>0</v>
      </c>
      <c r="U282" s="5">
        <f t="shared" si="154"/>
        <v>0</v>
      </c>
      <c r="V282" s="5">
        <f t="shared" si="155"/>
        <v>0</v>
      </c>
      <c r="W282" s="5">
        <f t="shared" si="156"/>
        <v>0</v>
      </c>
    </row>
    <row r="283" spans="1:23">
      <c r="A283" s="317" t="s">
        <v>539</v>
      </c>
      <c r="B283" s="317" t="s">
        <v>540</v>
      </c>
      <c r="C283" s="77">
        <v>17.45</v>
      </c>
      <c r="D283" s="77">
        <v>17.22</v>
      </c>
      <c r="E283" s="77">
        <v>17.22</v>
      </c>
      <c r="F283" s="77">
        <v>17.22</v>
      </c>
      <c r="G283" s="77">
        <v>17.22</v>
      </c>
      <c r="H283" s="77">
        <v>17.22</v>
      </c>
      <c r="I283" s="77">
        <v>17.22</v>
      </c>
      <c r="J283" s="78">
        <v>63.9</v>
      </c>
      <c r="K283" s="79" t="s">
        <v>541</v>
      </c>
      <c r="L283" s="72" t="s">
        <v>133</v>
      </c>
      <c r="M283" s="72" t="s">
        <v>274</v>
      </c>
      <c r="N283" s="72"/>
      <c r="O283" s="72" t="s">
        <v>130</v>
      </c>
      <c r="P283" s="5"/>
      <c r="Q283" s="5">
        <f t="shared" si="150"/>
        <v>0</v>
      </c>
      <c r="R283" s="5">
        <f t="shared" si="151"/>
        <v>0</v>
      </c>
      <c r="S283" s="5">
        <f t="shared" si="152"/>
        <v>0</v>
      </c>
      <c r="T283" s="5">
        <f t="shared" si="153"/>
        <v>0</v>
      </c>
      <c r="U283" s="5">
        <f t="shared" si="154"/>
        <v>0</v>
      </c>
      <c r="V283" s="5">
        <f t="shared" si="155"/>
        <v>0</v>
      </c>
      <c r="W283" s="5">
        <f t="shared" si="156"/>
        <v>0</v>
      </c>
    </row>
    <row r="284" spans="1:23">
      <c r="A284" s="317" t="s">
        <v>542</v>
      </c>
      <c r="B284" s="317" t="s">
        <v>543</v>
      </c>
      <c r="C284" s="77">
        <v>0</v>
      </c>
      <c r="D284" s="77">
        <v>49.046999999999997</v>
      </c>
      <c r="E284" s="77">
        <v>47.429000000000002</v>
      </c>
      <c r="F284" s="77">
        <v>51.218000000000004</v>
      </c>
      <c r="G284" s="77">
        <v>45.286999999999999</v>
      </c>
      <c r="H284" s="77">
        <v>45.390999999999998</v>
      </c>
      <c r="I284" s="77">
        <v>45.423000000000002</v>
      </c>
      <c r="J284" s="78">
        <v>100</v>
      </c>
      <c r="K284" s="79">
        <v>7</v>
      </c>
      <c r="L284" s="72" t="s">
        <v>174</v>
      </c>
      <c r="M284" s="72" t="s">
        <v>97</v>
      </c>
      <c r="N284" s="72"/>
      <c r="O284" s="72" t="s">
        <v>108</v>
      </c>
      <c r="P284" s="5"/>
      <c r="Q284" s="5">
        <f t="shared" si="150"/>
        <v>0</v>
      </c>
      <c r="R284" s="5">
        <f t="shared" si="151"/>
        <v>0</v>
      </c>
      <c r="S284" s="5">
        <f t="shared" si="152"/>
        <v>0</v>
      </c>
      <c r="T284" s="5">
        <f t="shared" si="153"/>
        <v>0</v>
      </c>
      <c r="U284" s="5">
        <f t="shared" si="154"/>
        <v>0</v>
      </c>
      <c r="V284" s="5">
        <f t="shared" si="155"/>
        <v>0</v>
      </c>
      <c r="W284" s="5">
        <f t="shared" si="156"/>
        <v>0</v>
      </c>
    </row>
    <row r="285" spans="1:23">
      <c r="A285" s="317" t="s">
        <v>544</v>
      </c>
      <c r="B285" s="317" t="s">
        <v>545</v>
      </c>
      <c r="C285" s="77">
        <v>0</v>
      </c>
      <c r="D285" s="77">
        <v>1.367</v>
      </c>
      <c r="E285" s="77">
        <v>1.8109999999999999</v>
      </c>
      <c r="F285" s="77">
        <v>1.867</v>
      </c>
      <c r="G285" s="77">
        <v>1.9330000000000001</v>
      </c>
      <c r="H285" s="77">
        <v>1.9650000000000001</v>
      </c>
      <c r="I285" s="77">
        <v>1.9650000000000001</v>
      </c>
      <c r="J285" s="78">
        <v>0.4</v>
      </c>
      <c r="K285" s="79" t="s">
        <v>541</v>
      </c>
      <c r="L285" s="72" t="s">
        <v>133</v>
      </c>
      <c r="M285" s="72" t="s">
        <v>274</v>
      </c>
      <c r="N285" s="72"/>
      <c r="O285" s="72" t="s">
        <v>130</v>
      </c>
      <c r="P285" s="5"/>
      <c r="Q285" s="5">
        <f t="shared" si="150"/>
        <v>0</v>
      </c>
      <c r="R285" s="5">
        <f t="shared" si="151"/>
        <v>0</v>
      </c>
      <c r="S285" s="5">
        <f t="shared" si="152"/>
        <v>0</v>
      </c>
      <c r="T285" s="5">
        <f t="shared" si="153"/>
        <v>0</v>
      </c>
      <c r="U285" s="5">
        <f t="shared" si="154"/>
        <v>0</v>
      </c>
      <c r="V285" s="5">
        <f t="shared" si="155"/>
        <v>0</v>
      </c>
      <c r="W285" s="5">
        <f t="shared" si="156"/>
        <v>0</v>
      </c>
    </row>
    <row r="286" spans="1:23" s="3" customFormat="1" ht="14.4">
      <c r="A286" s="317" t="s">
        <v>535</v>
      </c>
      <c r="B286" s="317" t="s">
        <v>546</v>
      </c>
      <c r="C286" s="77">
        <v>21</v>
      </c>
      <c r="D286" s="77">
        <v>20.399999999999999</v>
      </c>
      <c r="E286" s="77">
        <v>20.399999999999999</v>
      </c>
      <c r="F286" s="77">
        <v>19</v>
      </c>
      <c r="G286" s="77">
        <v>16.899999999999999</v>
      </c>
      <c r="H286" s="77">
        <v>16.899999999999999</v>
      </c>
      <c r="I286" s="77">
        <v>17.2</v>
      </c>
      <c r="J286" s="78">
        <v>4.8</v>
      </c>
      <c r="K286" s="79">
        <v>7</v>
      </c>
      <c r="L286" s="72" t="s">
        <v>174</v>
      </c>
      <c r="M286" s="72" t="s">
        <v>97</v>
      </c>
      <c r="N286" s="72"/>
      <c r="O286" s="72" t="s">
        <v>108</v>
      </c>
      <c r="P286" s="125"/>
      <c r="Q286" s="5">
        <f>$P286*C286/100</f>
        <v>0</v>
      </c>
      <c r="R286" s="5">
        <f>$P286*D286/100</f>
        <v>0</v>
      </c>
      <c r="S286" s="5">
        <f>$P286*E286/100</f>
        <v>0</v>
      </c>
      <c r="T286" s="5">
        <f t="shared" si="153"/>
        <v>0</v>
      </c>
      <c r="U286" s="5">
        <f>$P286*G286/100</f>
        <v>0</v>
      </c>
      <c r="V286" s="5">
        <f t="shared" ref="V286:W286" si="157">$P286*H286/100</f>
        <v>0</v>
      </c>
      <c r="W286" s="5">
        <f t="shared" si="157"/>
        <v>0</v>
      </c>
    </row>
    <row r="287" spans="1:23" s="3" customFormat="1" ht="14.4">
      <c r="A287" s="317" t="s">
        <v>547</v>
      </c>
      <c r="B287" s="317" t="s">
        <v>548</v>
      </c>
      <c r="C287" s="77">
        <v>22</v>
      </c>
      <c r="D287" s="77">
        <v>22</v>
      </c>
      <c r="E287" s="77">
        <v>22</v>
      </c>
      <c r="F287" s="77">
        <v>22</v>
      </c>
      <c r="G287" s="77">
        <v>22</v>
      </c>
      <c r="H287" s="77">
        <v>22</v>
      </c>
      <c r="I287" s="77">
        <v>22</v>
      </c>
      <c r="J287" s="78">
        <v>2.2000000000000002</v>
      </c>
      <c r="K287" s="79" t="s">
        <v>541</v>
      </c>
      <c r="L287" s="72" t="s">
        <v>133</v>
      </c>
      <c r="M287" s="72" t="s">
        <v>134</v>
      </c>
      <c r="N287" s="72"/>
      <c r="O287" s="72" t="s">
        <v>130</v>
      </c>
      <c r="P287" s="125"/>
      <c r="Q287" s="5"/>
      <c r="R287" s="5"/>
      <c r="S287" s="5"/>
      <c r="T287" s="5"/>
      <c r="U287" s="5"/>
      <c r="V287" s="5"/>
      <c r="W287" s="5"/>
    </row>
    <row r="288" spans="1:23" s="3" customFormat="1" ht="14.4">
      <c r="A288" s="329"/>
      <c r="B288" s="329" t="s">
        <v>549</v>
      </c>
      <c r="C288" s="6">
        <f>SUM(C275:C287)</f>
        <v>560.42727530000002</v>
      </c>
      <c r="D288" s="6">
        <f>SUM(D275:D287)</f>
        <v>616.16375761000006</v>
      </c>
      <c r="E288" s="6">
        <f t="shared" ref="E288:I288" si="158">SUM(E275:E287)</f>
        <v>593.00259785000003</v>
      </c>
      <c r="F288" s="6">
        <f t="shared" si="158"/>
        <v>497.84174246000009</v>
      </c>
      <c r="G288" s="6">
        <f t="shared" si="158"/>
        <v>438.63992407999996</v>
      </c>
      <c r="H288" s="6">
        <f t="shared" si="158"/>
        <v>363.41485932000001</v>
      </c>
      <c r="I288" s="6">
        <f t="shared" si="158"/>
        <v>327.95660149999998</v>
      </c>
      <c r="L288" s="1"/>
      <c r="P288" s="54"/>
      <c r="Q288" s="9">
        <f>SUM(Q284:Q286)</f>
        <v>0</v>
      </c>
      <c r="R288" s="9">
        <f t="shared" ref="R288:W288" si="159">SUM(R284:R286)</f>
        <v>0</v>
      </c>
      <c r="S288" s="9">
        <f t="shared" si="159"/>
        <v>0</v>
      </c>
      <c r="T288" s="9">
        <f t="shared" si="159"/>
        <v>0</v>
      </c>
      <c r="U288" s="9">
        <f t="shared" si="159"/>
        <v>0</v>
      </c>
      <c r="V288" s="9">
        <f t="shared" si="159"/>
        <v>0</v>
      </c>
      <c r="W288" s="9">
        <f t="shared" si="159"/>
        <v>0</v>
      </c>
    </row>
    <row r="289" spans="1:26" s="12" customFormat="1" ht="14.4">
      <c r="A289" s="226"/>
      <c r="B289" s="226"/>
      <c r="C289" s="227"/>
      <c r="D289" s="227"/>
      <c r="E289" s="227"/>
      <c r="F289" s="227"/>
      <c r="G289" s="227"/>
      <c r="H289" s="227"/>
      <c r="I289" s="227"/>
      <c r="J289" s="226"/>
      <c r="K289" s="3"/>
      <c r="L289" s="72"/>
      <c r="M289" s="230"/>
      <c r="N289" s="230"/>
      <c r="O289" s="230"/>
      <c r="P289" s="29"/>
      <c r="Q289" s="9"/>
      <c r="R289" s="9"/>
      <c r="S289" s="9"/>
      <c r="T289" s="9"/>
      <c r="U289" s="9"/>
      <c r="V289" s="9"/>
      <c r="W289" s="9"/>
    </row>
    <row r="290" spans="1:26" s="12" customFormat="1" ht="14.4">
      <c r="A290" s="226"/>
      <c r="B290" s="226"/>
      <c r="C290" s="227"/>
      <c r="D290" s="227"/>
      <c r="E290" s="227"/>
      <c r="F290" s="227"/>
      <c r="G290" s="227"/>
      <c r="H290" s="227"/>
      <c r="I290" s="227"/>
      <c r="J290" s="226"/>
      <c r="K290" s="3"/>
      <c r="L290" s="72"/>
      <c r="M290" s="230"/>
      <c r="N290" s="230"/>
      <c r="O290" s="230"/>
      <c r="P290" s="29"/>
      <c r="Q290" s="9"/>
      <c r="R290" s="9"/>
      <c r="S290" s="9"/>
      <c r="T290" s="9"/>
      <c r="U290" s="9"/>
      <c r="V290" s="9"/>
      <c r="W290" s="9"/>
    </row>
    <row r="291" spans="1:26" s="209" customFormat="1" ht="14.4">
      <c r="A291" s="25"/>
      <c r="B291" s="21" t="s">
        <v>550</v>
      </c>
      <c r="C291" s="51"/>
      <c r="D291" s="51"/>
      <c r="E291" s="51"/>
      <c r="F291" s="51"/>
      <c r="G291" s="51"/>
      <c r="H291" s="51"/>
      <c r="I291" s="51"/>
      <c r="J291" s="25"/>
      <c r="K291" s="25"/>
      <c r="L291" s="71"/>
      <c r="M291" s="25"/>
      <c r="N291" s="25"/>
      <c r="O291" s="25"/>
      <c r="P291" s="21" t="s">
        <v>550</v>
      </c>
      <c r="Q291" s="47"/>
      <c r="R291" s="47"/>
      <c r="S291" s="47"/>
      <c r="T291" s="47"/>
      <c r="U291" s="47"/>
      <c r="V291" s="47"/>
      <c r="W291" s="47"/>
    </row>
    <row r="292" spans="1:26" s="98" customFormat="1" ht="14.4">
      <c r="A292" s="72" t="s">
        <v>551</v>
      </c>
      <c r="B292" s="72" t="s">
        <v>552</v>
      </c>
      <c r="C292" s="77">
        <v>0</v>
      </c>
      <c r="D292" s="77">
        <v>0</v>
      </c>
      <c r="E292" s="77">
        <v>29.5</v>
      </c>
      <c r="F292" s="77">
        <v>64.754999999999995</v>
      </c>
      <c r="G292" s="77">
        <v>174.75899999999999</v>
      </c>
      <c r="H292" s="77">
        <v>17.975000000000001</v>
      </c>
      <c r="I292" s="77">
        <v>20.556999999999999</v>
      </c>
      <c r="J292" s="92">
        <v>50</v>
      </c>
      <c r="K292" s="79" t="s">
        <v>553</v>
      </c>
      <c r="L292" s="2"/>
      <c r="M292" s="77" t="s">
        <v>554</v>
      </c>
      <c r="N292" s="72"/>
      <c r="O292" s="72" t="s">
        <v>108</v>
      </c>
      <c r="P292" s="115">
        <v>100</v>
      </c>
      <c r="Q292" s="5">
        <f>$P292*C292/100</f>
        <v>0</v>
      </c>
      <c r="R292" s="5">
        <f t="shared" ref="R292:W292" si="160">$P292*D292/100</f>
        <v>0</v>
      </c>
      <c r="S292" s="5">
        <f t="shared" si="160"/>
        <v>29.5</v>
      </c>
      <c r="T292" s="5">
        <f t="shared" si="160"/>
        <v>64.754999999999995</v>
      </c>
      <c r="U292" s="5">
        <f t="shared" si="160"/>
        <v>174.75899999999999</v>
      </c>
      <c r="V292" s="5">
        <f t="shared" si="160"/>
        <v>17.975000000000001</v>
      </c>
      <c r="W292" s="5">
        <f t="shared" si="160"/>
        <v>20.556999999999999</v>
      </c>
    </row>
    <row r="293" spans="1:26" s="98" customFormat="1" ht="14.4">
      <c r="A293" s="72" t="s">
        <v>551</v>
      </c>
      <c r="B293" s="72" t="s">
        <v>555</v>
      </c>
      <c r="C293" s="77">
        <v>0</v>
      </c>
      <c r="D293" s="2">
        <v>0</v>
      </c>
      <c r="E293" s="77">
        <v>38.005000000000003</v>
      </c>
      <c r="F293" s="77">
        <v>98.91</v>
      </c>
      <c r="G293" s="77">
        <v>129.51400000000001</v>
      </c>
      <c r="H293" s="77">
        <v>86.751000000000005</v>
      </c>
      <c r="I293" s="77">
        <v>173.05099999999999</v>
      </c>
      <c r="J293" s="92">
        <v>50</v>
      </c>
      <c r="K293" s="79" t="s">
        <v>553</v>
      </c>
      <c r="L293" s="2"/>
      <c r="M293" s="77" t="s">
        <v>554</v>
      </c>
      <c r="N293" s="72"/>
      <c r="O293" s="72" t="s">
        <v>108</v>
      </c>
      <c r="P293" s="115">
        <v>100</v>
      </c>
      <c r="Q293" s="5">
        <f t="shared" ref="Q293:Q294" si="161">$P293*C293/100</f>
        <v>0</v>
      </c>
      <c r="R293" s="5">
        <f>$P293*C293/100</f>
        <v>0</v>
      </c>
      <c r="S293" s="5">
        <f t="shared" ref="S293:S294" si="162">$P293*E293/100</f>
        <v>38.005000000000003</v>
      </c>
      <c r="T293" s="5">
        <f t="shared" ref="T293:T294" si="163">$P293*F293/100</f>
        <v>98.91</v>
      </c>
      <c r="U293" s="5">
        <f t="shared" ref="U293:U294" si="164">$P293*G293/100</f>
        <v>129.51400000000001</v>
      </c>
      <c r="V293" s="5">
        <f t="shared" ref="V293:V294" si="165">$P293*H293/100</f>
        <v>86.751000000000005</v>
      </c>
      <c r="W293" s="5">
        <f t="shared" ref="W293:W294" si="166">$P293*I293/100</f>
        <v>173.05099999999999</v>
      </c>
    </row>
    <row r="294" spans="1:26" s="98" customFormat="1" ht="14.4">
      <c r="A294" s="72" t="s">
        <v>551</v>
      </c>
      <c r="B294" s="72" t="s">
        <v>556</v>
      </c>
      <c r="C294" s="77">
        <v>17.785</v>
      </c>
      <c r="D294" s="77">
        <v>0</v>
      </c>
      <c r="E294" s="77">
        <v>0</v>
      </c>
      <c r="F294" s="77">
        <v>0</v>
      </c>
      <c r="G294" s="77">
        <v>0</v>
      </c>
      <c r="H294" s="77">
        <v>0</v>
      </c>
      <c r="I294" s="77">
        <v>0</v>
      </c>
      <c r="J294" s="92">
        <v>85</v>
      </c>
      <c r="K294" s="79" t="s">
        <v>300</v>
      </c>
      <c r="L294" s="2"/>
      <c r="M294" s="77" t="s">
        <v>301</v>
      </c>
      <c r="N294" s="72"/>
      <c r="O294" s="72" t="s">
        <v>108</v>
      </c>
      <c r="P294" s="115">
        <v>100</v>
      </c>
      <c r="Q294" s="5">
        <f t="shared" si="161"/>
        <v>17.785</v>
      </c>
      <c r="R294" s="5">
        <f t="shared" ref="R294" si="167">$P294*D294/100</f>
        <v>0</v>
      </c>
      <c r="S294" s="5">
        <f t="shared" si="162"/>
        <v>0</v>
      </c>
      <c r="T294" s="5">
        <f t="shared" si="163"/>
        <v>0</v>
      </c>
      <c r="U294" s="5">
        <f t="shared" si="164"/>
        <v>0</v>
      </c>
      <c r="V294" s="5">
        <f t="shared" si="165"/>
        <v>0</v>
      </c>
      <c r="W294" s="5">
        <f t="shared" si="166"/>
        <v>0</v>
      </c>
    </row>
    <row r="295" spans="1:26" s="2" customFormat="1" ht="14.4">
      <c r="B295" s="3" t="s">
        <v>557</v>
      </c>
      <c r="C295" s="6">
        <f>SUM(C292:C294)</f>
        <v>17.785</v>
      </c>
      <c r="D295" s="6">
        <f t="shared" ref="D295:I295" si="168">SUM(D292:D294)</f>
        <v>0</v>
      </c>
      <c r="E295" s="6">
        <f t="shared" si="168"/>
        <v>67.504999999999995</v>
      </c>
      <c r="F295" s="6">
        <f t="shared" si="168"/>
        <v>163.66499999999999</v>
      </c>
      <c r="G295" s="6">
        <f t="shared" si="168"/>
        <v>304.27300000000002</v>
      </c>
      <c r="H295" s="6">
        <f t="shared" si="168"/>
        <v>104.726</v>
      </c>
      <c r="I295" s="6">
        <f t="shared" si="168"/>
        <v>193.60799999999998</v>
      </c>
      <c r="K295" s="79"/>
      <c r="L295" s="72"/>
      <c r="M295" s="72"/>
      <c r="N295" s="72"/>
      <c r="O295" s="72"/>
      <c r="P295" s="115"/>
      <c r="Q295" s="9">
        <f>SUM(Q292:Q294)</f>
        <v>17.785</v>
      </c>
      <c r="R295" s="9">
        <f t="shared" ref="R295:W295" si="169">SUM(R292:R294)</f>
        <v>0</v>
      </c>
      <c r="S295" s="9">
        <f t="shared" si="169"/>
        <v>67.504999999999995</v>
      </c>
      <c r="T295" s="9">
        <f t="shared" si="169"/>
        <v>163.66499999999999</v>
      </c>
      <c r="U295" s="9">
        <f t="shared" si="169"/>
        <v>304.27300000000002</v>
      </c>
      <c r="V295" s="9">
        <f t="shared" si="169"/>
        <v>104.726</v>
      </c>
      <c r="W295" s="9">
        <f t="shared" si="169"/>
        <v>193.60799999999998</v>
      </c>
    </row>
    <row r="296" spans="1:26" s="2" customFormat="1" ht="14.4">
      <c r="C296" s="95"/>
      <c r="D296" s="95"/>
      <c r="E296" s="95"/>
      <c r="F296" s="95"/>
      <c r="G296" s="95"/>
      <c r="H296" s="95"/>
      <c r="I296" s="95"/>
      <c r="L296" s="4"/>
      <c r="M296" s="72"/>
      <c r="N296" s="72"/>
      <c r="O296" s="72"/>
      <c r="P296" s="115"/>
      <c r="Q296" s="158"/>
      <c r="R296" s="158"/>
      <c r="S296" s="158"/>
      <c r="T296" s="158"/>
      <c r="U296" s="158"/>
      <c r="V296" s="158"/>
      <c r="W296" s="158"/>
    </row>
    <row r="297" spans="1:26" ht="14.4">
      <c r="A297" s="2"/>
      <c r="B297" s="2"/>
      <c r="C297" s="128"/>
      <c r="D297" s="128"/>
      <c r="E297" s="128"/>
      <c r="F297" s="128"/>
      <c r="G297" s="128"/>
      <c r="H297" s="128"/>
      <c r="I297" s="128"/>
      <c r="J297" s="2"/>
      <c r="K297" s="2"/>
    </row>
    <row r="298" spans="1:26" s="1" customFormat="1" ht="14.4">
      <c r="A298" s="4"/>
      <c r="B298" s="4"/>
      <c r="C298" s="49"/>
      <c r="D298" s="49"/>
      <c r="E298" s="49"/>
      <c r="F298" s="49"/>
      <c r="G298" s="49"/>
      <c r="H298" s="49"/>
      <c r="I298" s="49"/>
      <c r="J298" s="4"/>
      <c r="K298" s="4"/>
      <c r="Q298" s="9"/>
      <c r="R298" s="9"/>
      <c r="S298" s="9"/>
      <c r="T298" s="9"/>
      <c r="U298" s="9"/>
      <c r="V298" s="9"/>
      <c r="W298" s="9"/>
    </row>
    <row r="299" spans="1:26" ht="15.6">
      <c r="A299" s="26"/>
      <c r="B299" s="27" t="s">
        <v>558</v>
      </c>
      <c r="C299" s="286">
        <f t="shared" ref="C299:I299" si="170">SUM(C8,C16,C23,C32,C79,C90,C121,C219,C261,C272,C288,C295)</f>
        <v>8932.317340537742</v>
      </c>
      <c r="D299" s="28">
        <f t="shared" si="170"/>
        <v>9264.5227592906813</v>
      </c>
      <c r="E299" s="28">
        <f t="shared" si="170"/>
        <v>9578.3408263208639</v>
      </c>
      <c r="F299" s="28">
        <f t="shared" si="170"/>
        <v>9409.4741992588606</v>
      </c>
      <c r="G299" s="28">
        <f t="shared" si="170"/>
        <v>9365.0739076447717</v>
      </c>
      <c r="H299" s="28">
        <f t="shared" si="170"/>
        <v>8725.8180917061709</v>
      </c>
      <c r="I299" s="28">
        <f t="shared" si="170"/>
        <v>8581.4328712525275</v>
      </c>
      <c r="J299" s="28"/>
      <c r="K299" s="28"/>
      <c r="L299" s="28"/>
      <c r="M299" s="28"/>
      <c r="N299" s="28"/>
      <c r="O299" s="28"/>
      <c r="P299" s="28"/>
      <c r="Q299" s="28">
        <f t="shared" ref="Q299:W299" si="171">SUM(Q8,Q16,Q23,Q32,Q79,Q90,Q121,Q219,Q261,Q272,Q288,Q295)</f>
        <v>2260.8913116529088</v>
      </c>
      <c r="R299" s="28">
        <f t="shared" si="171"/>
        <v>2583.888292161269</v>
      </c>
      <c r="S299" s="28">
        <f t="shared" si="171"/>
        <v>2899.635254342104</v>
      </c>
      <c r="T299" s="28">
        <f t="shared" si="171"/>
        <v>2930.632194181027</v>
      </c>
      <c r="U299" s="28">
        <f t="shared" si="171"/>
        <v>3020.9013544618033</v>
      </c>
      <c r="V299" s="28">
        <f t="shared" si="171"/>
        <v>2501.8462504060922</v>
      </c>
      <c r="W299" s="28">
        <f t="shared" si="171"/>
        <v>2510.2196662996698</v>
      </c>
      <c r="X299" s="28"/>
    </row>
    <row r="300" spans="1:26">
      <c r="C300" s="354"/>
      <c r="D300" s="283"/>
      <c r="E300" s="354"/>
      <c r="F300" s="354"/>
      <c r="G300" s="354"/>
      <c r="H300" s="354"/>
      <c r="I300" s="354"/>
      <c r="J300" s="5"/>
      <c r="P300" s="75" t="s">
        <v>559</v>
      </c>
    </row>
    <row r="301" spans="1:26" ht="14.4">
      <c r="B301" s="3" t="s">
        <v>560</v>
      </c>
      <c r="C301" s="284">
        <f>C299-C300</f>
        <v>8932.317340537742</v>
      </c>
      <c r="D301" s="49"/>
      <c r="E301" s="284"/>
      <c r="L301" s="53"/>
      <c r="M301" s="133"/>
      <c r="Q301" s="1">
        <f>C302</f>
        <v>2024</v>
      </c>
      <c r="R301" s="1">
        <f>D302</f>
        <v>2025</v>
      </c>
      <c r="S301" s="1">
        <f>E302</f>
        <v>2026</v>
      </c>
      <c r="T301" s="1">
        <f>F302</f>
        <v>2027</v>
      </c>
      <c r="U301" s="1">
        <f>G302</f>
        <v>2028</v>
      </c>
      <c r="V301" s="1">
        <f t="shared" ref="V301:W301" si="172">H302</f>
        <v>2029</v>
      </c>
      <c r="W301" s="1">
        <f t="shared" si="172"/>
        <v>2030</v>
      </c>
      <c r="Y301" s="1"/>
      <c r="Z301" s="53"/>
    </row>
    <row r="302" spans="1:26" ht="27.6">
      <c r="B302" s="1"/>
      <c r="C302" s="1">
        <f t="shared" ref="C302:I302" si="173">C4</f>
        <v>2024</v>
      </c>
      <c r="D302" s="1">
        <f t="shared" si="173"/>
        <v>2025</v>
      </c>
      <c r="E302" s="1">
        <f t="shared" si="173"/>
        <v>2026</v>
      </c>
      <c r="F302" s="1">
        <f t="shared" si="173"/>
        <v>2027</v>
      </c>
      <c r="G302" s="1">
        <f t="shared" si="173"/>
        <v>2028</v>
      </c>
      <c r="H302" s="1">
        <f t="shared" si="173"/>
        <v>2029</v>
      </c>
      <c r="I302" s="1">
        <f t="shared" si="173"/>
        <v>2030</v>
      </c>
      <c r="K302" s="1" t="s">
        <v>561</v>
      </c>
      <c r="L302" s="292" t="s">
        <v>562</v>
      </c>
      <c r="M302" s="242"/>
      <c r="N302" s="242"/>
      <c r="P302" s="10" t="s">
        <v>563</v>
      </c>
      <c r="Q302" s="34">
        <f t="shared" ref="Q302:W302" si="174">+Q8</f>
        <v>0</v>
      </c>
      <c r="R302" s="34">
        <f t="shared" si="174"/>
        <v>0</v>
      </c>
      <c r="S302" s="34">
        <f t="shared" si="174"/>
        <v>0</v>
      </c>
      <c r="T302" s="34">
        <f t="shared" si="174"/>
        <v>0</v>
      </c>
      <c r="U302" s="34">
        <f t="shared" si="174"/>
        <v>0</v>
      </c>
      <c r="V302" s="34">
        <f t="shared" si="174"/>
        <v>0</v>
      </c>
      <c r="W302" s="34">
        <f t="shared" si="174"/>
        <v>0</v>
      </c>
      <c r="Y302" s="34"/>
      <c r="Z302" s="126"/>
    </row>
    <row r="303" spans="1:26">
      <c r="B303" s="4" t="s">
        <v>564</v>
      </c>
      <c r="C303" s="49">
        <f t="shared" ref="C303:I303" si="175">C8</f>
        <v>0.55500000000000005</v>
      </c>
      <c r="D303" s="49">
        <f t="shared" si="175"/>
        <v>0.53800000000000003</v>
      </c>
      <c r="E303" s="49">
        <f t="shared" si="175"/>
        <v>0.63100000000000001</v>
      </c>
      <c r="F303" s="49">
        <f t="shared" si="175"/>
        <v>0.625</v>
      </c>
      <c r="G303" s="49">
        <f t="shared" si="175"/>
        <v>0.61799999999999999</v>
      </c>
      <c r="H303" s="49">
        <f t="shared" si="175"/>
        <v>0.61199999999999999</v>
      </c>
      <c r="I303" s="49">
        <f t="shared" si="175"/>
        <v>0.61199999999999999</v>
      </c>
      <c r="J303" s="244"/>
      <c r="K303" s="245">
        <f>+I303-C303</f>
        <v>5.699999999999994E-2</v>
      </c>
      <c r="L303" s="126">
        <f t="shared" ref="L303:L315" si="176">I303/C303-1</f>
        <v>0.10270270270270254</v>
      </c>
      <c r="M303" s="242"/>
      <c r="N303" s="291"/>
      <c r="O303" s="244"/>
      <c r="P303" s="10" t="s">
        <v>565</v>
      </c>
      <c r="Q303" s="34">
        <f t="shared" ref="Q303:W303" si="177">+Q16</f>
        <v>0</v>
      </c>
      <c r="R303" s="34">
        <f t="shared" si="177"/>
        <v>0</v>
      </c>
      <c r="S303" s="34">
        <f t="shared" si="177"/>
        <v>0</v>
      </c>
      <c r="T303" s="34">
        <f t="shared" si="177"/>
        <v>0</v>
      </c>
      <c r="U303" s="34">
        <f t="shared" si="177"/>
        <v>0</v>
      </c>
      <c r="V303" s="34">
        <f t="shared" si="177"/>
        <v>0</v>
      </c>
      <c r="W303" s="34">
        <f t="shared" si="177"/>
        <v>0</v>
      </c>
      <c r="Y303" s="34"/>
      <c r="Z303" s="126"/>
    </row>
    <row r="304" spans="1:26">
      <c r="B304" s="4" t="s">
        <v>566</v>
      </c>
      <c r="C304" s="49">
        <f t="shared" ref="C304:I304" si="178">C16</f>
        <v>52.376999999999995</v>
      </c>
      <c r="D304" s="49">
        <f t="shared" si="178"/>
        <v>45.315000000000005</v>
      </c>
      <c r="E304" s="49">
        <f t="shared" si="178"/>
        <v>43.967199999999998</v>
      </c>
      <c r="F304" s="49">
        <f t="shared" si="178"/>
        <v>40.188800000000001</v>
      </c>
      <c r="G304" s="49">
        <f t="shared" si="178"/>
        <v>42.864699999999999</v>
      </c>
      <c r="H304" s="49">
        <f t="shared" si="178"/>
        <v>45.946849999999998</v>
      </c>
      <c r="I304" s="49">
        <f t="shared" si="178"/>
        <v>45.946849999999998</v>
      </c>
      <c r="J304" s="244"/>
      <c r="K304" s="245">
        <f t="shared" ref="K304:K315" si="179">+I304-C304</f>
        <v>-6.4301499999999976</v>
      </c>
      <c r="L304" s="126">
        <f t="shared" si="176"/>
        <v>-0.12276667239437156</v>
      </c>
      <c r="M304" s="242"/>
      <c r="N304" s="133"/>
      <c r="O304" s="244"/>
      <c r="P304" s="10" t="s">
        <v>567</v>
      </c>
      <c r="Q304" s="34">
        <f t="shared" ref="Q304:W304" si="180">+Q23</f>
        <v>0</v>
      </c>
      <c r="R304" s="34">
        <f t="shared" si="180"/>
        <v>0</v>
      </c>
      <c r="S304" s="34">
        <f t="shared" si="180"/>
        <v>0</v>
      </c>
      <c r="T304" s="34">
        <f t="shared" si="180"/>
        <v>0</v>
      </c>
      <c r="U304" s="34">
        <f t="shared" si="180"/>
        <v>0</v>
      </c>
      <c r="V304" s="34">
        <f t="shared" si="180"/>
        <v>0</v>
      </c>
      <c r="W304" s="34">
        <f t="shared" si="180"/>
        <v>0</v>
      </c>
      <c r="Y304" s="34"/>
      <c r="Z304" s="126"/>
    </row>
    <row r="305" spans="1:26">
      <c r="B305" s="4" t="s">
        <v>568</v>
      </c>
      <c r="C305" s="49">
        <f t="shared" ref="C305:I305" si="181">C23</f>
        <v>35.101600000000005</v>
      </c>
      <c r="D305" s="49">
        <f t="shared" si="181"/>
        <v>36.282200000000003</v>
      </c>
      <c r="E305" s="49">
        <f t="shared" si="181"/>
        <v>35.317499999999995</v>
      </c>
      <c r="F305" s="49">
        <f t="shared" si="181"/>
        <v>35.142800000000001</v>
      </c>
      <c r="G305" s="49">
        <f t="shared" si="181"/>
        <v>34.823999999999998</v>
      </c>
      <c r="H305" s="49">
        <f t="shared" si="181"/>
        <v>34.808749999999996</v>
      </c>
      <c r="I305" s="49">
        <f t="shared" si="181"/>
        <v>34.808749999999996</v>
      </c>
      <c r="J305" s="244"/>
      <c r="K305" s="245">
        <f t="shared" si="179"/>
        <v>-0.29285000000000849</v>
      </c>
      <c r="L305" s="126">
        <f t="shared" si="176"/>
        <v>-8.3429245390526097E-3</v>
      </c>
      <c r="M305" s="242"/>
      <c r="N305" s="243"/>
      <c r="O305" s="244"/>
      <c r="P305" s="10" t="s">
        <v>569</v>
      </c>
      <c r="Q305" s="34">
        <f t="shared" ref="Q305:W305" si="182">+Q32</f>
        <v>28.531800000000004</v>
      </c>
      <c r="R305" s="34">
        <f t="shared" si="182"/>
        <v>29.642999999999997</v>
      </c>
      <c r="S305" s="34">
        <f t="shared" si="182"/>
        <v>16.0336</v>
      </c>
      <c r="T305" s="34">
        <f t="shared" si="182"/>
        <v>7.0379000000000005</v>
      </c>
      <c r="U305" s="34">
        <f t="shared" si="182"/>
        <v>1.9422000000000001</v>
      </c>
      <c r="V305" s="34">
        <f t="shared" si="182"/>
        <v>1.2852999999999999</v>
      </c>
      <c r="W305" s="34">
        <f t="shared" si="182"/>
        <v>1.0290999999999999</v>
      </c>
      <c r="Y305" s="245"/>
      <c r="Z305" s="126"/>
    </row>
    <row r="306" spans="1:26">
      <c r="B306" s="4" t="s">
        <v>570</v>
      </c>
      <c r="C306" s="49">
        <f t="shared" ref="C306:I306" si="183">C32</f>
        <v>37.817999999999998</v>
      </c>
      <c r="D306" s="49">
        <f t="shared" si="183"/>
        <v>33.629999999999995</v>
      </c>
      <c r="E306" s="49">
        <f t="shared" si="183"/>
        <v>19.936</v>
      </c>
      <c r="F306" s="49">
        <f t="shared" si="183"/>
        <v>12.779</v>
      </c>
      <c r="G306" s="49">
        <f t="shared" si="183"/>
        <v>7.7220000000000004</v>
      </c>
      <c r="H306" s="49">
        <f t="shared" si="183"/>
        <v>8.3529999999999998</v>
      </c>
      <c r="I306" s="49">
        <f t="shared" si="183"/>
        <v>6.6910000000000007</v>
      </c>
      <c r="J306" s="244"/>
      <c r="K306" s="245">
        <f t="shared" si="179"/>
        <v>-31.126999999999995</v>
      </c>
      <c r="L306" s="126">
        <f t="shared" si="176"/>
        <v>-0.82307366862340681</v>
      </c>
      <c r="M306" s="242"/>
      <c r="N306" s="243"/>
      <c r="O306" s="244"/>
      <c r="P306" s="10" t="s">
        <v>571</v>
      </c>
      <c r="Q306" s="34">
        <f t="shared" ref="Q306:W306" si="184">+Q79</f>
        <v>458.15663865890872</v>
      </c>
      <c r="R306" s="34">
        <f t="shared" si="184"/>
        <v>458.29786216126911</v>
      </c>
      <c r="S306" s="34">
        <f t="shared" si="184"/>
        <v>448.07702434210387</v>
      </c>
      <c r="T306" s="34">
        <f t="shared" si="184"/>
        <v>456.647814181027</v>
      </c>
      <c r="U306" s="34">
        <f t="shared" si="184"/>
        <v>444.01374446180256</v>
      </c>
      <c r="V306" s="34">
        <f t="shared" si="184"/>
        <v>428.86369040609179</v>
      </c>
      <c r="W306" s="34">
        <f t="shared" si="184"/>
        <v>432.44188629966914</v>
      </c>
      <c r="Y306" s="34"/>
      <c r="Z306" s="126"/>
    </row>
    <row r="307" spans="1:26">
      <c r="B307" s="4" t="s">
        <v>572</v>
      </c>
      <c r="C307" s="49">
        <f t="shared" ref="C307:I307" si="185">C79</f>
        <v>5934.5391652677408</v>
      </c>
      <c r="D307" s="49">
        <f t="shared" si="185"/>
        <v>5914.4577566806811</v>
      </c>
      <c r="E307" s="49">
        <f t="shared" si="185"/>
        <v>5857.2599844708648</v>
      </c>
      <c r="F307" s="49">
        <f t="shared" si="185"/>
        <v>5800.5562077988607</v>
      </c>
      <c r="G307" s="49">
        <f t="shared" si="185"/>
        <v>5739.6829135647722</v>
      </c>
      <c r="H307" s="49">
        <f t="shared" si="185"/>
        <v>5681.2834373861697</v>
      </c>
      <c r="I307" s="49">
        <f t="shared" si="185"/>
        <v>5582.1497997525275</v>
      </c>
      <c r="J307" s="244"/>
      <c r="K307" s="245">
        <f t="shared" si="179"/>
        <v>-352.38936551521329</v>
      </c>
      <c r="L307" s="126">
        <f t="shared" si="176"/>
        <v>-5.9379398416913975E-2</v>
      </c>
      <c r="M307" s="242"/>
      <c r="N307" s="243"/>
      <c r="O307" s="244"/>
      <c r="P307" s="10" t="s">
        <v>573</v>
      </c>
      <c r="Q307" s="34">
        <f t="shared" ref="Q307:W307" si="186">+Q90</f>
        <v>253.67699999999999</v>
      </c>
      <c r="R307" s="34">
        <f t="shared" si="186"/>
        <v>319.71199999999999</v>
      </c>
      <c r="S307" s="34">
        <f t="shared" si="186"/>
        <v>315.779</v>
      </c>
      <c r="T307" s="34">
        <f t="shared" si="186"/>
        <v>350.553</v>
      </c>
      <c r="U307" s="34">
        <f t="shared" si="186"/>
        <v>385.96899999999999</v>
      </c>
      <c r="V307" s="34">
        <f t="shared" si="186"/>
        <v>387.36799999999999</v>
      </c>
      <c r="W307" s="34">
        <f t="shared" si="186"/>
        <v>396.97200000000004</v>
      </c>
      <c r="Y307" s="34"/>
      <c r="Z307" s="126"/>
    </row>
    <row r="308" spans="1:26">
      <c r="B308" s="4" t="s">
        <v>205</v>
      </c>
      <c r="C308" s="49">
        <f t="shared" ref="C308:I308" si="187">C90</f>
        <v>253.67699999999999</v>
      </c>
      <c r="D308" s="49">
        <f t="shared" si="187"/>
        <v>319.71199999999999</v>
      </c>
      <c r="E308" s="49">
        <f t="shared" si="187"/>
        <v>315.779</v>
      </c>
      <c r="F308" s="49">
        <f t="shared" si="187"/>
        <v>350.553</v>
      </c>
      <c r="G308" s="49">
        <f t="shared" si="187"/>
        <v>385.96899999999999</v>
      </c>
      <c r="H308" s="49">
        <f t="shared" si="187"/>
        <v>387.36799999999999</v>
      </c>
      <c r="I308" s="49">
        <f t="shared" si="187"/>
        <v>396.97200000000004</v>
      </c>
      <c r="J308" s="244"/>
      <c r="K308" s="245">
        <f t="shared" si="179"/>
        <v>143.29500000000004</v>
      </c>
      <c r="L308" s="293">
        <f t="shared" si="176"/>
        <v>0.56487186461523931</v>
      </c>
      <c r="M308" s="242"/>
      <c r="N308" s="243"/>
      <c r="O308" s="244"/>
      <c r="P308" s="10" t="s">
        <v>574</v>
      </c>
      <c r="Q308" s="34">
        <f t="shared" ref="Q308:W308" si="188">+Q121</f>
        <v>102.697</v>
      </c>
      <c r="R308" s="34">
        <f t="shared" si="188"/>
        <v>141.37299999999999</v>
      </c>
      <c r="S308" s="34">
        <f t="shared" si="188"/>
        <v>151.1</v>
      </c>
      <c r="T308" s="34">
        <f t="shared" si="188"/>
        <v>127.066</v>
      </c>
      <c r="U308" s="34">
        <f t="shared" si="188"/>
        <v>107</v>
      </c>
      <c r="V308" s="34">
        <f t="shared" si="188"/>
        <v>76.699999999999989</v>
      </c>
      <c r="W308" s="34">
        <f t="shared" si="188"/>
        <v>84.74199999999999</v>
      </c>
      <c r="Y308" s="34"/>
      <c r="Z308" s="126"/>
    </row>
    <row r="309" spans="1:26">
      <c r="B309" s="4" t="s">
        <v>575</v>
      </c>
      <c r="C309" s="49">
        <f t="shared" ref="C309:I309" si="189">C121</f>
        <v>269.54899999999998</v>
      </c>
      <c r="D309" s="49">
        <f t="shared" si="189"/>
        <v>315.58399999999995</v>
      </c>
      <c r="E309" s="49">
        <f t="shared" si="189"/>
        <v>318.816644</v>
      </c>
      <c r="F309" s="49">
        <f t="shared" si="189"/>
        <v>294.304644</v>
      </c>
      <c r="G309" s="49">
        <f t="shared" si="189"/>
        <v>272.36500000000001</v>
      </c>
      <c r="H309" s="49">
        <f t="shared" si="189"/>
        <v>238.33999999999997</v>
      </c>
      <c r="I309" s="49">
        <f t="shared" si="189"/>
        <v>247.37799999999999</v>
      </c>
      <c r="J309" s="244"/>
      <c r="K309" s="245">
        <f t="shared" si="179"/>
        <v>-22.170999999999992</v>
      </c>
      <c r="L309" s="126">
        <f t="shared" si="176"/>
        <v>-8.2252206463388822E-2</v>
      </c>
      <c r="M309" s="242"/>
      <c r="N309" s="243"/>
      <c r="O309" s="244"/>
      <c r="P309" s="10" t="s">
        <v>576</v>
      </c>
      <c r="Q309" s="126">
        <f t="shared" ref="Q309:W309" si="190">+Q219</f>
        <v>1260.4373500000002</v>
      </c>
      <c r="R309" s="126">
        <f t="shared" si="190"/>
        <v>1486.5793999999999</v>
      </c>
      <c r="S309" s="126">
        <f t="shared" si="190"/>
        <v>1722.4011000000003</v>
      </c>
      <c r="T309" s="126">
        <f t="shared" si="190"/>
        <v>1654.7851000000001</v>
      </c>
      <c r="U309" s="126">
        <f t="shared" si="190"/>
        <v>1609.1685500000003</v>
      </c>
      <c r="V309" s="126">
        <f t="shared" si="190"/>
        <v>1345.5796000000003</v>
      </c>
      <c r="W309" s="126">
        <f t="shared" si="190"/>
        <v>1256.8208500000003</v>
      </c>
      <c r="Y309" s="34"/>
      <c r="Z309" s="126"/>
    </row>
    <row r="310" spans="1:26">
      <c r="B310" s="4" t="s">
        <v>577</v>
      </c>
      <c r="C310" s="49">
        <f t="shared" ref="C310:I310" si="191">C219</f>
        <v>1449.2481349999998</v>
      </c>
      <c r="D310" s="49">
        <f t="shared" si="191"/>
        <v>1624.7130450000004</v>
      </c>
      <c r="E310" s="49">
        <f t="shared" si="191"/>
        <v>1934.1858999999999</v>
      </c>
      <c r="F310" s="49">
        <f t="shared" si="191"/>
        <v>1805.737005</v>
      </c>
      <c r="G310" s="49">
        <f t="shared" si="191"/>
        <v>1742.88537</v>
      </c>
      <c r="H310" s="49">
        <f t="shared" si="191"/>
        <v>1453.9961950000004</v>
      </c>
      <c r="I310" s="49">
        <f t="shared" si="191"/>
        <v>1376.6398700000009</v>
      </c>
      <c r="J310" s="244"/>
      <c r="K310" s="245">
        <f t="shared" si="179"/>
        <v>-72.608264999998937</v>
      </c>
      <c r="L310" s="126">
        <f t="shared" si="176"/>
        <v>-5.0100644083284518E-2</v>
      </c>
      <c r="M310" s="242"/>
      <c r="N310" s="243"/>
      <c r="O310" s="244"/>
      <c r="P310" s="10" t="s">
        <v>578</v>
      </c>
      <c r="Q310" s="34">
        <f t="shared" ref="Q310:W310" si="192">+Q261</f>
        <v>139.60652299400002</v>
      </c>
      <c r="R310" s="34">
        <f t="shared" si="192"/>
        <v>148.28303000000005</v>
      </c>
      <c r="S310" s="34">
        <f t="shared" si="192"/>
        <v>178.73953000000003</v>
      </c>
      <c r="T310" s="34">
        <f t="shared" si="192"/>
        <v>170.87738000000002</v>
      </c>
      <c r="U310" s="34">
        <f t="shared" si="192"/>
        <v>168.53486000000004</v>
      </c>
      <c r="V310" s="34">
        <f t="shared" si="192"/>
        <v>157.32365999999999</v>
      </c>
      <c r="W310" s="34">
        <f t="shared" si="192"/>
        <v>144.60582999999997</v>
      </c>
      <c r="Y310" s="34"/>
      <c r="Z310" s="126"/>
    </row>
    <row r="311" spans="1:26">
      <c r="B311" s="4" t="s">
        <v>579</v>
      </c>
      <c r="C311" s="49">
        <f t="shared" ref="C311:I311" si="193">C261</f>
        <v>306.79116497000001</v>
      </c>
      <c r="D311" s="49">
        <f t="shared" si="193"/>
        <v>343.56099999999992</v>
      </c>
      <c r="E311" s="49">
        <f t="shared" si="193"/>
        <v>374.505</v>
      </c>
      <c r="F311" s="49">
        <f t="shared" si="193"/>
        <v>388.66900000000004</v>
      </c>
      <c r="G311" s="49">
        <f t="shared" si="193"/>
        <v>376.83799999999991</v>
      </c>
      <c r="H311" s="49">
        <f t="shared" si="193"/>
        <v>388.7290000000001</v>
      </c>
      <c r="I311" s="49">
        <f t="shared" si="193"/>
        <v>350.45799999999997</v>
      </c>
      <c r="J311" s="244"/>
      <c r="K311" s="245">
        <f t="shared" si="179"/>
        <v>43.666835029999959</v>
      </c>
      <c r="L311" s="126">
        <f t="shared" si="176"/>
        <v>0.14233406960813233</v>
      </c>
      <c r="M311" s="242"/>
      <c r="N311" s="243"/>
      <c r="O311" s="244"/>
      <c r="P311" s="10" t="s">
        <v>580</v>
      </c>
      <c r="Q311" s="34">
        <f t="shared" ref="Q311:W311" si="194">+Q272</f>
        <v>0</v>
      </c>
      <c r="R311" s="34">
        <f t="shared" si="194"/>
        <v>0</v>
      </c>
      <c r="S311" s="34">
        <f t="shared" si="194"/>
        <v>0</v>
      </c>
      <c r="T311" s="34">
        <f t="shared" si="194"/>
        <v>0</v>
      </c>
      <c r="U311" s="34">
        <f t="shared" si="194"/>
        <v>0</v>
      </c>
      <c r="V311" s="34">
        <f t="shared" si="194"/>
        <v>0</v>
      </c>
      <c r="W311" s="34">
        <f t="shared" si="194"/>
        <v>0</v>
      </c>
      <c r="Y311" s="34"/>
      <c r="Z311" s="126"/>
    </row>
    <row r="312" spans="1:26">
      <c r="B312" s="4" t="s">
        <v>581</v>
      </c>
      <c r="C312" s="49">
        <f t="shared" ref="C312:I312" si="195">C272</f>
        <v>14.449</v>
      </c>
      <c r="D312" s="49">
        <f t="shared" si="195"/>
        <v>14.565999999999999</v>
      </c>
      <c r="E312" s="49">
        <f t="shared" si="195"/>
        <v>17.434999999999999</v>
      </c>
      <c r="F312" s="49">
        <f t="shared" si="195"/>
        <v>19.412000000000003</v>
      </c>
      <c r="G312" s="49">
        <f t="shared" si="195"/>
        <v>18.392000000000003</v>
      </c>
      <c r="H312" s="49">
        <f t="shared" si="195"/>
        <v>18.240000000000002</v>
      </c>
      <c r="I312" s="49">
        <f t="shared" si="195"/>
        <v>18.212</v>
      </c>
      <c r="J312" s="244"/>
      <c r="K312" s="245">
        <f t="shared" si="179"/>
        <v>3.7629999999999999</v>
      </c>
      <c r="L312" s="126">
        <f t="shared" si="176"/>
        <v>0.26043324797563838</v>
      </c>
      <c r="M312" s="242"/>
      <c r="N312" s="243"/>
      <c r="O312" s="244"/>
      <c r="P312" s="10" t="s">
        <v>582</v>
      </c>
      <c r="Q312" s="34">
        <f>+Q289</f>
        <v>0</v>
      </c>
      <c r="R312" s="34">
        <f t="shared" ref="R312:W312" si="196">+R289</f>
        <v>0</v>
      </c>
      <c r="S312" s="34">
        <f t="shared" si="196"/>
        <v>0</v>
      </c>
      <c r="T312" s="34">
        <f t="shared" si="196"/>
        <v>0</v>
      </c>
      <c r="U312" s="34">
        <f t="shared" si="196"/>
        <v>0</v>
      </c>
      <c r="V312" s="34">
        <f t="shared" si="196"/>
        <v>0</v>
      </c>
      <c r="W312" s="34">
        <f t="shared" si="196"/>
        <v>0</v>
      </c>
      <c r="Y312" s="34"/>
      <c r="Z312" s="126"/>
    </row>
    <row r="313" spans="1:26">
      <c r="B313" s="4" t="s">
        <v>583</v>
      </c>
      <c r="C313" s="49">
        <f>C288</f>
        <v>560.42727530000002</v>
      </c>
      <c r="D313" s="49">
        <f t="shared" ref="D313:I313" si="197">D288</f>
        <v>616.16375761000006</v>
      </c>
      <c r="E313" s="49">
        <f t="shared" si="197"/>
        <v>593.00259785000003</v>
      </c>
      <c r="F313" s="49">
        <f t="shared" si="197"/>
        <v>497.84174246000009</v>
      </c>
      <c r="G313" s="49">
        <f t="shared" si="197"/>
        <v>438.63992407999996</v>
      </c>
      <c r="H313" s="49">
        <f t="shared" si="197"/>
        <v>363.41485932000001</v>
      </c>
      <c r="I313" s="49">
        <f t="shared" si="197"/>
        <v>327.95660149999998</v>
      </c>
      <c r="J313" s="244"/>
      <c r="K313" s="245">
        <f t="shared" si="179"/>
        <v>-232.47067380000004</v>
      </c>
      <c r="L313" s="126">
        <f t="shared" si="176"/>
        <v>-0.4148097068893678</v>
      </c>
      <c r="M313" s="242"/>
      <c r="N313" s="243"/>
      <c r="O313" s="244"/>
      <c r="P313" s="10" t="s">
        <v>584</v>
      </c>
      <c r="Q313" s="34">
        <f>Q295</f>
        <v>17.785</v>
      </c>
      <c r="R313" s="34">
        <f t="shared" ref="R313:W313" si="198">R295</f>
        <v>0</v>
      </c>
      <c r="S313" s="34">
        <f t="shared" si="198"/>
        <v>67.504999999999995</v>
      </c>
      <c r="T313" s="34">
        <f t="shared" si="198"/>
        <v>163.66499999999999</v>
      </c>
      <c r="U313" s="34">
        <f t="shared" si="198"/>
        <v>304.27300000000002</v>
      </c>
      <c r="V313" s="34">
        <f t="shared" si="198"/>
        <v>104.726</v>
      </c>
      <c r="W313" s="34">
        <f t="shared" si="198"/>
        <v>193.60799999999998</v>
      </c>
      <c r="Y313" s="34"/>
      <c r="Z313" s="126"/>
    </row>
    <row r="314" spans="1:26">
      <c r="B314" s="4" t="s">
        <v>585</v>
      </c>
      <c r="C314" s="49">
        <f>C295</f>
        <v>17.785</v>
      </c>
      <c r="D314" s="49">
        <f t="shared" ref="D314:I314" si="199">D295</f>
        <v>0</v>
      </c>
      <c r="E314" s="49">
        <f t="shared" si="199"/>
        <v>67.504999999999995</v>
      </c>
      <c r="F314" s="49">
        <f t="shared" si="199"/>
        <v>163.66499999999999</v>
      </c>
      <c r="G314" s="49">
        <f t="shared" si="199"/>
        <v>304.27300000000002</v>
      </c>
      <c r="H314" s="49">
        <f t="shared" si="199"/>
        <v>104.726</v>
      </c>
      <c r="I314" s="49">
        <f t="shared" si="199"/>
        <v>193.60799999999998</v>
      </c>
      <c r="J314" s="244"/>
      <c r="K314" s="245">
        <f t="shared" si="179"/>
        <v>175.82299999999998</v>
      </c>
      <c r="L314" s="126">
        <f t="shared" si="176"/>
        <v>9.8860275513072793</v>
      </c>
      <c r="M314" s="242"/>
      <c r="N314" s="243"/>
      <c r="O314" s="244"/>
      <c r="P314" s="10" t="s">
        <v>60</v>
      </c>
      <c r="Q314" s="35">
        <f>SUM(Q302:Q313)</f>
        <v>2260.8913116529088</v>
      </c>
      <c r="R314" s="35">
        <f t="shared" ref="R314:W314" si="200">SUM(R302:R313)</f>
        <v>2583.888292161269</v>
      </c>
      <c r="S314" s="35">
        <f t="shared" si="200"/>
        <v>2899.635254342104</v>
      </c>
      <c r="T314" s="35">
        <f t="shared" si="200"/>
        <v>2930.632194181027</v>
      </c>
      <c r="U314" s="35">
        <f t="shared" si="200"/>
        <v>3020.9013544618033</v>
      </c>
      <c r="V314" s="35">
        <f t="shared" si="200"/>
        <v>2501.8462504060922</v>
      </c>
      <c r="W314" s="35">
        <f t="shared" si="200"/>
        <v>2510.2196662996698</v>
      </c>
      <c r="Y314" s="34"/>
      <c r="Z314" s="126"/>
    </row>
    <row r="315" spans="1:26">
      <c r="B315" s="1" t="s">
        <v>586</v>
      </c>
      <c r="C315" s="46">
        <f>SUM(C303:C314)</f>
        <v>8932.317340537742</v>
      </c>
      <c r="D315" s="46">
        <f t="shared" ref="D315:I315" si="201">SUM(D303:D314)</f>
        <v>9264.5227592906813</v>
      </c>
      <c r="E315" s="46">
        <f t="shared" si="201"/>
        <v>9578.3408263208639</v>
      </c>
      <c r="F315" s="46">
        <f t="shared" si="201"/>
        <v>9409.4741992588606</v>
      </c>
      <c r="G315" s="46">
        <f t="shared" si="201"/>
        <v>9365.0739076447717</v>
      </c>
      <c r="H315" s="46">
        <f t="shared" si="201"/>
        <v>8725.8180917061709</v>
      </c>
      <c r="I315" s="46">
        <f t="shared" si="201"/>
        <v>8581.4328712525275</v>
      </c>
      <c r="J315" s="49"/>
      <c r="K315" s="245">
        <f t="shared" si="179"/>
        <v>-350.88446928521444</v>
      </c>
      <c r="L315" s="126">
        <f t="shared" si="176"/>
        <v>-3.9282579862314981E-2</v>
      </c>
      <c r="M315" s="242"/>
      <c r="N315" s="243"/>
      <c r="O315" s="244"/>
    </row>
    <row r="316" spans="1:26" s="30" customFormat="1" ht="14.4">
      <c r="A316" s="4"/>
      <c r="B316" s="4"/>
      <c r="C316" s="4"/>
      <c r="D316" s="4"/>
      <c r="E316" s="49"/>
      <c r="F316" s="4"/>
      <c r="G316" s="4"/>
      <c r="H316" s="4"/>
      <c r="I316" s="49"/>
      <c r="J316" s="4"/>
      <c r="K316" s="4"/>
      <c r="L316" s="4"/>
      <c r="M316" s="2"/>
      <c r="N316" s="2"/>
      <c r="O316" s="2"/>
      <c r="P316" s="115"/>
      <c r="Q316" s="355"/>
      <c r="R316" s="355"/>
      <c r="S316" s="355"/>
      <c r="T316" s="355"/>
      <c r="U316" s="355"/>
      <c r="V316" s="355"/>
      <c r="W316" s="355"/>
      <c r="X316" s="99"/>
      <c r="Y316" s="99"/>
      <c r="Z316" s="99"/>
    </row>
    <row r="317" spans="1:26" ht="14.4">
      <c r="A317" s="356" t="s">
        <v>587</v>
      </c>
      <c r="B317" s="2"/>
      <c r="C317" s="158"/>
      <c r="D317" s="158">
        <f>D315-C315</f>
        <v>332.20541875293929</v>
      </c>
      <c r="E317" s="158">
        <f>E318+E319</f>
        <v>1934.1858999999999</v>
      </c>
      <c r="F317" s="158">
        <f t="shared" ref="F317:I317" si="202">F318+F319</f>
        <v>1801.987005</v>
      </c>
      <c r="G317" s="158">
        <f t="shared" si="202"/>
        <v>1739.13537</v>
      </c>
      <c r="H317" s="158">
        <f t="shared" si="202"/>
        <v>1450.2461949999999</v>
      </c>
      <c r="I317" s="158">
        <f t="shared" si="202"/>
        <v>1372.8898700000004</v>
      </c>
      <c r="J317" s="2"/>
      <c r="K317" s="357"/>
      <c r="Q317" s="105"/>
      <c r="R317" s="105"/>
      <c r="S317" s="105"/>
      <c r="T317" s="105"/>
      <c r="U317" s="105"/>
      <c r="V317" s="105"/>
      <c r="W317" s="105"/>
    </row>
    <row r="318" spans="1:26">
      <c r="B318" s="4" t="s">
        <v>588</v>
      </c>
      <c r="E318" s="49">
        <f>SUM(E170:E174)+SUM(E195:E218)</f>
        <v>610.971</v>
      </c>
      <c r="F318" s="49">
        <f>SUM(F170:F174)+SUM(F195:F218)</f>
        <v>563.024</v>
      </c>
      <c r="G318" s="49">
        <f>SUM(G170:G174)+SUM(G195:G218)</f>
        <v>526.63800000000015</v>
      </c>
      <c r="H318" s="49">
        <f>SUM(H170:H174)+SUM(H195:H218)</f>
        <v>299.30899999999997</v>
      </c>
      <c r="I318" s="49">
        <f>SUM(I170:I174)+SUM(I195:I218)</f>
        <v>245.21999999999997</v>
      </c>
    </row>
    <row r="319" spans="1:26">
      <c r="B319" s="4" t="s">
        <v>589</v>
      </c>
      <c r="C319" s="49"/>
      <c r="D319" s="49"/>
      <c r="E319" s="49">
        <f>SUM(E125:E169)+SUM(E176:E191)</f>
        <v>1323.2148999999999</v>
      </c>
      <c r="F319" s="49">
        <f>SUM(F125:F169)+SUM(F176:F191)</f>
        <v>1238.9630050000001</v>
      </c>
      <c r="G319" s="49">
        <f>SUM(G125:G169)+SUM(G176:G191)</f>
        <v>1212.4973699999998</v>
      </c>
      <c r="H319" s="49">
        <f>SUM(H125:H169)+SUM(H176:H191)</f>
        <v>1150.937195</v>
      </c>
      <c r="I319" s="49">
        <f>SUM(I125:I169)+SUM(I176:I191)</f>
        <v>1127.6698700000004</v>
      </c>
      <c r="Q319" s="106"/>
    </row>
    <row r="321" spans="2:23">
      <c r="P321" s="4"/>
      <c r="Q321" s="4"/>
      <c r="R321" s="4"/>
      <c r="S321" s="4"/>
      <c r="T321" s="4"/>
      <c r="U321" s="4"/>
      <c r="V321" s="4"/>
      <c r="W321" s="4"/>
    </row>
    <row r="322" spans="2:23">
      <c r="B322"/>
      <c r="C322"/>
      <c r="D322"/>
      <c r="E322"/>
      <c r="F322"/>
      <c r="G322"/>
      <c r="H322"/>
      <c r="I322"/>
    </row>
    <row r="323" spans="2:23">
      <c r="B323"/>
      <c r="C323"/>
      <c r="D323"/>
      <c r="E323"/>
      <c r="F323"/>
      <c r="G323"/>
      <c r="H323"/>
      <c r="I323"/>
    </row>
    <row r="324" spans="2:23">
      <c r="B324"/>
      <c r="C324"/>
      <c r="D324"/>
      <c r="E324"/>
      <c r="F324"/>
      <c r="G324"/>
      <c r="H324"/>
      <c r="I324"/>
    </row>
    <row r="325" spans="2:23">
      <c r="B325"/>
      <c r="C325"/>
      <c r="D325"/>
      <c r="E325"/>
      <c r="F325"/>
      <c r="G325"/>
      <c r="H325"/>
      <c r="I325"/>
    </row>
    <row r="326" spans="2:23">
      <c r="B326"/>
      <c r="C326"/>
      <c r="D326"/>
      <c r="E326"/>
      <c r="F326"/>
      <c r="G326"/>
      <c r="H326"/>
      <c r="I326"/>
    </row>
    <row r="327" spans="2:23">
      <c r="B327"/>
      <c r="C327"/>
    </row>
    <row r="328" spans="2:23">
      <c r="B328"/>
      <c r="C328"/>
      <c r="D328" s="49"/>
      <c r="E328" s="49"/>
      <c r="F328" s="49"/>
      <c r="G328" s="49"/>
      <c r="H328" s="49"/>
      <c r="I328" s="49"/>
    </row>
    <row r="329" spans="2:23">
      <c r="B329"/>
      <c r="C329"/>
      <c r="D329" s="49"/>
      <c r="E329" s="49"/>
      <c r="F329" s="49"/>
      <c r="G329" s="49"/>
      <c r="H329" s="49"/>
      <c r="I329" s="49"/>
    </row>
    <row r="330" spans="2:23">
      <c r="B330"/>
      <c r="C330"/>
      <c r="D330" s="49"/>
      <c r="E330" s="49"/>
      <c r="F330" s="49"/>
      <c r="G330" s="49"/>
      <c r="H330" s="49"/>
      <c r="I330" s="49"/>
    </row>
    <row r="331" spans="2:23">
      <c r="B331"/>
      <c r="C331"/>
      <c r="D331" s="49"/>
      <c r="E331" s="49"/>
      <c r="F331" s="49"/>
      <c r="G331" s="49"/>
      <c r="H331" s="49"/>
      <c r="I331" s="49"/>
    </row>
    <row r="332" spans="2:23">
      <c r="D332" s="49"/>
      <c r="E332" s="49"/>
      <c r="F332" s="49"/>
      <c r="G332" s="49"/>
      <c r="H332" s="49"/>
      <c r="I332" s="100"/>
    </row>
    <row r="333" spans="2:23">
      <c r="B333"/>
      <c r="C333" s="49"/>
      <c r="D333" s="49"/>
      <c r="E333" s="49"/>
      <c r="F333" s="49"/>
      <c r="G333" s="49"/>
      <c r="H333" s="49"/>
      <c r="I333" s="49"/>
    </row>
    <row r="334" spans="2:23">
      <c r="B334"/>
      <c r="C334" s="49"/>
      <c r="D334" s="49"/>
      <c r="E334" s="49"/>
      <c r="F334" s="49"/>
      <c r="G334" s="49"/>
      <c r="H334" s="49"/>
      <c r="I334" s="49"/>
    </row>
    <row r="335" spans="2:23">
      <c r="B335"/>
      <c r="C335" s="49"/>
      <c r="D335" s="49"/>
      <c r="E335" s="49"/>
      <c r="F335" s="49"/>
      <c r="G335" s="49"/>
      <c r="H335" s="49"/>
      <c r="I335" s="49"/>
    </row>
    <row r="336" spans="2:23">
      <c r="B336"/>
      <c r="C336" s="49"/>
      <c r="D336" s="49"/>
      <c r="E336" s="49"/>
      <c r="F336" s="49"/>
      <c r="G336" s="49"/>
      <c r="H336" s="49"/>
      <c r="I336" s="49"/>
    </row>
    <row r="337" spans="2:9">
      <c r="B337"/>
      <c r="C337" s="49"/>
      <c r="D337" s="49"/>
      <c r="E337" s="49"/>
      <c r="F337" s="49"/>
      <c r="G337" s="49"/>
      <c r="H337" s="49"/>
      <c r="I337" s="49"/>
    </row>
    <row r="338" spans="2:9">
      <c r="B338"/>
      <c r="C338" s="49"/>
    </row>
    <row r="339" spans="2:9">
      <c r="B339"/>
      <c r="C339" s="49"/>
    </row>
    <row r="340" spans="2:9">
      <c r="B340"/>
      <c r="C340" s="49"/>
    </row>
    <row r="341" spans="2:9">
      <c r="B341"/>
      <c r="C341" s="49"/>
    </row>
    <row r="342" spans="2:9">
      <c r="B342"/>
      <c r="C342" s="49"/>
    </row>
  </sheetData>
  <sortState xmlns:xlrd2="http://schemas.microsoft.com/office/spreadsheetml/2017/richdata2" ref="A163:N174">
    <sortCondition ref="A163:A174"/>
  </sortState>
  <phoneticPr fontId="58" type="noConversion"/>
  <pageMargins left="0.70866141732283472" right="0.70866141732283472" top="0.74803149606299213" bottom="0.74803149606299213" header="0.31496062992125984" footer="0.31496062992125984"/>
  <pageSetup paperSize="8" scale="16" orientation="landscape" r:id="rId1"/>
  <headerFooter>
    <oddFooter>&amp;L&amp;Z&amp;F
&amp;D</oddFooter>
  </headerFooter>
  <rowBreaks count="1" manualBreakCount="1">
    <brk id="319" max="21" man="1"/>
  </rowBreaks>
  <colBreaks count="1" manualBreakCount="1">
    <brk id="22" max="33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74"/>
  <sheetViews>
    <sheetView zoomScaleNormal="100" zoomScaleSheetLayoutView="100" workbookViewId="0">
      <pane ySplit="3" topLeftCell="A4" activePane="bottomLeft" state="frozen"/>
      <selection activeCell="G33" activeCellId="3" sqref="A1 F29 B35 G33"/>
      <selection pane="bottomLeft"/>
    </sheetView>
  </sheetViews>
  <sheetFormatPr defaultColWidth="9.44140625" defaultRowHeight="13.8"/>
  <cols>
    <col min="1" max="1" width="9.44140625" style="7"/>
    <col min="2" max="2" width="51.44140625" style="4" customWidth="1"/>
    <col min="3" max="9" width="12" style="4" customWidth="1"/>
    <col min="10" max="10" width="12.44140625" style="4" customWidth="1"/>
    <col min="11" max="11" width="15" style="4" bestFit="1" customWidth="1"/>
    <col min="12" max="12" width="41.44140625" style="4" customWidth="1"/>
    <col min="13" max="16384" width="9.44140625" style="4"/>
  </cols>
  <sheetData>
    <row r="1" spans="1:15" ht="18">
      <c r="A1" s="66" t="s">
        <v>590</v>
      </c>
    </row>
    <row r="2" spans="1:15" ht="18">
      <c r="A2" s="66"/>
      <c r="C2" s="1" t="str">
        <f>'R&amp;D'!C3</f>
        <v>realisatie</v>
      </c>
      <c r="D2" s="1" t="str">
        <f>'R&amp;D'!D3</f>
        <v xml:space="preserve">stand begr. </v>
      </c>
      <c r="E2" s="1" t="str">
        <f>'R&amp;D'!E3</f>
        <v>ontwerp</v>
      </c>
      <c r="F2" s="1" t="str">
        <f>'R&amp;D'!F3</f>
        <v>meerjarencijfers</v>
      </c>
      <c r="G2" s="1"/>
      <c r="H2" s="1"/>
      <c r="I2" s="1"/>
      <c r="J2" s="1" t="s">
        <v>591</v>
      </c>
    </row>
    <row r="3" spans="1:15" s="3" customFormat="1" ht="14.4">
      <c r="A3" s="57"/>
      <c r="C3" s="1">
        <f>'R&amp;D'!C4</f>
        <v>2024</v>
      </c>
      <c r="D3" s="1">
        <f>'R&amp;D'!D4</f>
        <v>2025</v>
      </c>
      <c r="E3" s="1">
        <f>'R&amp;D'!E4</f>
        <v>2026</v>
      </c>
      <c r="F3" s="1">
        <f>'R&amp;D'!F4</f>
        <v>2027</v>
      </c>
      <c r="G3" s="1">
        <f>'R&amp;D'!G4</f>
        <v>2028</v>
      </c>
      <c r="H3" s="1">
        <f>'R&amp;D'!H4</f>
        <v>2029</v>
      </c>
      <c r="I3" s="1">
        <f>'R&amp;D'!I4</f>
        <v>2030</v>
      </c>
      <c r="J3" s="109" t="s">
        <v>592</v>
      </c>
      <c r="K3" s="4"/>
      <c r="L3" s="4"/>
    </row>
    <row r="4" spans="1:15" s="3" customFormat="1" ht="15.75" customHeight="1">
      <c r="A4" s="190" t="s">
        <v>75</v>
      </c>
      <c r="B4" s="12" t="s">
        <v>126</v>
      </c>
      <c r="C4" s="48"/>
      <c r="D4" s="48"/>
      <c r="E4" s="48"/>
      <c r="F4" s="48"/>
      <c r="G4" s="48"/>
      <c r="H4" s="48"/>
      <c r="I4" s="48"/>
      <c r="J4" s="11"/>
      <c r="K4" s="11"/>
      <c r="L4" s="11"/>
      <c r="M4" s="1"/>
      <c r="N4" s="1"/>
      <c r="O4" s="1"/>
    </row>
    <row r="5" spans="1:15">
      <c r="A5" s="4">
        <v>4</v>
      </c>
      <c r="B5" s="4" t="s">
        <v>593</v>
      </c>
      <c r="C5" s="4">
        <v>25</v>
      </c>
      <c r="D5" s="4">
        <v>25</v>
      </c>
      <c r="E5" s="4">
        <v>25</v>
      </c>
      <c r="F5" s="4">
        <v>25</v>
      </c>
      <c r="G5" s="4">
        <v>25</v>
      </c>
      <c r="H5" s="4">
        <v>25</v>
      </c>
      <c r="I5" s="4">
        <v>25</v>
      </c>
      <c r="J5" s="90"/>
      <c r="L5" s="112"/>
    </row>
    <row r="6" spans="1:15">
      <c r="A6" s="4">
        <v>4</v>
      </c>
      <c r="B6" s="4" t="s">
        <v>594</v>
      </c>
      <c r="C6" s="4">
        <v>20.372</v>
      </c>
      <c r="D6" s="4">
        <v>17.710999999999999</v>
      </c>
      <c r="E6" s="4">
        <v>13.972</v>
      </c>
      <c r="F6" s="4">
        <v>12.37</v>
      </c>
      <c r="G6" s="4">
        <v>9.1780000000000008</v>
      </c>
      <c r="H6" s="4">
        <v>7.3380000000000001</v>
      </c>
      <c r="I6" s="4">
        <v>7.9</v>
      </c>
      <c r="J6" s="90"/>
      <c r="L6" s="112"/>
    </row>
    <row r="7" spans="1:15">
      <c r="A7" s="4">
        <v>4</v>
      </c>
      <c r="B7" s="4" t="s">
        <v>595</v>
      </c>
      <c r="C7" s="5">
        <v>0.86386668</v>
      </c>
      <c r="D7" s="5">
        <v>1.2164667199999999</v>
      </c>
      <c r="E7" s="5">
        <v>1.22159996</v>
      </c>
      <c r="F7" s="5">
        <v>1.2364666400000002</v>
      </c>
      <c r="G7" s="5">
        <v>0.56159999999999999</v>
      </c>
      <c r="H7" s="5">
        <v>0.56278571976967373</v>
      </c>
      <c r="I7" s="5">
        <v>0.56278571976967373</v>
      </c>
      <c r="J7" s="90"/>
      <c r="L7" s="112"/>
    </row>
    <row r="8" spans="1:15">
      <c r="A8" s="4">
        <v>4</v>
      </c>
      <c r="B8" s="4" t="s">
        <v>596</v>
      </c>
      <c r="C8" s="5">
        <v>0.99639500000000003</v>
      </c>
      <c r="D8" s="5">
        <v>1.0113939999999999</v>
      </c>
      <c r="E8" s="5">
        <v>0.32770700000000003</v>
      </c>
      <c r="F8" s="5">
        <v>0.31458999999999998</v>
      </c>
      <c r="G8" s="5">
        <v>0.25642918397922498</v>
      </c>
      <c r="H8" s="5">
        <v>0.24338934678385901</v>
      </c>
      <c r="I8" s="5">
        <v>0.24338934678385901</v>
      </c>
      <c r="J8" s="90"/>
      <c r="L8" s="112"/>
    </row>
    <row r="9" spans="1:15">
      <c r="A9" s="4">
        <v>4</v>
      </c>
      <c r="B9" s="4" t="s">
        <v>597</v>
      </c>
      <c r="C9" s="4">
        <v>4.2380000000000004</v>
      </c>
      <c r="D9" s="4">
        <v>5.5839999999999996</v>
      </c>
      <c r="E9" s="4">
        <v>5.5839999999999996</v>
      </c>
      <c r="F9" s="4">
        <v>5.5839999999999996</v>
      </c>
      <c r="G9" s="4">
        <v>5.5839999999999996</v>
      </c>
      <c r="H9" s="4">
        <v>5.5839999999999996</v>
      </c>
      <c r="I9" s="4">
        <v>5.58</v>
      </c>
      <c r="J9" s="90"/>
      <c r="L9" s="112"/>
    </row>
    <row r="10" spans="1:15">
      <c r="A10" s="4">
        <v>3</v>
      </c>
      <c r="B10" s="321" t="s">
        <v>598</v>
      </c>
      <c r="C10" s="321">
        <v>22.03</v>
      </c>
      <c r="D10" s="321">
        <v>25.2</v>
      </c>
      <c r="E10" s="321">
        <v>25.434000000000001</v>
      </c>
      <c r="F10" s="321">
        <v>25.434000000000001</v>
      </c>
      <c r="G10" s="4">
        <v>25.434000000000001</v>
      </c>
      <c r="H10" s="4">
        <v>25.434000000000001</v>
      </c>
      <c r="I10" s="4">
        <v>25.434000000000001</v>
      </c>
      <c r="J10" s="90"/>
    </row>
    <row r="11" spans="1:15">
      <c r="A11" s="4">
        <v>3</v>
      </c>
      <c r="B11" s="321" t="s">
        <v>599</v>
      </c>
      <c r="C11" s="321">
        <v>0.18</v>
      </c>
      <c r="D11" s="321">
        <v>0.21</v>
      </c>
      <c r="E11" s="321">
        <v>0.15</v>
      </c>
      <c r="F11" s="321">
        <v>0.15</v>
      </c>
      <c r="G11" s="4">
        <v>0.15</v>
      </c>
      <c r="H11" s="4">
        <v>0.15</v>
      </c>
      <c r="I11" s="4">
        <v>0.15</v>
      </c>
      <c r="J11" s="90"/>
    </row>
    <row r="12" spans="1:15">
      <c r="A12" s="4">
        <v>3</v>
      </c>
      <c r="B12" s="321" t="s">
        <v>600</v>
      </c>
      <c r="C12" s="321">
        <v>4.8620000000000001</v>
      </c>
      <c r="D12" s="321"/>
      <c r="E12" s="321"/>
      <c r="F12" s="321"/>
      <c r="J12" s="90"/>
    </row>
    <row r="13" spans="1:15">
      <c r="A13" s="90">
        <v>3</v>
      </c>
      <c r="B13" s="321" t="s">
        <v>601</v>
      </c>
      <c r="C13" s="321">
        <v>0.56200000000000006</v>
      </c>
      <c r="D13" s="321">
        <v>5.0970000000000004</v>
      </c>
      <c r="E13" s="321">
        <v>5.0970000000000004</v>
      </c>
      <c r="F13" s="321">
        <v>5.0970000000000004</v>
      </c>
      <c r="G13" s="4">
        <v>5.0970000000000004</v>
      </c>
      <c r="H13" s="4">
        <v>5.0970000000000004</v>
      </c>
      <c r="I13" s="4">
        <v>0</v>
      </c>
      <c r="J13" s="90"/>
    </row>
    <row r="14" spans="1:15" s="90" customFormat="1">
      <c r="A14" s="90">
        <v>3</v>
      </c>
      <c r="B14" s="314" t="s">
        <v>602</v>
      </c>
      <c r="C14" s="314">
        <v>0.3</v>
      </c>
      <c r="D14" s="314">
        <v>0.3</v>
      </c>
      <c r="E14" s="314">
        <v>0.3</v>
      </c>
      <c r="F14" s="314">
        <v>0.3</v>
      </c>
      <c r="G14" s="90">
        <v>0.3</v>
      </c>
      <c r="H14" s="90">
        <v>0.3</v>
      </c>
      <c r="I14" s="90">
        <v>0.3</v>
      </c>
    </row>
    <row r="15" spans="1:15" s="90" customFormat="1">
      <c r="A15" s="90">
        <v>3</v>
      </c>
      <c r="B15" s="314" t="s">
        <v>603</v>
      </c>
      <c r="C15" s="314">
        <v>0.9</v>
      </c>
      <c r="D15" s="314"/>
      <c r="E15" s="314"/>
      <c r="F15" s="314"/>
    </row>
    <row r="16" spans="1:15" s="90" customFormat="1">
      <c r="A16" s="90">
        <v>3</v>
      </c>
      <c r="B16" s="314" t="s">
        <v>604</v>
      </c>
      <c r="C16" s="314">
        <v>22.634</v>
      </c>
      <c r="D16" s="314">
        <v>34.191000000000003</v>
      </c>
      <c r="E16" s="314">
        <v>38.473999999999997</v>
      </c>
      <c r="F16" s="314">
        <v>42</v>
      </c>
      <c r="G16" s="90">
        <v>38</v>
      </c>
    </row>
    <row r="17" spans="1:23" s="90" customFormat="1">
      <c r="B17" s="314" t="s">
        <v>605</v>
      </c>
      <c r="C17" s="314">
        <v>1.1839999999999999</v>
      </c>
      <c r="D17" s="314">
        <v>9.8870000000000005</v>
      </c>
      <c r="E17" s="314">
        <v>40.700000000000003</v>
      </c>
      <c r="F17" s="314">
        <v>34.130000000000003</v>
      </c>
      <c r="G17" s="90">
        <v>38.301000000000002</v>
      </c>
      <c r="H17" s="90">
        <v>0</v>
      </c>
      <c r="I17" s="90">
        <v>0</v>
      </c>
    </row>
    <row r="18" spans="1:23" s="90" customFormat="1">
      <c r="B18" s="314" t="s">
        <v>606</v>
      </c>
      <c r="C18" s="314">
        <v>1.67</v>
      </c>
      <c r="D18" s="314">
        <v>48.332999999999998</v>
      </c>
      <c r="E18" s="314">
        <v>47.956000000000003</v>
      </c>
      <c r="F18" s="314">
        <v>49.85</v>
      </c>
      <c r="G18" s="90">
        <v>0</v>
      </c>
      <c r="H18" s="90">
        <v>0</v>
      </c>
      <c r="I18" s="90">
        <v>0</v>
      </c>
    </row>
    <row r="19" spans="1:23" s="90" customFormat="1">
      <c r="A19" s="90">
        <v>1</v>
      </c>
      <c r="B19" s="314" t="s">
        <v>607</v>
      </c>
      <c r="C19" s="314">
        <v>0.26300000000000001</v>
      </c>
      <c r="D19" s="314"/>
      <c r="E19" s="314"/>
      <c r="F19" s="314"/>
    </row>
    <row r="20" spans="1:23" s="90" customFormat="1">
      <c r="A20" s="90">
        <v>1</v>
      </c>
      <c r="B20" s="314" t="s">
        <v>608</v>
      </c>
      <c r="C20" s="314">
        <v>1.5720000000000001</v>
      </c>
      <c r="D20" s="314">
        <v>0.71</v>
      </c>
      <c r="E20" s="314">
        <v>1.1919999999999999</v>
      </c>
      <c r="F20" s="314">
        <v>1.4730000000000001</v>
      </c>
      <c r="G20" s="90">
        <v>0.495</v>
      </c>
      <c r="H20" s="90">
        <v>1.363</v>
      </c>
      <c r="I20" s="90">
        <v>0.72</v>
      </c>
    </row>
    <row r="21" spans="1:23" s="90" customFormat="1">
      <c r="A21" s="90">
        <v>1</v>
      </c>
      <c r="B21" s="314" t="s">
        <v>609</v>
      </c>
      <c r="C21" s="90">
        <v>0.3</v>
      </c>
      <c r="D21" s="90">
        <v>0.3</v>
      </c>
      <c r="E21" s="90">
        <v>0.3</v>
      </c>
      <c r="F21" s="90">
        <v>0.3</v>
      </c>
      <c r="G21" s="90">
        <v>0.3</v>
      </c>
      <c r="H21" s="90">
        <v>0.3</v>
      </c>
      <c r="I21" s="90">
        <v>0.3</v>
      </c>
    </row>
    <row r="22" spans="1:23" s="90" customFormat="1">
      <c r="A22" s="90">
        <v>1</v>
      </c>
      <c r="B22" s="314" t="s">
        <v>610</v>
      </c>
      <c r="C22" s="90">
        <v>4.4379999999999997</v>
      </c>
      <c r="D22" s="90">
        <v>7.4749999999999996</v>
      </c>
      <c r="E22" s="90">
        <v>4.0830000000000002</v>
      </c>
      <c r="F22" s="90">
        <v>3.0830000000000002</v>
      </c>
      <c r="G22" s="90">
        <v>3.0830000000000002</v>
      </c>
      <c r="H22" s="90">
        <v>3.0830000000000002</v>
      </c>
      <c r="I22" s="90">
        <v>3.0830000000000002</v>
      </c>
    </row>
    <row r="23" spans="1:23" s="90" customFormat="1">
      <c r="A23" s="90">
        <v>1</v>
      </c>
      <c r="B23" s="314" t="s">
        <v>611</v>
      </c>
      <c r="C23" s="90">
        <v>7.9720000000000004</v>
      </c>
      <c r="D23" s="90">
        <v>16.635999999999999</v>
      </c>
      <c r="E23" s="90">
        <v>12.206</v>
      </c>
      <c r="F23" s="90">
        <v>0</v>
      </c>
      <c r="G23" s="90">
        <v>0</v>
      </c>
      <c r="H23" s="90">
        <v>0</v>
      </c>
      <c r="I23" s="90">
        <v>0</v>
      </c>
    </row>
    <row r="24" spans="1:23" s="90" customFormat="1">
      <c r="A24" s="281" t="s">
        <v>612</v>
      </c>
      <c r="B24" s="314" t="s">
        <v>613</v>
      </c>
      <c r="C24" s="90">
        <v>29.646999999999998</v>
      </c>
      <c r="D24" s="90">
        <v>28.780999999999999</v>
      </c>
      <c r="E24" s="90">
        <v>28.692</v>
      </c>
      <c r="F24" s="90">
        <v>27.663</v>
      </c>
      <c r="G24" s="90">
        <v>24.122</v>
      </c>
      <c r="H24" s="90">
        <v>24.122</v>
      </c>
      <c r="I24" s="90">
        <v>24.122</v>
      </c>
    </row>
    <row r="25" spans="1:23" s="90" customFormat="1">
      <c r="A25" s="90" t="s">
        <v>612</v>
      </c>
      <c r="B25" s="314" t="s">
        <v>614</v>
      </c>
      <c r="C25" s="90">
        <v>0.48</v>
      </c>
    </row>
    <row r="26" spans="1:23" s="90" customFormat="1">
      <c r="A26" s="314">
        <v>6</v>
      </c>
      <c r="B26" s="90" t="s">
        <v>139</v>
      </c>
      <c r="C26" s="275">
        <v>30.875</v>
      </c>
      <c r="D26" s="275">
        <v>82.507999999999996</v>
      </c>
      <c r="E26" s="275">
        <v>21.568000000000001</v>
      </c>
      <c r="F26" s="275">
        <v>5.4260000000000002</v>
      </c>
      <c r="G26" s="275">
        <v>2.641</v>
      </c>
      <c r="H26" s="275">
        <v>0.56899999999999995</v>
      </c>
      <c r="I26" s="275">
        <v>0</v>
      </c>
    </row>
    <row r="27" spans="1:23" s="90" customFormat="1">
      <c r="A27" s="314">
        <v>6</v>
      </c>
      <c r="B27" s="90" t="s">
        <v>141</v>
      </c>
      <c r="C27" s="275">
        <v>40.927</v>
      </c>
      <c r="D27" s="275">
        <v>60.2</v>
      </c>
      <c r="E27" s="275">
        <v>47.631999999999998</v>
      </c>
      <c r="F27" s="275">
        <v>92.787999999999997</v>
      </c>
      <c r="G27" s="275">
        <v>84.108000000000004</v>
      </c>
      <c r="H27" s="275">
        <v>0</v>
      </c>
      <c r="I27" s="275">
        <v>0</v>
      </c>
    </row>
    <row r="28" spans="1:23" s="90" customFormat="1">
      <c r="A28" s="314">
        <v>6</v>
      </c>
      <c r="B28" s="90" t="s">
        <v>142</v>
      </c>
      <c r="C28" s="275">
        <v>0.20399999999999999</v>
      </c>
      <c r="D28" s="275">
        <v>4.0970000000000004</v>
      </c>
      <c r="E28" s="275">
        <v>26.914000000000001</v>
      </c>
      <c r="F28" s="275">
        <v>27.625</v>
      </c>
      <c r="G28" s="275">
        <v>0</v>
      </c>
      <c r="H28" s="275">
        <v>0</v>
      </c>
      <c r="I28" s="275">
        <v>0</v>
      </c>
    </row>
    <row r="29" spans="1:23" s="90" customFormat="1">
      <c r="A29" s="314">
        <v>14</v>
      </c>
      <c r="B29" s="314" t="s">
        <v>615</v>
      </c>
      <c r="C29" s="314"/>
      <c r="D29" s="314">
        <v>1.23</v>
      </c>
      <c r="E29" s="314">
        <v>1.2050000000000001</v>
      </c>
      <c r="F29" s="314">
        <v>1.2050000000000001</v>
      </c>
      <c r="G29" s="314">
        <v>1.2050000000000001</v>
      </c>
      <c r="H29" s="314">
        <v>1.2050000000000001</v>
      </c>
      <c r="I29" s="314">
        <v>1.405</v>
      </c>
    </row>
    <row r="30" spans="1:23">
      <c r="A30" s="321">
        <v>14</v>
      </c>
      <c r="B30" s="321" t="s">
        <v>616</v>
      </c>
      <c r="C30" s="321">
        <v>3.5</v>
      </c>
      <c r="D30" s="321">
        <v>3.5</v>
      </c>
      <c r="E30" s="321">
        <v>3.5</v>
      </c>
      <c r="F30" s="321">
        <v>3.5</v>
      </c>
      <c r="G30" s="321">
        <v>3.5</v>
      </c>
      <c r="H30" s="321">
        <v>3.5</v>
      </c>
      <c r="I30" s="321">
        <v>3.5</v>
      </c>
      <c r="J30" s="90"/>
      <c r="L30" s="112"/>
    </row>
    <row r="31" spans="1:23">
      <c r="A31" s="321">
        <v>14</v>
      </c>
      <c r="B31" s="321" t="s">
        <v>617</v>
      </c>
      <c r="C31" s="321">
        <v>2.76</v>
      </c>
      <c r="D31" s="321">
        <v>3.3460000000000001</v>
      </c>
      <c r="E31" s="321">
        <v>3.1680000000000001</v>
      </c>
      <c r="F31" s="321">
        <v>3.089</v>
      </c>
      <c r="G31" s="321">
        <v>2.0129999999999999</v>
      </c>
      <c r="H31" s="321">
        <v>2.04</v>
      </c>
      <c r="I31" s="321">
        <v>2.04</v>
      </c>
      <c r="J31" s="90"/>
      <c r="L31" s="112"/>
    </row>
    <row r="32" spans="1:23" s="217" customFormat="1">
      <c r="A32" s="358">
        <v>14</v>
      </c>
      <c r="B32" s="358" t="s">
        <v>618</v>
      </c>
      <c r="C32" s="359">
        <v>24.637</v>
      </c>
      <c r="D32" s="359">
        <v>31.715</v>
      </c>
      <c r="E32" s="359">
        <v>33.640999999999998</v>
      </c>
      <c r="F32" s="359">
        <v>24.718</v>
      </c>
      <c r="G32" s="359">
        <v>23.797999999999998</v>
      </c>
      <c r="H32" s="359">
        <v>23.797999999999998</v>
      </c>
      <c r="I32" s="359">
        <v>23.797999999999998</v>
      </c>
      <c r="J32" s="231"/>
      <c r="K32" s="232"/>
      <c r="L32" s="231"/>
      <c r="M32" s="232"/>
      <c r="N32" s="232"/>
      <c r="O32" s="231"/>
      <c r="P32" s="184"/>
      <c r="Q32" s="5"/>
      <c r="R32" s="5"/>
      <c r="S32" s="5"/>
      <c r="T32" s="5"/>
      <c r="U32" s="5"/>
      <c r="V32" s="5"/>
      <c r="W32" s="5"/>
    </row>
    <row r="33" spans="1:23" s="217" customFormat="1">
      <c r="A33" s="358">
        <v>14</v>
      </c>
      <c r="B33" s="358" t="s">
        <v>619</v>
      </c>
      <c r="C33" s="359"/>
      <c r="D33" s="359">
        <v>3</v>
      </c>
      <c r="E33" s="359">
        <v>2</v>
      </c>
      <c r="F33" s="359"/>
      <c r="G33" s="359"/>
      <c r="H33" s="359"/>
      <c r="I33" s="359"/>
      <c r="J33" s="231"/>
      <c r="K33" s="232"/>
      <c r="L33" s="231"/>
      <c r="M33" s="232"/>
      <c r="N33" s="232"/>
      <c r="O33" s="231"/>
      <c r="P33" s="184"/>
      <c r="Q33" s="5"/>
      <c r="R33" s="5"/>
      <c r="S33" s="5"/>
      <c r="T33" s="5"/>
      <c r="U33" s="5"/>
      <c r="V33" s="5"/>
      <c r="W33" s="5"/>
    </row>
    <row r="34" spans="1:23" s="217" customFormat="1">
      <c r="A34" s="358">
        <v>14</v>
      </c>
      <c r="B34" s="358" t="s">
        <v>620</v>
      </c>
      <c r="C34" s="359">
        <v>5.194</v>
      </c>
      <c r="D34" s="359">
        <v>7.8789999999999996</v>
      </c>
      <c r="E34" s="359">
        <v>5.4649999999999999</v>
      </c>
      <c r="F34" s="359">
        <v>4.8760000000000003</v>
      </c>
      <c r="G34" s="359">
        <v>4.8760000000000003</v>
      </c>
      <c r="H34" s="359">
        <v>4.8760000000000003</v>
      </c>
      <c r="I34" s="359">
        <v>4.8760000000000003</v>
      </c>
      <c r="J34" s="231"/>
      <c r="K34" s="232"/>
      <c r="L34" s="231"/>
      <c r="M34" s="232"/>
      <c r="N34" s="232"/>
      <c r="O34" s="231"/>
      <c r="P34" s="184"/>
      <c r="Q34" s="5"/>
      <c r="R34" s="5"/>
      <c r="S34" s="5"/>
      <c r="T34" s="5"/>
      <c r="U34" s="5"/>
      <c r="V34" s="5"/>
      <c r="W34" s="5"/>
    </row>
    <row r="35" spans="1:23" s="217" customFormat="1">
      <c r="A35" s="358">
        <v>14</v>
      </c>
      <c r="B35" s="358" t="s">
        <v>621</v>
      </c>
      <c r="C35" s="359">
        <v>0.58099999999999996</v>
      </c>
      <c r="D35" s="359">
        <v>9.16</v>
      </c>
      <c r="E35" s="359">
        <v>32.250999999999998</v>
      </c>
      <c r="F35" s="359">
        <v>38.829000000000001</v>
      </c>
      <c r="G35" s="359">
        <v>0.27500000000000002</v>
      </c>
      <c r="H35" s="359">
        <v>9.5000000000000001E-2</v>
      </c>
      <c r="I35" s="359">
        <v>0.27100000000000002</v>
      </c>
      <c r="J35" s="231"/>
      <c r="K35" s="232"/>
      <c r="L35" s="231"/>
      <c r="M35" s="232"/>
      <c r="N35" s="232"/>
      <c r="O35" s="231"/>
      <c r="P35" s="184"/>
      <c r="Q35" s="5"/>
      <c r="R35" s="5"/>
      <c r="S35" s="5"/>
      <c r="T35" s="5"/>
      <c r="U35" s="5"/>
      <c r="V35" s="5"/>
      <c r="W35" s="5"/>
    </row>
    <row r="36" spans="1:23">
      <c r="A36" s="321">
        <v>15</v>
      </c>
      <c r="B36" s="321" t="s">
        <v>622</v>
      </c>
      <c r="C36" s="321">
        <v>0</v>
      </c>
      <c r="D36" s="321">
        <v>1.536</v>
      </c>
      <c r="E36" s="321">
        <v>1.536</v>
      </c>
      <c r="F36" s="321">
        <v>1.536</v>
      </c>
      <c r="G36" s="321">
        <v>1.536</v>
      </c>
      <c r="H36" s="321">
        <v>1.536</v>
      </c>
      <c r="I36" s="321">
        <v>1.536</v>
      </c>
      <c r="J36" s="90"/>
      <c r="L36" s="112"/>
    </row>
    <row r="37" spans="1:23" s="3" customFormat="1" ht="14.4">
      <c r="A37" s="360"/>
      <c r="B37" s="329" t="s">
        <v>201</v>
      </c>
      <c r="C37" s="332">
        <f t="shared" ref="C37:I37" si="0">SUM(C5:C36)</f>
        <v>259.14226167999999</v>
      </c>
      <c r="D37" s="332">
        <f t="shared" si="0"/>
        <v>435.81386072000004</v>
      </c>
      <c r="E37" s="332">
        <f t="shared" si="0"/>
        <v>429.56930695999995</v>
      </c>
      <c r="F37" s="332">
        <f t="shared" si="0"/>
        <v>437.57705664000002</v>
      </c>
      <c r="G37" s="332">
        <f t="shared" si="0"/>
        <v>299.81402918397913</v>
      </c>
      <c r="H37" s="332">
        <f t="shared" si="0"/>
        <v>136.19617506655354</v>
      </c>
      <c r="I37" s="332">
        <f t="shared" si="0"/>
        <v>130.82117506655351</v>
      </c>
    </row>
    <row r="38" spans="1:23">
      <c r="C38" s="49"/>
      <c r="D38" s="49"/>
      <c r="E38" s="49"/>
      <c r="F38" s="49"/>
      <c r="G38" s="49"/>
      <c r="H38" s="49"/>
      <c r="I38" s="49"/>
    </row>
    <row r="39" spans="1:23" s="57" customFormat="1" ht="14.4">
      <c r="A39" s="189"/>
      <c r="B39" s="189" t="s">
        <v>202</v>
      </c>
      <c r="C39" s="189"/>
      <c r="D39" s="189"/>
      <c r="E39" s="189"/>
      <c r="F39" s="189"/>
      <c r="G39" s="189"/>
      <c r="H39" s="189"/>
      <c r="I39" s="189"/>
      <c r="J39" s="189"/>
      <c r="K39" s="189"/>
      <c r="L39" s="189"/>
    </row>
    <row r="40" spans="1:23" s="57" customFormat="1" ht="14.4">
      <c r="B40" s="38" t="s">
        <v>623</v>
      </c>
      <c r="C40" s="234">
        <v>15.436</v>
      </c>
      <c r="D40" s="234">
        <v>139.26599999999999</v>
      </c>
      <c r="E40" s="234">
        <v>69.878</v>
      </c>
      <c r="F40" s="234">
        <v>76.858999999999995</v>
      </c>
      <c r="G40" s="234">
        <v>68.994</v>
      </c>
      <c r="H40" s="234">
        <v>68.781999999999996</v>
      </c>
      <c r="I40" s="234">
        <v>68.781999999999996</v>
      </c>
    </row>
    <row r="41" spans="1:23">
      <c r="B41" s="4" t="s">
        <v>624</v>
      </c>
      <c r="C41" s="127">
        <v>0</v>
      </c>
      <c r="D41" s="127">
        <v>0</v>
      </c>
      <c r="E41" s="127">
        <v>0</v>
      </c>
      <c r="F41" s="127">
        <v>0</v>
      </c>
      <c r="G41" s="127">
        <v>0</v>
      </c>
      <c r="H41" s="127">
        <v>0</v>
      </c>
      <c r="I41" s="127">
        <v>0</v>
      </c>
    </row>
    <row r="42" spans="1:23" ht="14.4">
      <c r="B42" s="1" t="s">
        <v>218</v>
      </c>
      <c r="C42" s="9">
        <f t="shared" ref="C42:I42" si="1">SUM(C40:C41)</f>
        <v>15.436</v>
      </c>
      <c r="D42" s="9">
        <f t="shared" si="1"/>
        <v>139.26599999999999</v>
      </c>
      <c r="E42" s="9">
        <f t="shared" si="1"/>
        <v>69.878</v>
      </c>
      <c r="F42" s="9">
        <f t="shared" si="1"/>
        <v>76.858999999999995</v>
      </c>
      <c r="G42" s="9">
        <f t="shared" si="1"/>
        <v>68.994</v>
      </c>
      <c r="H42" s="9">
        <f t="shared" si="1"/>
        <v>68.781999999999996</v>
      </c>
      <c r="I42" s="9">
        <f t="shared" si="1"/>
        <v>68.781999999999996</v>
      </c>
    </row>
    <row r="43" spans="1:23">
      <c r="C43" s="49"/>
    </row>
    <row r="44" spans="1:23" ht="14.4">
      <c r="A44" s="189"/>
      <c r="B44" s="189" t="s">
        <v>219</v>
      </c>
      <c r="C44" s="12"/>
      <c r="D44" s="22"/>
      <c r="E44" s="22"/>
      <c r="F44" s="22"/>
      <c r="G44" s="22"/>
      <c r="H44" s="22"/>
      <c r="I44" s="22"/>
      <c r="J44" s="22"/>
      <c r="K44" s="21"/>
      <c r="L44" s="23"/>
      <c r="M44" s="29"/>
      <c r="N44" s="29"/>
    </row>
    <row r="45" spans="1:23">
      <c r="A45" s="229" t="s">
        <v>625</v>
      </c>
      <c r="B45" s="90" t="s">
        <v>626</v>
      </c>
      <c r="C45" s="127"/>
      <c r="D45" s="127"/>
      <c r="E45" s="127"/>
      <c r="F45" s="127"/>
      <c r="G45" s="127"/>
      <c r="H45" s="127"/>
      <c r="I45" s="127"/>
      <c r="J45" s="126">
        <v>100</v>
      </c>
      <c r="K45" s="4" t="s">
        <v>108</v>
      </c>
    </row>
    <row r="46" spans="1:23">
      <c r="A46" s="229" t="s">
        <v>627</v>
      </c>
      <c r="B46" s="90" t="s">
        <v>628</v>
      </c>
      <c r="C46" s="127">
        <v>0</v>
      </c>
      <c r="D46" s="127">
        <v>0</v>
      </c>
      <c r="E46" s="127">
        <v>3</v>
      </c>
      <c r="F46" s="127">
        <v>13.5</v>
      </c>
      <c r="G46" s="127">
        <v>23.591000000000001</v>
      </c>
      <c r="H46" s="127">
        <v>22.568999999999999</v>
      </c>
      <c r="I46" s="127">
        <v>23.25</v>
      </c>
      <c r="J46" s="126"/>
    </row>
    <row r="47" spans="1:23">
      <c r="A47" s="229" t="s">
        <v>629</v>
      </c>
      <c r="B47" s="90" t="s">
        <v>630</v>
      </c>
      <c r="C47" s="127">
        <v>0</v>
      </c>
      <c r="D47" s="127">
        <v>0</v>
      </c>
      <c r="E47" s="127">
        <v>2.5</v>
      </c>
      <c r="F47" s="127">
        <v>10.25</v>
      </c>
      <c r="G47" s="127">
        <v>15.725</v>
      </c>
      <c r="H47" s="127">
        <v>13.787000000000001</v>
      </c>
      <c r="I47" s="127">
        <v>14.988</v>
      </c>
      <c r="J47" s="126">
        <v>100</v>
      </c>
    </row>
    <row r="48" spans="1:23">
      <c r="A48" s="229" t="s">
        <v>631</v>
      </c>
      <c r="B48" s="90" t="s">
        <v>632</v>
      </c>
      <c r="C48" s="127">
        <v>0</v>
      </c>
      <c r="D48" s="127">
        <v>0</v>
      </c>
      <c r="E48" s="127">
        <v>0</v>
      </c>
      <c r="F48" s="127">
        <v>5</v>
      </c>
      <c r="G48" s="127">
        <v>8</v>
      </c>
      <c r="H48" s="127">
        <v>5</v>
      </c>
      <c r="I48" s="127">
        <v>0</v>
      </c>
      <c r="J48" s="126">
        <v>100</v>
      </c>
    </row>
    <row r="49" spans="1:11">
      <c r="A49" s="308" t="s">
        <v>271</v>
      </c>
      <c r="B49" s="314" t="s">
        <v>633</v>
      </c>
      <c r="C49" s="315">
        <v>5.9640000000000004</v>
      </c>
      <c r="D49" s="315">
        <v>6.8369999999999997</v>
      </c>
      <c r="E49" s="315">
        <v>7.0380000000000003</v>
      </c>
      <c r="F49" s="315">
        <v>4.91</v>
      </c>
      <c r="G49" s="315">
        <v>6.3E-2</v>
      </c>
      <c r="H49" s="315">
        <v>0.11</v>
      </c>
      <c r="I49" s="315">
        <v>0.104</v>
      </c>
      <c r="J49" s="361"/>
      <c r="K49" s="321"/>
    </row>
    <row r="50" spans="1:11">
      <c r="A50" s="308" t="s">
        <v>634</v>
      </c>
      <c r="B50" s="314" t="s">
        <v>635</v>
      </c>
      <c r="C50" s="315">
        <v>0.54200000000000004</v>
      </c>
      <c r="D50" s="315">
        <v>0.45600000000000002</v>
      </c>
      <c r="E50" s="315">
        <v>0.38800000000000001</v>
      </c>
      <c r="F50" s="315">
        <v>0.379</v>
      </c>
      <c r="G50" s="315">
        <v>0.64</v>
      </c>
      <c r="H50" s="315">
        <v>0.64</v>
      </c>
      <c r="I50" s="315">
        <v>0.64</v>
      </c>
      <c r="J50" s="361"/>
      <c r="K50" s="321"/>
    </row>
    <row r="51" spans="1:11">
      <c r="A51" s="308" t="s">
        <v>636</v>
      </c>
      <c r="B51" s="314" t="s">
        <v>637</v>
      </c>
      <c r="C51" s="315">
        <v>4.1068470000000001</v>
      </c>
      <c r="D51" s="315">
        <v>5.7290000000000001</v>
      </c>
      <c r="E51" s="315">
        <v>9.4130000000000003</v>
      </c>
      <c r="F51" s="315">
        <v>0</v>
      </c>
      <c r="G51" s="315">
        <v>0</v>
      </c>
      <c r="H51" s="315">
        <v>0</v>
      </c>
      <c r="I51" s="315">
        <v>0</v>
      </c>
      <c r="J51" s="361">
        <v>100</v>
      </c>
      <c r="K51" s="321" t="s">
        <v>638</v>
      </c>
    </row>
    <row r="52" spans="1:11">
      <c r="A52" s="308" t="s">
        <v>639</v>
      </c>
      <c r="B52" s="314" t="s">
        <v>640</v>
      </c>
      <c r="C52" s="315">
        <v>0</v>
      </c>
      <c r="D52" s="315">
        <v>3.2029999999999998</v>
      </c>
      <c r="E52" s="315">
        <v>3.55</v>
      </c>
      <c r="F52" s="315">
        <v>2.0499999999999998</v>
      </c>
      <c r="G52" s="315">
        <v>0</v>
      </c>
      <c r="H52" s="315">
        <v>0</v>
      </c>
      <c r="I52" s="315">
        <v>0</v>
      </c>
      <c r="J52" s="361">
        <v>100</v>
      </c>
      <c r="K52" s="321" t="s">
        <v>641</v>
      </c>
    </row>
    <row r="53" spans="1:11">
      <c r="A53" s="308" t="s">
        <v>642</v>
      </c>
      <c r="B53" s="314" t="s">
        <v>643</v>
      </c>
      <c r="C53" s="315">
        <v>5.6070000000000002</v>
      </c>
      <c r="D53" s="315">
        <v>5.6070000000000002</v>
      </c>
      <c r="E53" s="315">
        <v>7.2</v>
      </c>
      <c r="F53" s="315"/>
      <c r="G53" s="315"/>
      <c r="H53" s="315"/>
      <c r="I53" s="315"/>
      <c r="J53" s="361"/>
      <c r="K53" s="321"/>
    </row>
    <row r="54" spans="1:11">
      <c r="A54" s="308" t="s">
        <v>254</v>
      </c>
      <c r="B54" s="314" t="s">
        <v>644</v>
      </c>
      <c r="C54" s="315">
        <v>8.85</v>
      </c>
      <c r="D54" s="315">
        <v>9.0410000000000004</v>
      </c>
      <c r="E54" s="315">
        <v>8.76</v>
      </c>
      <c r="F54" s="315">
        <v>5.89</v>
      </c>
      <c r="G54" s="315">
        <v>4.931</v>
      </c>
      <c r="H54" s="315">
        <v>2.3280000000000003</v>
      </c>
      <c r="I54" s="315">
        <v>1.641</v>
      </c>
      <c r="J54" s="361"/>
      <c r="K54" s="321" t="s">
        <v>256</v>
      </c>
    </row>
    <row r="55" spans="1:11">
      <c r="A55" s="314" t="s">
        <v>645</v>
      </c>
      <c r="B55" s="314" t="s">
        <v>646</v>
      </c>
      <c r="C55" s="315">
        <v>19.704522999999998</v>
      </c>
      <c r="D55" s="315">
        <v>7.3970000000000002</v>
      </c>
      <c r="E55" s="315">
        <v>3.698</v>
      </c>
      <c r="F55" s="315">
        <v>0</v>
      </c>
      <c r="G55" s="315">
        <v>0</v>
      </c>
      <c r="H55" s="315">
        <v>0</v>
      </c>
      <c r="I55" s="315">
        <v>0</v>
      </c>
      <c r="J55" s="361">
        <v>100</v>
      </c>
      <c r="K55" s="321" t="s">
        <v>647</v>
      </c>
    </row>
    <row r="56" spans="1:11">
      <c r="A56" s="314" t="s">
        <v>275</v>
      </c>
      <c r="B56" s="314" t="s">
        <v>648</v>
      </c>
      <c r="C56" s="317">
        <v>1.0740000000000001</v>
      </c>
      <c r="D56" s="317">
        <v>25.800999999999998</v>
      </c>
      <c r="E56" s="317">
        <v>42.74</v>
      </c>
      <c r="F56" s="317">
        <v>29.565999999999999</v>
      </c>
      <c r="G56" s="317">
        <v>21.754000000000001</v>
      </c>
      <c r="H56" s="317">
        <v>18.940000000000001</v>
      </c>
      <c r="I56" s="317">
        <v>41.29</v>
      </c>
      <c r="J56" s="361">
        <v>100</v>
      </c>
      <c r="K56" s="321" t="s">
        <v>276</v>
      </c>
    </row>
    <row r="57" spans="1:11">
      <c r="A57" s="314" t="s">
        <v>649</v>
      </c>
      <c r="B57" s="314" t="s">
        <v>650</v>
      </c>
      <c r="C57" s="315">
        <v>12.456815000000001</v>
      </c>
      <c r="D57" s="315">
        <v>10.528</v>
      </c>
      <c r="E57" s="315">
        <v>9.9619999999999997</v>
      </c>
      <c r="F57" s="315">
        <v>7.6420000000000003</v>
      </c>
      <c r="G57" s="315">
        <v>0</v>
      </c>
      <c r="H57" s="315">
        <v>0</v>
      </c>
      <c r="I57" s="315">
        <v>0</v>
      </c>
      <c r="J57" s="361">
        <v>100</v>
      </c>
      <c r="K57" s="321" t="s">
        <v>651</v>
      </c>
    </row>
    <row r="58" spans="1:11">
      <c r="A58" s="308" t="s">
        <v>652</v>
      </c>
      <c r="B58" s="314" t="s">
        <v>653</v>
      </c>
      <c r="C58" s="315">
        <v>1.881</v>
      </c>
      <c r="D58" s="315">
        <v>2.3980000000000001</v>
      </c>
      <c r="E58" s="315">
        <v>8.0790000000000006</v>
      </c>
      <c r="F58" s="315">
        <v>2.4849999999999999</v>
      </c>
      <c r="G58" s="315">
        <v>1.4</v>
      </c>
      <c r="H58" s="315">
        <v>0.49299999999999999</v>
      </c>
      <c r="I58" s="315"/>
      <c r="J58" s="361">
        <v>100</v>
      </c>
      <c r="K58" s="321" t="s">
        <v>148</v>
      </c>
    </row>
    <row r="59" spans="1:11">
      <c r="A59" s="314" t="s">
        <v>654</v>
      </c>
      <c r="B59" s="314" t="s">
        <v>655</v>
      </c>
      <c r="C59" s="315">
        <v>10.055</v>
      </c>
      <c r="D59" s="315">
        <v>23.744</v>
      </c>
      <c r="E59" s="315">
        <v>14.84</v>
      </c>
      <c r="F59" s="315">
        <v>14.84</v>
      </c>
      <c r="G59" s="315">
        <v>5.9349999999999996</v>
      </c>
      <c r="H59" s="315"/>
      <c r="I59" s="315"/>
      <c r="J59" s="361">
        <v>100</v>
      </c>
      <c r="K59" s="321" t="s">
        <v>656</v>
      </c>
    </row>
    <row r="60" spans="1:11">
      <c r="A60" s="308" t="s">
        <v>657</v>
      </c>
      <c r="B60" s="314" t="s">
        <v>658</v>
      </c>
      <c r="C60" s="315">
        <v>0.35799999999999998</v>
      </c>
      <c r="D60" s="315">
        <v>0</v>
      </c>
      <c r="E60" s="315">
        <v>0</v>
      </c>
      <c r="F60" s="315">
        <v>0</v>
      </c>
      <c r="G60" s="315">
        <v>0</v>
      </c>
      <c r="H60" s="315">
        <v>0</v>
      </c>
      <c r="I60" s="315">
        <v>0</v>
      </c>
      <c r="J60" s="361">
        <v>100</v>
      </c>
      <c r="K60" s="321" t="s">
        <v>320</v>
      </c>
    </row>
    <row r="61" spans="1:11">
      <c r="A61" s="308" t="s">
        <v>657</v>
      </c>
      <c r="B61" s="314" t="s">
        <v>659</v>
      </c>
      <c r="C61" s="315">
        <v>0.25</v>
      </c>
      <c r="D61" s="315">
        <v>0</v>
      </c>
      <c r="E61" s="315">
        <v>0</v>
      </c>
      <c r="F61" s="315">
        <v>0</v>
      </c>
      <c r="G61" s="315">
        <v>0</v>
      </c>
      <c r="H61" s="315">
        <v>0</v>
      </c>
      <c r="I61" s="315">
        <v>0</v>
      </c>
      <c r="J61" s="361">
        <v>100</v>
      </c>
      <c r="K61" s="321" t="s">
        <v>660</v>
      </c>
    </row>
    <row r="62" spans="1:11">
      <c r="A62" s="308" t="s">
        <v>661</v>
      </c>
      <c r="B62" s="314" t="s">
        <v>662</v>
      </c>
      <c r="C62" s="315">
        <v>7.5481000000000006E-2</v>
      </c>
      <c r="D62" s="315">
        <v>0</v>
      </c>
      <c r="E62" s="315">
        <v>0</v>
      </c>
      <c r="F62" s="315">
        <v>0</v>
      </c>
      <c r="G62" s="315">
        <v>0</v>
      </c>
      <c r="H62" s="315">
        <v>0</v>
      </c>
      <c r="I62" s="315">
        <v>0</v>
      </c>
      <c r="J62" s="361">
        <v>100</v>
      </c>
      <c r="K62" s="321" t="s">
        <v>663</v>
      </c>
    </row>
    <row r="63" spans="1:11">
      <c r="A63" s="308" t="s">
        <v>664</v>
      </c>
      <c r="B63" s="314" t="s">
        <v>665</v>
      </c>
      <c r="C63" s="315">
        <v>0</v>
      </c>
      <c r="D63" s="315">
        <v>0</v>
      </c>
      <c r="E63" s="315">
        <v>3.3</v>
      </c>
      <c r="F63" s="315">
        <v>11.14</v>
      </c>
      <c r="G63" s="315">
        <v>18.190000000000001</v>
      </c>
      <c r="H63" s="315">
        <v>30.68</v>
      </c>
      <c r="I63" s="315">
        <v>41.89</v>
      </c>
      <c r="J63" s="361">
        <v>100</v>
      </c>
      <c r="K63" s="321" t="s">
        <v>663</v>
      </c>
    </row>
    <row r="64" spans="1:11">
      <c r="A64" s="308" t="s">
        <v>666</v>
      </c>
      <c r="B64" s="314" t="s">
        <v>667</v>
      </c>
      <c r="C64" s="315">
        <v>0</v>
      </c>
      <c r="D64" s="315">
        <v>0</v>
      </c>
      <c r="E64" s="315">
        <v>5.91</v>
      </c>
      <c r="F64" s="315">
        <v>16.032</v>
      </c>
      <c r="G64" s="315">
        <v>13.99</v>
      </c>
      <c r="H64" s="315">
        <v>7.766</v>
      </c>
      <c r="I64" s="315">
        <v>0.6</v>
      </c>
      <c r="J64" s="361">
        <v>100</v>
      </c>
      <c r="K64" s="321" t="s">
        <v>668</v>
      </c>
    </row>
    <row r="65" spans="1:12">
      <c r="A65" s="308" t="s">
        <v>669</v>
      </c>
      <c r="B65" s="314" t="s">
        <v>670</v>
      </c>
      <c r="C65" s="315">
        <v>0</v>
      </c>
      <c r="D65" s="315">
        <v>0.23400000000000001</v>
      </c>
      <c r="E65" s="315">
        <v>3.55</v>
      </c>
      <c r="F65" s="315">
        <v>16.309999999999999</v>
      </c>
      <c r="G65" s="315">
        <v>38.409999999999997</v>
      </c>
      <c r="H65" s="315">
        <v>44.502000000000002</v>
      </c>
      <c r="I65" s="315">
        <v>73.176000000000002</v>
      </c>
      <c r="J65" s="361">
        <v>100</v>
      </c>
      <c r="K65" s="321" t="s">
        <v>671</v>
      </c>
    </row>
    <row r="66" spans="1:12" s="3" customFormat="1" ht="14.4">
      <c r="A66" s="57"/>
      <c r="B66" s="3" t="s">
        <v>277</v>
      </c>
      <c r="C66" s="9">
        <f t="shared" ref="C66:I66" si="2">SUM(C45:C65)</f>
        <v>70.924666000000002</v>
      </c>
      <c r="D66" s="9">
        <f t="shared" si="2"/>
        <v>100.97499999999999</v>
      </c>
      <c r="E66" s="9">
        <f t="shared" si="2"/>
        <v>133.92800000000003</v>
      </c>
      <c r="F66" s="9">
        <f t="shared" si="2"/>
        <v>139.99399999999997</v>
      </c>
      <c r="G66" s="9">
        <f t="shared" si="2"/>
        <v>152.62900000000002</v>
      </c>
      <c r="H66" s="9">
        <f t="shared" si="2"/>
        <v>146.81500000000003</v>
      </c>
      <c r="I66" s="9">
        <f t="shared" si="2"/>
        <v>197.57900000000001</v>
      </c>
    </row>
    <row r="67" spans="1:12">
      <c r="C67" s="46"/>
      <c r="D67" s="1"/>
      <c r="E67" s="1"/>
      <c r="F67" s="1"/>
      <c r="G67" s="1"/>
      <c r="H67" s="1"/>
      <c r="I67" s="1"/>
    </row>
    <row r="68" spans="1:12">
      <c r="A68" s="67"/>
      <c r="B68" s="246" t="s">
        <v>672</v>
      </c>
      <c r="C68" s="188"/>
      <c r="D68" s="14"/>
      <c r="E68" s="14"/>
      <c r="F68" s="14"/>
      <c r="G68" s="14"/>
      <c r="H68" s="14"/>
      <c r="I68" s="14"/>
      <c r="J68" s="14"/>
      <c r="K68" s="14"/>
      <c r="L68" s="14"/>
    </row>
    <row r="69" spans="1:12">
      <c r="A69" s="10">
        <v>1</v>
      </c>
      <c r="B69" s="90" t="s">
        <v>1073</v>
      </c>
      <c r="C69" s="5">
        <v>2.0944000000000003</v>
      </c>
      <c r="D69" s="5">
        <v>2.1564000000000001</v>
      </c>
      <c r="E69" s="5">
        <v>3.7832000000000003</v>
      </c>
      <c r="F69" s="5">
        <v>2.5304000000000002</v>
      </c>
      <c r="G69" s="5">
        <v>3.274</v>
      </c>
      <c r="H69" s="5">
        <v>3.5024000000000002</v>
      </c>
      <c r="I69" s="5">
        <v>3.5352000000000001</v>
      </c>
      <c r="J69" s="4">
        <v>40</v>
      </c>
    </row>
    <row r="70" spans="1:12">
      <c r="A70" s="10">
        <v>1</v>
      </c>
      <c r="B70" s="90" t="s">
        <v>673</v>
      </c>
      <c r="C70" s="4">
        <v>4.05</v>
      </c>
      <c r="D70" s="4">
        <v>9.7309999999999999</v>
      </c>
      <c r="E70" s="5">
        <v>13.775</v>
      </c>
      <c r="F70" s="5">
        <v>11.346</v>
      </c>
      <c r="G70" s="5">
        <v>3.6469999999999998</v>
      </c>
      <c r="H70" s="5">
        <v>0.44600000000000001</v>
      </c>
      <c r="I70" s="5">
        <v>0</v>
      </c>
      <c r="J70" s="4">
        <v>100</v>
      </c>
    </row>
    <row r="71" spans="1:12">
      <c r="A71" s="10">
        <v>1</v>
      </c>
      <c r="B71" s="90" t="s">
        <v>674</v>
      </c>
      <c r="C71" s="5">
        <v>1.7049000000000001</v>
      </c>
      <c r="D71" s="5">
        <v>1.986</v>
      </c>
      <c r="E71" s="5">
        <v>3.1699000000000002</v>
      </c>
      <c r="F71" s="5">
        <v>3.6471000000000005</v>
      </c>
      <c r="G71" s="5">
        <v>2.8281000000000005</v>
      </c>
      <c r="H71" s="5">
        <v>2.6221000000000005</v>
      </c>
      <c r="I71" s="5">
        <v>1.2278000000000002</v>
      </c>
      <c r="J71" s="4">
        <v>10</v>
      </c>
    </row>
    <row r="72" spans="1:12">
      <c r="A72" s="10">
        <v>1</v>
      </c>
      <c r="B72" s="90" t="s">
        <v>295</v>
      </c>
      <c r="C72" s="5">
        <v>0</v>
      </c>
      <c r="D72" s="5">
        <v>3.18</v>
      </c>
      <c r="E72" s="5">
        <v>3.8414999999999999</v>
      </c>
      <c r="F72" s="5">
        <v>3.3</v>
      </c>
      <c r="G72" s="5">
        <v>3.8664999999999998</v>
      </c>
      <c r="H72" s="5">
        <v>7.3010000000000002</v>
      </c>
      <c r="I72" s="5">
        <v>16.073499999999999</v>
      </c>
      <c r="J72" s="4">
        <v>50</v>
      </c>
    </row>
    <row r="73" spans="1:12">
      <c r="A73" s="10">
        <v>1</v>
      </c>
      <c r="B73" s="314" t="s">
        <v>297</v>
      </c>
      <c r="C73" s="312">
        <v>4.7636000000000003</v>
      </c>
      <c r="D73" s="312">
        <v>5.3456000000000001</v>
      </c>
      <c r="E73" s="312">
        <v>1.9364000000000001</v>
      </c>
      <c r="F73" s="312">
        <v>0</v>
      </c>
      <c r="G73" s="312">
        <v>0</v>
      </c>
      <c r="H73" s="312">
        <v>0</v>
      </c>
      <c r="I73" s="312">
        <v>0</v>
      </c>
      <c r="J73" s="321">
        <v>20</v>
      </c>
    </row>
    <row r="74" spans="1:12">
      <c r="A74" s="10">
        <v>1</v>
      </c>
      <c r="B74" s="314" t="s">
        <v>299</v>
      </c>
      <c r="C74" s="312">
        <v>0</v>
      </c>
      <c r="D74" s="312">
        <v>3.3310499999999998</v>
      </c>
      <c r="E74" s="312">
        <v>3.0301499999999999</v>
      </c>
      <c r="F74" s="312">
        <v>3.0301499999999999</v>
      </c>
      <c r="G74" s="312">
        <v>2.3010000000000002</v>
      </c>
      <c r="H74" s="312">
        <v>1.7179500000000001</v>
      </c>
      <c r="I74" s="312">
        <v>1.7179500000000001</v>
      </c>
      <c r="J74" s="321">
        <v>15</v>
      </c>
    </row>
    <row r="75" spans="1:12">
      <c r="A75" s="314">
        <v>2</v>
      </c>
      <c r="B75" s="314" t="s">
        <v>675</v>
      </c>
      <c r="C75" s="312">
        <v>1.0619000000000001</v>
      </c>
      <c r="D75" s="312">
        <v>0.65200000000000002</v>
      </c>
      <c r="E75" s="312">
        <v>1.4213000000000002</v>
      </c>
      <c r="F75" s="312">
        <v>1.3508000000000002</v>
      </c>
      <c r="G75" s="312">
        <v>1.944</v>
      </c>
      <c r="H75" s="312">
        <v>1.944</v>
      </c>
      <c r="I75" s="312">
        <v>1.944</v>
      </c>
      <c r="J75" s="321">
        <v>10</v>
      </c>
    </row>
    <row r="76" spans="1:12">
      <c r="A76" s="314">
        <v>2</v>
      </c>
      <c r="B76" s="314" t="s">
        <v>309</v>
      </c>
      <c r="C76" s="312">
        <v>3.1532000000000004</v>
      </c>
      <c r="D76" s="312">
        <v>3.1862000000000004</v>
      </c>
      <c r="E76" s="312">
        <v>1.7753000000000001</v>
      </c>
      <c r="F76" s="312">
        <v>0.86640000000000006</v>
      </c>
      <c r="G76" s="312">
        <v>0</v>
      </c>
      <c r="H76" s="312">
        <v>0</v>
      </c>
      <c r="I76" s="312">
        <v>0</v>
      </c>
      <c r="J76" s="321">
        <v>10</v>
      </c>
    </row>
    <row r="77" spans="1:12">
      <c r="A77" s="314">
        <v>2</v>
      </c>
      <c r="B77" s="314" t="s">
        <v>676</v>
      </c>
      <c r="C77" s="312">
        <v>0</v>
      </c>
      <c r="D77" s="312">
        <v>0.80499999999999994</v>
      </c>
      <c r="E77" s="312">
        <v>3.9794999999999998</v>
      </c>
      <c r="F77" s="312">
        <v>3.5419999999999998</v>
      </c>
      <c r="G77" s="312">
        <v>3.3460000000000001</v>
      </c>
      <c r="H77" s="312">
        <v>3.0541</v>
      </c>
      <c r="I77" s="312">
        <v>8.1381999999999994</v>
      </c>
      <c r="J77" s="321">
        <v>70</v>
      </c>
    </row>
    <row r="78" spans="1:12">
      <c r="A78" s="314">
        <v>2</v>
      </c>
      <c r="B78" s="314" t="s">
        <v>677</v>
      </c>
      <c r="C78" s="312">
        <v>5.5389999999999997</v>
      </c>
      <c r="D78" s="312">
        <v>4.5350000000000001</v>
      </c>
      <c r="E78" s="312">
        <v>6.694</v>
      </c>
      <c r="F78" s="312">
        <v>7.6864999999999997</v>
      </c>
      <c r="G78" s="312">
        <v>5.5114999999999998</v>
      </c>
      <c r="H78" s="312">
        <v>3.278</v>
      </c>
      <c r="I78" s="312">
        <v>2.8765000000000001</v>
      </c>
      <c r="J78" s="321">
        <v>50</v>
      </c>
    </row>
    <row r="79" spans="1:12">
      <c r="A79" s="314">
        <v>2</v>
      </c>
      <c r="B79" s="314" t="s">
        <v>678</v>
      </c>
      <c r="C79" s="312">
        <v>8.0395000000000003</v>
      </c>
      <c r="D79" s="312">
        <v>11.4625</v>
      </c>
      <c r="E79" s="312">
        <v>42.293499999999995</v>
      </c>
      <c r="F79" s="312">
        <v>12.7515</v>
      </c>
      <c r="G79" s="312">
        <v>24.319500000000001</v>
      </c>
      <c r="H79" s="312">
        <v>7.9340000000000002</v>
      </c>
      <c r="I79" s="312">
        <v>0</v>
      </c>
      <c r="J79" s="321">
        <v>50</v>
      </c>
    </row>
    <row r="80" spans="1:12">
      <c r="A80" s="314">
        <v>2</v>
      </c>
      <c r="B80" s="314" t="s">
        <v>316</v>
      </c>
      <c r="C80" s="312">
        <v>0</v>
      </c>
      <c r="D80" s="312">
        <v>0</v>
      </c>
      <c r="E80" s="312">
        <v>0</v>
      </c>
      <c r="F80" s="312">
        <v>11.25</v>
      </c>
      <c r="G80" s="312">
        <v>16.25</v>
      </c>
      <c r="H80" s="312">
        <v>16.25</v>
      </c>
      <c r="I80" s="312">
        <v>16.25</v>
      </c>
      <c r="J80" s="321"/>
    </row>
    <row r="81" spans="1:14">
      <c r="A81" s="314">
        <v>2</v>
      </c>
      <c r="B81" s="314" t="s">
        <v>679</v>
      </c>
      <c r="C81" s="312">
        <v>5.6160000000000005</v>
      </c>
      <c r="D81" s="312">
        <v>4.3250000000000002</v>
      </c>
      <c r="E81" s="312">
        <v>6.7140000000000004</v>
      </c>
      <c r="F81" s="312">
        <v>6.0860000000000003</v>
      </c>
      <c r="G81" s="312">
        <v>4.9009999999999998</v>
      </c>
      <c r="H81" s="312">
        <v>2.476</v>
      </c>
      <c r="I81" s="312">
        <v>0</v>
      </c>
      <c r="J81" s="321">
        <v>100</v>
      </c>
    </row>
    <row r="82" spans="1:14">
      <c r="A82" s="314">
        <v>2</v>
      </c>
      <c r="B82" s="314" t="s">
        <v>680</v>
      </c>
      <c r="C82" s="312">
        <v>37.428100000000001</v>
      </c>
      <c r="D82" s="312">
        <v>32.013480000000001</v>
      </c>
      <c r="E82" s="312">
        <v>29.84843</v>
      </c>
      <c r="F82" s="312">
        <v>29.335999999999999</v>
      </c>
      <c r="G82" s="312">
        <v>25.70111</v>
      </c>
      <c r="H82" s="312">
        <v>22.680109999999999</v>
      </c>
      <c r="I82" s="312">
        <v>26.610260000000004</v>
      </c>
      <c r="J82" s="321">
        <v>19</v>
      </c>
    </row>
    <row r="83" spans="1:14">
      <c r="A83" s="314">
        <v>2</v>
      </c>
      <c r="B83" s="314" t="s">
        <v>681</v>
      </c>
      <c r="C83" s="312">
        <v>10.710800000000001</v>
      </c>
      <c r="D83" s="312">
        <v>12.830800000000002</v>
      </c>
      <c r="E83" s="312">
        <v>9.6308000000000007</v>
      </c>
      <c r="F83" s="312">
        <v>9.6308000000000007</v>
      </c>
      <c r="G83" s="312">
        <v>9.6308000000000007</v>
      </c>
      <c r="H83" s="312">
        <v>9.6308000000000007</v>
      </c>
      <c r="I83" s="312">
        <v>9.6308000000000007</v>
      </c>
      <c r="J83" s="321">
        <v>40</v>
      </c>
    </row>
    <row r="84" spans="1:14">
      <c r="A84" s="314">
        <v>2</v>
      </c>
      <c r="B84" s="314" t="s">
        <v>682</v>
      </c>
      <c r="C84" s="312">
        <v>1.6800000000000002E-2</v>
      </c>
      <c r="D84" s="312">
        <v>0</v>
      </c>
      <c r="E84" s="312">
        <v>0</v>
      </c>
      <c r="F84" s="312">
        <v>0</v>
      </c>
      <c r="G84" s="312">
        <v>0</v>
      </c>
      <c r="H84" s="312">
        <v>0</v>
      </c>
      <c r="I84" s="312">
        <v>0</v>
      </c>
      <c r="J84" s="321">
        <v>40</v>
      </c>
    </row>
    <row r="85" spans="1:14">
      <c r="A85" s="314">
        <v>2</v>
      </c>
      <c r="B85" s="314" t="s">
        <v>683</v>
      </c>
      <c r="C85" s="312">
        <v>11.994</v>
      </c>
      <c r="D85" s="312">
        <v>12.248250000000001</v>
      </c>
      <c r="E85" s="312">
        <v>3.867</v>
      </c>
      <c r="F85" s="312">
        <v>3.117</v>
      </c>
      <c r="G85" s="312">
        <v>0.11700000000000001</v>
      </c>
      <c r="H85" s="312">
        <v>0.11700000000000001</v>
      </c>
      <c r="I85" s="312">
        <v>0.11700000000000001</v>
      </c>
      <c r="J85" s="321">
        <v>75</v>
      </c>
    </row>
    <row r="86" spans="1:14">
      <c r="A86" s="314">
        <v>2</v>
      </c>
      <c r="B86" s="321" t="s">
        <v>684</v>
      </c>
      <c r="C86" s="312">
        <v>11.532999999999999</v>
      </c>
      <c r="D86" s="312">
        <v>11</v>
      </c>
      <c r="E86" s="312">
        <v>11.317</v>
      </c>
      <c r="F86" s="312">
        <v>13</v>
      </c>
      <c r="G86" s="312">
        <v>0</v>
      </c>
      <c r="H86" s="312">
        <v>0</v>
      </c>
      <c r="I86" s="312">
        <v>0</v>
      </c>
      <c r="J86" s="321">
        <v>100</v>
      </c>
    </row>
    <row r="87" spans="1:14">
      <c r="A87" s="314">
        <v>2</v>
      </c>
      <c r="B87" s="321" t="s">
        <v>340</v>
      </c>
      <c r="C87" s="312">
        <v>3.1469999999999998</v>
      </c>
      <c r="D87" s="312">
        <v>2.2120000000000002</v>
      </c>
      <c r="E87" s="312">
        <v>1.1355</v>
      </c>
      <c r="F87" s="312">
        <v>0.41049999999999998</v>
      </c>
      <c r="G87" s="312">
        <v>0.83050000000000002</v>
      </c>
      <c r="H87" s="312">
        <v>1.9135</v>
      </c>
      <c r="I87" s="312">
        <v>0</v>
      </c>
      <c r="J87" s="321">
        <v>50</v>
      </c>
    </row>
    <row r="88" spans="1:14">
      <c r="A88" s="314">
        <v>2</v>
      </c>
      <c r="B88" s="321" t="s">
        <v>343</v>
      </c>
      <c r="C88" s="343">
        <v>41.881500000000003</v>
      </c>
      <c r="D88" s="343">
        <v>37.975499999999997</v>
      </c>
      <c r="E88" s="343">
        <v>33.287999999999997</v>
      </c>
      <c r="F88" s="343">
        <v>32.027500000000003</v>
      </c>
      <c r="G88" s="343">
        <v>35.604999999999997</v>
      </c>
      <c r="H88" s="343">
        <v>30.7515</v>
      </c>
      <c r="I88" s="343">
        <v>31.7515</v>
      </c>
      <c r="J88" s="313">
        <v>50</v>
      </c>
      <c r="M88" s="7"/>
      <c r="N88" s="7"/>
    </row>
    <row r="89" spans="1:14">
      <c r="A89" s="314">
        <v>2</v>
      </c>
      <c r="B89" s="321" t="s">
        <v>347</v>
      </c>
      <c r="C89" s="343">
        <v>27.962250000000001</v>
      </c>
      <c r="D89" s="343">
        <v>39.717750000000002</v>
      </c>
      <c r="E89" s="343">
        <v>27.417750000000002</v>
      </c>
      <c r="F89" s="343">
        <v>28.8825</v>
      </c>
      <c r="G89" s="343">
        <v>20.06475</v>
      </c>
      <c r="H89" s="343">
        <v>14.06325</v>
      </c>
      <c r="I89" s="343">
        <v>44.908499999999997</v>
      </c>
      <c r="J89" s="313">
        <v>75</v>
      </c>
      <c r="M89" s="7"/>
      <c r="N89" s="7"/>
    </row>
    <row r="90" spans="1:14">
      <c r="A90" s="314">
        <v>2</v>
      </c>
      <c r="B90" s="321" t="s">
        <v>1092</v>
      </c>
      <c r="C90" s="343">
        <v>14.0472</v>
      </c>
      <c r="D90" s="343">
        <v>18.893600000000003</v>
      </c>
      <c r="E90" s="343">
        <v>30.738</v>
      </c>
      <c r="F90" s="343">
        <v>22.66</v>
      </c>
      <c r="G90" s="343">
        <v>22.728000000000002</v>
      </c>
      <c r="H90" s="343">
        <v>10.417200000000001</v>
      </c>
      <c r="I90" s="343">
        <v>2.2692000000000001</v>
      </c>
      <c r="J90" s="313">
        <v>40</v>
      </c>
      <c r="M90" s="7"/>
      <c r="N90" s="7"/>
    </row>
    <row r="91" spans="1:14">
      <c r="A91" s="314">
        <v>2</v>
      </c>
      <c r="B91" s="90" t="s">
        <v>1091</v>
      </c>
      <c r="C91" s="5">
        <v>0</v>
      </c>
      <c r="D91" s="5">
        <v>0</v>
      </c>
      <c r="E91" s="5">
        <v>0</v>
      </c>
      <c r="F91" s="5">
        <v>0</v>
      </c>
      <c r="G91" s="5">
        <v>0</v>
      </c>
      <c r="H91" s="5">
        <v>0</v>
      </c>
      <c r="I91" s="5">
        <v>0</v>
      </c>
      <c r="J91" s="4">
        <v>100</v>
      </c>
    </row>
    <row r="92" spans="1:14">
      <c r="A92" s="314">
        <v>2</v>
      </c>
      <c r="B92" s="88" t="s">
        <v>352</v>
      </c>
      <c r="C92" s="5">
        <v>0</v>
      </c>
      <c r="D92" s="5">
        <v>10.147500000000001</v>
      </c>
      <c r="E92" s="5">
        <v>8.7437999999999985</v>
      </c>
      <c r="F92" s="5">
        <v>9.6722999999999999</v>
      </c>
      <c r="G92" s="5">
        <v>11.078100000000001</v>
      </c>
      <c r="H92" s="5">
        <v>5.0573999999999995</v>
      </c>
      <c r="I92" s="5">
        <v>2.6327999999999996</v>
      </c>
      <c r="J92" s="4">
        <v>30</v>
      </c>
    </row>
    <row r="93" spans="1:14">
      <c r="A93" s="362" t="s">
        <v>357</v>
      </c>
      <c r="B93" s="250" t="s">
        <v>685</v>
      </c>
      <c r="C93" s="5">
        <v>38.405000000000001</v>
      </c>
      <c r="D93" s="252">
        <v>43.722999999999999</v>
      </c>
      <c r="E93" s="252">
        <v>56.183999999999997</v>
      </c>
      <c r="F93" s="252">
        <v>49.17</v>
      </c>
      <c r="G93" s="252">
        <v>64.144000000000005</v>
      </c>
      <c r="H93" s="252">
        <v>67.22</v>
      </c>
      <c r="I93" s="252">
        <v>62.018000000000001</v>
      </c>
      <c r="J93" s="4">
        <v>80</v>
      </c>
    </row>
    <row r="94" spans="1:14">
      <c r="A94" s="363" t="s">
        <v>357</v>
      </c>
      <c r="B94" s="250" t="s">
        <v>686</v>
      </c>
      <c r="C94" s="5">
        <v>29.306000000000001</v>
      </c>
      <c r="D94" s="252">
        <v>79.066999999999993</v>
      </c>
      <c r="E94" s="252">
        <v>183.608</v>
      </c>
      <c r="F94" s="252">
        <v>149.90299999999999</v>
      </c>
      <c r="G94" s="252">
        <v>88.26</v>
      </c>
      <c r="H94" s="252">
        <v>61.883000000000003</v>
      </c>
      <c r="I94" s="252">
        <v>32.097000000000001</v>
      </c>
      <c r="J94" s="4">
        <v>100</v>
      </c>
      <c r="M94" s="7"/>
    </row>
    <row r="95" spans="1:14">
      <c r="A95" s="363" t="s">
        <v>357</v>
      </c>
      <c r="B95" s="250" t="s">
        <v>687</v>
      </c>
      <c r="C95" s="5">
        <v>27.234999999999999</v>
      </c>
      <c r="D95" s="252">
        <v>78.021000000000001</v>
      </c>
      <c r="E95" s="252">
        <v>61.851999999999997</v>
      </c>
      <c r="F95" s="252">
        <v>82.5</v>
      </c>
      <c r="G95" s="252">
        <v>27.5</v>
      </c>
      <c r="H95" s="252">
        <v>15</v>
      </c>
      <c r="I95" s="252">
        <v>10</v>
      </c>
      <c r="J95" s="4">
        <v>50</v>
      </c>
      <c r="M95" s="7"/>
    </row>
    <row r="96" spans="1:14">
      <c r="A96" s="363" t="s">
        <v>357</v>
      </c>
      <c r="B96" s="250" t="s">
        <v>362</v>
      </c>
      <c r="C96" s="5">
        <v>7.0209999999999999</v>
      </c>
      <c r="D96" s="252">
        <v>4.5140000000000002</v>
      </c>
      <c r="E96" s="252">
        <v>5.3029999999999999</v>
      </c>
      <c r="F96" s="252">
        <v>6.9290000000000003</v>
      </c>
      <c r="G96" s="252">
        <v>4.8330000000000002</v>
      </c>
      <c r="H96" s="252">
        <v>10.347</v>
      </c>
      <c r="I96" s="252">
        <v>0</v>
      </c>
      <c r="J96" s="4">
        <v>25</v>
      </c>
      <c r="M96" s="7"/>
    </row>
    <row r="97" spans="1:13">
      <c r="A97" s="363" t="s">
        <v>357</v>
      </c>
      <c r="B97" s="250" t="s">
        <v>363</v>
      </c>
      <c r="C97" s="5">
        <v>1.286</v>
      </c>
      <c r="D97" s="252">
        <v>11.596</v>
      </c>
      <c r="E97" s="252">
        <v>24.95</v>
      </c>
      <c r="F97" s="252">
        <v>5</v>
      </c>
      <c r="G97" s="252">
        <v>3.75</v>
      </c>
      <c r="H97" s="252">
        <v>3</v>
      </c>
      <c r="I97" s="252">
        <v>0.75</v>
      </c>
      <c r="J97" s="4">
        <v>50</v>
      </c>
      <c r="M97" s="7"/>
    </row>
    <row r="98" spans="1:13">
      <c r="A98" s="10">
        <v>3</v>
      </c>
      <c r="B98" s="90" t="s">
        <v>688</v>
      </c>
      <c r="C98" s="5">
        <v>7.3887999999999998</v>
      </c>
      <c r="D98" s="5">
        <v>6.2</v>
      </c>
      <c r="E98" s="5">
        <v>8.5122</v>
      </c>
      <c r="F98" s="5">
        <v>10.093200000000001</v>
      </c>
      <c r="G98" s="5">
        <v>11.418200000000001</v>
      </c>
      <c r="H98" s="5">
        <v>12.535600000000001</v>
      </c>
      <c r="I98" s="5">
        <v>12.028</v>
      </c>
      <c r="J98" s="4">
        <v>20</v>
      </c>
      <c r="M98" s="7"/>
    </row>
    <row r="99" spans="1:13" s="94" customFormat="1">
      <c r="A99" s="10">
        <v>3</v>
      </c>
      <c r="B99" s="90" t="s">
        <v>689</v>
      </c>
      <c r="C99" s="5">
        <v>0</v>
      </c>
      <c r="D99" s="5">
        <v>0</v>
      </c>
      <c r="E99" s="5">
        <v>2.3809999999999998</v>
      </c>
      <c r="F99" s="5">
        <v>2.3809999999999998</v>
      </c>
      <c r="G99" s="5">
        <v>2.3809999999999998</v>
      </c>
      <c r="H99" s="5">
        <v>26.568800000000003</v>
      </c>
      <c r="I99" s="5">
        <v>0</v>
      </c>
      <c r="J99" s="4">
        <v>20</v>
      </c>
      <c r="K99" s="4"/>
    </row>
    <row r="100" spans="1:13" s="94" customFormat="1">
      <c r="A100" s="10">
        <v>3</v>
      </c>
      <c r="B100" s="90" t="s">
        <v>690</v>
      </c>
      <c r="C100" s="5">
        <v>2.19</v>
      </c>
      <c r="D100" s="5">
        <v>2.145</v>
      </c>
      <c r="E100" s="5">
        <v>2.077</v>
      </c>
      <c r="F100" s="5">
        <v>2.0249999999999999</v>
      </c>
      <c r="G100" s="5">
        <v>1.583</v>
      </c>
      <c r="H100" s="5">
        <v>0.93300000000000005</v>
      </c>
      <c r="I100" s="5">
        <v>2.9950000000000001</v>
      </c>
      <c r="J100" s="4">
        <v>52</v>
      </c>
      <c r="K100" s="4"/>
    </row>
    <row r="101" spans="1:13" s="94" customFormat="1">
      <c r="A101" s="10">
        <v>3</v>
      </c>
      <c r="B101" s="90" t="s">
        <v>691</v>
      </c>
      <c r="C101" s="5">
        <v>0</v>
      </c>
      <c r="D101" s="5">
        <v>0.2505</v>
      </c>
      <c r="E101" s="5">
        <v>0.96199999999999997</v>
      </c>
      <c r="F101" s="5">
        <v>2.4504999999999999</v>
      </c>
      <c r="G101" s="5">
        <v>3.6429999999999998</v>
      </c>
      <c r="H101" s="5">
        <v>3.4449999999999998</v>
      </c>
      <c r="I101" s="5">
        <v>2.367</v>
      </c>
      <c r="J101" s="4">
        <v>50</v>
      </c>
      <c r="K101" s="4"/>
    </row>
    <row r="102" spans="1:13" s="94" customFormat="1">
      <c r="A102" s="10">
        <v>3</v>
      </c>
      <c r="B102" s="90" t="s">
        <v>692</v>
      </c>
      <c r="C102" s="5">
        <v>9.3955000000000002</v>
      </c>
      <c r="D102" s="5">
        <v>9.5459999999999994</v>
      </c>
      <c r="E102" s="5">
        <v>11.858499999999999</v>
      </c>
      <c r="F102" s="5">
        <v>12.558499999999999</v>
      </c>
      <c r="G102" s="5">
        <v>11.958500000000001</v>
      </c>
      <c r="H102" s="5">
        <v>11.625</v>
      </c>
      <c r="I102" s="5">
        <v>12.111499999999999</v>
      </c>
      <c r="J102" s="4">
        <v>50</v>
      </c>
      <c r="K102" s="4"/>
    </row>
    <row r="103" spans="1:13" s="94" customFormat="1">
      <c r="A103" s="10">
        <v>3</v>
      </c>
      <c r="B103" s="90" t="s">
        <v>693</v>
      </c>
      <c r="C103" s="5">
        <v>0.13700000000000001</v>
      </c>
      <c r="D103" s="5">
        <v>0</v>
      </c>
      <c r="E103" s="5">
        <v>0</v>
      </c>
      <c r="F103" s="5">
        <v>0</v>
      </c>
      <c r="G103" s="5">
        <v>0</v>
      </c>
      <c r="H103" s="5">
        <v>0</v>
      </c>
      <c r="I103" s="5">
        <v>0</v>
      </c>
      <c r="J103" s="4">
        <v>50</v>
      </c>
      <c r="K103" s="4"/>
    </row>
    <row r="104" spans="1:13" s="94" customFormat="1">
      <c r="A104" s="10">
        <v>3</v>
      </c>
      <c r="B104" s="90" t="s">
        <v>694</v>
      </c>
      <c r="C104" s="5">
        <v>3.1080000000000001</v>
      </c>
      <c r="D104" s="5">
        <v>2.4569999999999999</v>
      </c>
      <c r="E104" s="5">
        <v>14.478999999999999</v>
      </c>
      <c r="F104" s="5">
        <v>2.8</v>
      </c>
      <c r="G104" s="5">
        <v>0</v>
      </c>
      <c r="H104" s="5">
        <v>0</v>
      </c>
      <c r="I104" s="5">
        <v>0</v>
      </c>
      <c r="J104" s="4">
        <v>100</v>
      </c>
      <c r="K104" s="4"/>
    </row>
    <row r="105" spans="1:13" s="94" customFormat="1">
      <c r="A105" s="10">
        <v>3</v>
      </c>
      <c r="B105" s="90" t="s">
        <v>379</v>
      </c>
      <c r="C105" s="5">
        <v>2.4144000000000001</v>
      </c>
      <c r="D105" s="5">
        <v>3.0448000000000004</v>
      </c>
      <c r="E105" s="5">
        <v>3.6520000000000001</v>
      </c>
      <c r="F105" s="5">
        <v>2.9016000000000002</v>
      </c>
      <c r="G105" s="5">
        <v>2.4448000000000003</v>
      </c>
      <c r="H105" s="5">
        <v>2.4448000000000003</v>
      </c>
      <c r="I105" s="5">
        <v>2.4896000000000003</v>
      </c>
      <c r="J105" s="4">
        <v>80</v>
      </c>
      <c r="K105" s="4"/>
    </row>
    <row r="106" spans="1:13" s="94" customFormat="1">
      <c r="A106" s="10">
        <v>3</v>
      </c>
      <c r="B106" s="90" t="s">
        <v>695</v>
      </c>
      <c r="C106" s="5">
        <v>6.407</v>
      </c>
      <c r="D106" s="5">
        <v>4.04</v>
      </c>
      <c r="E106" s="5">
        <v>7.1550000000000002</v>
      </c>
      <c r="F106" s="5">
        <v>8.6310000000000002</v>
      </c>
      <c r="G106" s="5">
        <v>10.369</v>
      </c>
      <c r="H106" s="5">
        <v>8.2910000000000004</v>
      </c>
      <c r="I106" s="5">
        <v>9.4480000000000004</v>
      </c>
      <c r="J106" s="4">
        <v>100</v>
      </c>
      <c r="K106" s="4"/>
    </row>
    <row r="107" spans="1:13" s="94" customFormat="1">
      <c r="A107" s="10">
        <v>3</v>
      </c>
      <c r="B107" s="314" t="s">
        <v>382</v>
      </c>
      <c r="C107" s="5">
        <v>3.7749999999999999</v>
      </c>
      <c r="D107" s="5">
        <v>0.6</v>
      </c>
      <c r="E107" s="5">
        <v>0</v>
      </c>
      <c r="F107" s="5">
        <v>0</v>
      </c>
      <c r="G107" s="5">
        <v>0</v>
      </c>
      <c r="H107" s="5">
        <v>0</v>
      </c>
      <c r="I107" s="5">
        <v>0</v>
      </c>
      <c r="J107" s="4">
        <v>30</v>
      </c>
      <c r="K107" s="4"/>
    </row>
    <row r="108" spans="1:13" s="94" customFormat="1">
      <c r="A108" s="10">
        <v>3</v>
      </c>
      <c r="B108" s="314" t="s">
        <v>383</v>
      </c>
      <c r="C108" s="5">
        <v>35</v>
      </c>
      <c r="D108" s="5">
        <v>25</v>
      </c>
      <c r="E108" s="5">
        <v>10</v>
      </c>
      <c r="F108" s="5">
        <v>0</v>
      </c>
      <c r="G108" s="5">
        <v>0</v>
      </c>
      <c r="H108" s="5">
        <v>0</v>
      </c>
      <c r="I108" s="5">
        <v>0</v>
      </c>
      <c r="J108" s="4">
        <v>50</v>
      </c>
      <c r="K108" s="4"/>
    </row>
    <row r="109" spans="1:13" s="94" customFormat="1">
      <c r="A109" s="10">
        <v>3</v>
      </c>
      <c r="B109" s="314" t="s">
        <v>384</v>
      </c>
      <c r="C109" s="5">
        <v>5.181</v>
      </c>
      <c r="D109" s="5">
        <v>2</v>
      </c>
      <c r="E109" s="5">
        <v>0</v>
      </c>
      <c r="F109" s="5">
        <v>0</v>
      </c>
      <c r="G109" s="5">
        <v>0</v>
      </c>
      <c r="H109" s="5">
        <v>0</v>
      </c>
      <c r="I109" s="5">
        <v>0</v>
      </c>
      <c r="J109" s="4">
        <v>20</v>
      </c>
      <c r="K109" s="4"/>
    </row>
    <row r="110" spans="1:13" s="94" customFormat="1">
      <c r="A110" s="10">
        <v>3</v>
      </c>
      <c r="B110" s="314" t="s">
        <v>385</v>
      </c>
      <c r="C110" s="5">
        <v>0</v>
      </c>
      <c r="D110" s="5">
        <v>0</v>
      </c>
      <c r="E110" s="5">
        <v>0</v>
      </c>
      <c r="F110" s="5">
        <v>8.2916999999999987</v>
      </c>
      <c r="G110" s="5">
        <v>8.5178999999999991</v>
      </c>
      <c r="H110" s="5">
        <v>8.7437999999999985</v>
      </c>
      <c r="I110" s="5">
        <v>6.5327999999999999</v>
      </c>
      <c r="J110" s="4">
        <v>30</v>
      </c>
      <c r="K110" s="4"/>
    </row>
    <row r="111" spans="1:13" s="94" customFormat="1">
      <c r="A111" s="10">
        <v>3</v>
      </c>
      <c r="B111" s="314" t="s">
        <v>696</v>
      </c>
      <c r="C111" s="5">
        <v>0</v>
      </c>
      <c r="D111" s="5">
        <v>0</v>
      </c>
      <c r="E111" s="5">
        <v>37.5</v>
      </c>
      <c r="F111" s="5">
        <v>62.5</v>
      </c>
      <c r="G111" s="5">
        <v>25</v>
      </c>
      <c r="H111" s="5">
        <v>0</v>
      </c>
      <c r="I111" s="5">
        <v>0</v>
      </c>
      <c r="J111" s="4">
        <v>50</v>
      </c>
      <c r="K111" s="4"/>
    </row>
    <row r="112" spans="1:13" s="94" customFormat="1">
      <c r="A112" s="10">
        <v>3</v>
      </c>
      <c r="B112" s="314" t="s">
        <v>387</v>
      </c>
      <c r="C112" s="5">
        <v>0</v>
      </c>
      <c r="D112" s="5">
        <v>10.5</v>
      </c>
      <c r="E112" s="5">
        <v>67.5</v>
      </c>
      <c r="F112" s="5">
        <v>5.43</v>
      </c>
      <c r="G112" s="5">
        <v>0</v>
      </c>
      <c r="H112" s="5">
        <v>0</v>
      </c>
      <c r="I112" s="5">
        <v>0</v>
      </c>
      <c r="J112" s="4">
        <v>30</v>
      </c>
      <c r="K112" s="4"/>
    </row>
    <row r="113" spans="1:11" s="94" customFormat="1">
      <c r="A113" s="10">
        <v>3</v>
      </c>
      <c r="B113" s="314" t="s">
        <v>388</v>
      </c>
      <c r="C113" s="5">
        <v>0</v>
      </c>
      <c r="D113" s="5">
        <v>0</v>
      </c>
      <c r="E113" s="5">
        <v>0</v>
      </c>
      <c r="F113" s="5">
        <v>3.75</v>
      </c>
      <c r="G113" s="5">
        <v>3.75</v>
      </c>
      <c r="H113" s="5">
        <v>3.75</v>
      </c>
      <c r="I113" s="5">
        <v>3.75</v>
      </c>
      <c r="J113" s="4">
        <v>50</v>
      </c>
      <c r="K113" s="4"/>
    </row>
    <row r="114" spans="1:11" s="94" customFormat="1">
      <c r="A114" s="10">
        <v>3</v>
      </c>
      <c r="B114" s="314" t="s">
        <v>389</v>
      </c>
      <c r="C114" s="5">
        <v>12.5</v>
      </c>
      <c r="D114" s="5">
        <v>37.5</v>
      </c>
      <c r="E114" s="5">
        <v>0</v>
      </c>
      <c r="F114" s="5">
        <v>0</v>
      </c>
      <c r="G114" s="5">
        <v>0</v>
      </c>
      <c r="H114" s="5">
        <v>0</v>
      </c>
      <c r="I114" s="5">
        <v>0</v>
      </c>
      <c r="J114" s="4">
        <v>50</v>
      </c>
      <c r="K114" s="4"/>
    </row>
    <row r="115" spans="1:11" s="94" customFormat="1">
      <c r="A115" s="363" t="s">
        <v>392</v>
      </c>
      <c r="B115" s="251" t="s">
        <v>697</v>
      </c>
      <c r="C115" s="5">
        <v>40.789000000000001</v>
      </c>
      <c r="D115" s="253">
        <v>56.098999999999997</v>
      </c>
      <c r="E115" s="252">
        <v>56.176000000000002</v>
      </c>
      <c r="F115" s="252">
        <v>55.119</v>
      </c>
      <c r="G115" s="252">
        <v>48.201999999999998</v>
      </c>
      <c r="H115" s="252">
        <v>42.527000000000001</v>
      </c>
      <c r="I115" s="252">
        <v>21.83</v>
      </c>
      <c r="J115" s="4">
        <v>75</v>
      </c>
      <c r="K115" s="4"/>
    </row>
    <row r="116" spans="1:11" s="94" customFormat="1">
      <c r="A116" s="363" t="s">
        <v>392</v>
      </c>
      <c r="B116" s="251" t="s">
        <v>698</v>
      </c>
      <c r="C116" s="5">
        <v>22.963000000000001</v>
      </c>
      <c r="D116" s="253">
        <v>17.846</v>
      </c>
      <c r="E116" s="252">
        <v>0</v>
      </c>
      <c r="F116" s="252">
        <v>0</v>
      </c>
      <c r="G116" s="252">
        <v>0</v>
      </c>
      <c r="H116" s="252">
        <v>0</v>
      </c>
      <c r="I116" s="252">
        <v>0</v>
      </c>
      <c r="J116" s="4">
        <v>75</v>
      </c>
      <c r="K116" s="4"/>
    </row>
    <row r="117" spans="1:11" s="94" customFormat="1">
      <c r="A117" s="363" t="s">
        <v>392</v>
      </c>
      <c r="B117" s="251" t="s">
        <v>699</v>
      </c>
      <c r="C117" s="5">
        <v>28.946000000000002</v>
      </c>
      <c r="D117" s="253">
        <v>65.564999999999998</v>
      </c>
      <c r="E117" s="252">
        <v>156.94499999999999</v>
      </c>
      <c r="F117" s="252">
        <v>180.88499999999999</v>
      </c>
      <c r="G117" s="252">
        <v>167.48099999999999</v>
      </c>
      <c r="H117" s="252">
        <v>163.839</v>
      </c>
      <c r="I117" s="252">
        <v>229.333</v>
      </c>
      <c r="J117" s="4">
        <v>70</v>
      </c>
      <c r="K117" s="4"/>
    </row>
    <row r="118" spans="1:11" s="94" customFormat="1">
      <c r="A118" s="363" t="s">
        <v>392</v>
      </c>
      <c r="B118" s="251" t="s">
        <v>396</v>
      </c>
      <c r="C118" s="5">
        <v>0.86</v>
      </c>
      <c r="D118" s="253">
        <v>1.6180000000000001</v>
      </c>
      <c r="E118" s="252">
        <v>1.353</v>
      </c>
      <c r="F118" s="252">
        <v>0.3</v>
      </c>
      <c r="G118" s="252">
        <v>0</v>
      </c>
      <c r="H118" s="252">
        <v>0</v>
      </c>
      <c r="I118" s="252">
        <v>0</v>
      </c>
      <c r="J118" s="4">
        <v>70</v>
      </c>
      <c r="K118" s="4"/>
    </row>
    <row r="119" spans="1:11" s="94" customFormat="1">
      <c r="A119" s="363" t="s">
        <v>392</v>
      </c>
      <c r="B119" s="251" t="s">
        <v>397</v>
      </c>
      <c r="C119" s="5">
        <v>0.56899999999999995</v>
      </c>
      <c r="D119" s="253">
        <v>1.669</v>
      </c>
      <c r="E119" s="252">
        <v>1.444</v>
      </c>
      <c r="F119" s="252">
        <v>1.3129999999999999</v>
      </c>
      <c r="G119" s="252">
        <v>0.99299999999999999</v>
      </c>
      <c r="H119" s="252">
        <v>1.1950000000000001</v>
      </c>
      <c r="I119" s="252">
        <v>1.1990000000000001</v>
      </c>
      <c r="J119" s="4">
        <v>75</v>
      </c>
      <c r="K119" s="4"/>
    </row>
    <row r="120" spans="1:11" s="94" customFormat="1">
      <c r="A120" s="363" t="s">
        <v>392</v>
      </c>
      <c r="B120" s="251" t="s">
        <v>399</v>
      </c>
      <c r="C120" s="179">
        <v>14.85</v>
      </c>
      <c r="D120" s="253">
        <v>11.95</v>
      </c>
      <c r="E120" s="253">
        <v>35.811</v>
      </c>
      <c r="F120" s="253">
        <v>36.152999999999999</v>
      </c>
      <c r="G120" s="253">
        <v>24.856999999999999</v>
      </c>
      <c r="H120" s="253">
        <v>11.256</v>
      </c>
      <c r="I120" s="253">
        <v>25.963000000000001</v>
      </c>
      <c r="J120" s="4">
        <v>85</v>
      </c>
      <c r="K120" s="15"/>
    </row>
    <row r="121" spans="1:11" s="94" customFormat="1">
      <c r="A121" s="363" t="s">
        <v>392</v>
      </c>
      <c r="B121" s="251" t="s">
        <v>700</v>
      </c>
      <c r="C121" s="179">
        <v>7.8070000000000004</v>
      </c>
      <c r="D121" s="4">
        <v>11.096500000000001</v>
      </c>
      <c r="E121" s="4">
        <v>10.714499999999999</v>
      </c>
      <c r="F121" s="4">
        <v>9.2065000000000001</v>
      </c>
      <c r="G121" s="4">
        <v>7.5854999999999997</v>
      </c>
      <c r="H121" s="4">
        <v>4.5</v>
      </c>
      <c r="I121" s="4">
        <v>13.664</v>
      </c>
      <c r="J121" s="4">
        <v>50</v>
      </c>
      <c r="K121" s="15"/>
    </row>
    <row r="122" spans="1:11" s="94" customFormat="1">
      <c r="A122" s="363"/>
      <c r="B122" s="251" t="s">
        <v>701</v>
      </c>
      <c r="C122" s="4">
        <v>2.6419999999999999</v>
      </c>
      <c r="D122" s="253">
        <v>0.15</v>
      </c>
      <c r="E122" s="253">
        <v>0</v>
      </c>
      <c r="F122" s="253">
        <v>0</v>
      </c>
      <c r="G122" s="253">
        <v>0</v>
      </c>
      <c r="H122" s="253">
        <v>0</v>
      </c>
      <c r="I122" s="253">
        <v>0</v>
      </c>
      <c r="J122" s="4"/>
      <c r="K122" s="15"/>
    </row>
    <row r="123" spans="1:11" s="94" customFormat="1">
      <c r="A123" s="363" t="s">
        <v>392</v>
      </c>
      <c r="B123" s="251" t="s">
        <v>702</v>
      </c>
      <c r="C123" s="179">
        <v>0</v>
      </c>
      <c r="D123" s="256">
        <v>27.701000000000001</v>
      </c>
      <c r="E123" s="256">
        <v>121.979</v>
      </c>
      <c r="F123" s="256">
        <v>171.07</v>
      </c>
      <c r="G123" s="256">
        <v>225.36</v>
      </c>
      <c r="H123" s="256">
        <v>47.609000000000002</v>
      </c>
      <c r="I123" s="256">
        <v>1.5449999999999999</v>
      </c>
      <c r="J123" s="4">
        <v>50</v>
      </c>
      <c r="K123" s="15"/>
    </row>
    <row r="124" spans="1:11" s="94" customFormat="1">
      <c r="A124" s="363" t="s">
        <v>392</v>
      </c>
      <c r="B124" s="251" t="s">
        <v>703</v>
      </c>
      <c r="C124" s="179">
        <v>0</v>
      </c>
      <c r="D124" s="256">
        <v>0.996</v>
      </c>
      <c r="E124" s="256">
        <v>3.573</v>
      </c>
      <c r="F124" s="256">
        <v>4.5119999999999996</v>
      </c>
      <c r="G124" s="256">
        <v>3.9319999999999999</v>
      </c>
      <c r="H124" s="256">
        <v>0</v>
      </c>
      <c r="I124" s="256">
        <v>0</v>
      </c>
      <c r="J124" s="4">
        <v>50</v>
      </c>
      <c r="K124" s="15"/>
    </row>
    <row r="125" spans="1:11" s="94" customFormat="1">
      <c r="A125" s="363" t="s">
        <v>392</v>
      </c>
      <c r="B125" s="251" t="s">
        <v>411</v>
      </c>
      <c r="C125" s="179">
        <v>7.5730000000000004</v>
      </c>
      <c r="D125" s="256">
        <v>8.2390000000000008</v>
      </c>
      <c r="E125" s="256">
        <v>13.260999999999999</v>
      </c>
      <c r="F125" s="256">
        <v>2.5</v>
      </c>
      <c r="G125" s="256">
        <v>3</v>
      </c>
      <c r="H125" s="256">
        <v>0</v>
      </c>
      <c r="I125" s="256">
        <v>0</v>
      </c>
      <c r="J125" s="4">
        <v>50</v>
      </c>
      <c r="K125" s="15"/>
    </row>
    <row r="126" spans="1:11" s="94" customFormat="1">
      <c r="A126" s="363" t="s">
        <v>392</v>
      </c>
      <c r="B126" s="251" t="s">
        <v>412</v>
      </c>
      <c r="C126" s="179">
        <v>0</v>
      </c>
      <c r="D126" s="256">
        <v>0.113</v>
      </c>
      <c r="E126" s="256">
        <v>2.625</v>
      </c>
      <c r="F126" s="256">
        <v>3.9</v>
      </c>
      <c r="G126" s="256">
        <v>6.375</v>
      </c>
      <c r="H126" s="256">
        <v>7.05</v>
      </c>
      <c r="I126" s="256">
        <v>6.1879999999999997</v>
      </c>
      <c r="J126" s="4">
        <v>75</v>
      </c>
      <c r="K126" s="15"/>
    </row>
    <row r="127" spans="1:11" s="94" customFormat="1">
      <c r="A127" s="363" t="s">
        <v>392</v>
      </c>
      <c r="B127" s="251" t="s">
        <v>704</v>
      </c>
      <c r="C127" s="179">
        <v>0</v>
      </c>
      <c r="D127" s="253">
        <v>0.125</v>
      </c>
      <c r="E127" s="253">
        <v>16.628</v>
      </c>
      <c r="F127" s="253">
        <v>14.79</v>
      </c>
      <c r="G127" s="253">
        <v>12.865</v>
      </c>
      <c r="H127" s="253">
        <v>2.5999999999999999E-2</v>
      </c>
      <c r="I127" s="253">
        <v>0</v>
      </c>
      <c r="J127" s="4">
        <v>50</v>
      </c>
      <c r="K127" s="15"/>
    </row>
    <row r="128" spans="1:11" s="94" customFormat="1">
      <c r="A128" s="7"/>
      <c r="B128" s="4"/>
      <c r="C128" s="179"/>
      <c r="D128" s="179"/>
      <c r="E128" s="179"/>
      <c r="F128" s="179"/>
      <c r="G128" s="179"/>
      <c r="H128" s="179"/>
      <c r="I128" s="179"/>
      <c r="J128" s="4"/>
      <c r="K128" s="15"/>
    </row>
    <row r="129" spans="1:23" ht="14.4">
      <c r="A129" s="93"/>
      <c r="B129" s="3" t="s">
        <v>705</v>
      </c>
      <c r="C129" s="6">
        <f t="shared" ref="C129:I129" si="3">SUM(C69:C127)</f>
        <v>512.49185000000011</v>
      </c>
      <c r="D129" s="6">
        <f t="shared" si="3"/>
        <v>751.10643000000016</v>
      </c>
      <c r="E129" s="6">
        <f t="shared" si="3"/>
        <v>1166.8832300000001</v>
      </c>
      <c r="F129" s="6">
        <f t="shared" si="3"/>
        <v>1113.1864499999999</v>
      </c>
      <c r="G129" s="6">
        <f t="shared" si="3"/>
        <v>968.1467600000002</v>
      </c>
      <c r="H129" s="6">
        <f t="shared" si="3"/>
        <v>658.94530999999995</v>
      </c>
      <c r="I129" s="6">
        <f t="shared" si="3"/>
        <v>625.99210999999991</v>
      </c>
      <c r="J129" s="94"/>
      <c r="K129" s="94"/>
      <c r="L129" s="94"/>
    </row>
    <row r="130" spans="1:23" ht="14.4">
      <c r="A130" s="93"/>
      <c r="B130" s="3"/>
      <c r="C130" s="235"/>
      <c r="D130" s="235"/>
      <c r="E130" s="235"/>
      <c r="F130" s="235"/>
      <c r="G130" s="235"/>
      <c r="H130" s="235"/>
      <c r="I130" s="235"/>
      <c r="J130" s="94"/>
      <c r="K130" s="94"/>
      <c r="L130" s="94"/>
    </row>
    <row r="131" spans="1:23" ht="14.4">
      <c r="A131" s="67"/>
      <c r="B131" s="12" t="s">
        <v>706</v>
      </c>
      <c r="C131" s="192"/>
      <c r="D131" s="192"/>
      <c r="E131" s="192"/>
      <c r="F131" s="236"/>
      <c r="G131" s="236"/>
      <c r="H131" s="236"/>
      <c r="I131" s="236"/>
      <c r="J131" s="14"/>
      <c r="K131" s="14"/>
      <c r="L131" s="14"/>
    </row>
    <row r="132" spans="1:23">
      <c r="A132" s="7" t="s">
        <v>707</v>
      </c>
      <c r="B132" s="90" t="s">
        <v>708</v>
      </c>
      <c r="C132" s="49">
        <v>4.8651022300000006</v>
      </c>
      <c r="D132" s="49">
        <v>8.4090000000000007</v>
      </c>
      <c r="E132" s="49">
        <v>9.7260000000000009</v>
      </c>
      <c r="F132" s="49">
        <v>7.6639999999999997</v>
      </c>
      <c r="G132" s="49">
        <v>6.2930000000000001</v>
      </c>
      <c r="H132" s="49">
        <v>4.1559999999999997</v>
      </c>
      <c r="I132" s="117">
        <v>4.1559999999999997</v>
      </c>
      <c r="J132" s="4">
        <v>100</v>
      </c>
    </row>
    <row r="133" spans="1:23" s="2" customFormat="1" ht="14.4">
      <c r="A133" s="7" t="s">
        <v>709</v>
      </c>
      <c r="B133" s="90" t="s">
        <v>710</v>
      </c>
      <c r="C133" s="2">
        <v>34.363999999999997</v>
      </c>
      <c r="D133" s="2">
        <v>10.195</v>
      </c>
      <c r="E133" s="2">
        <v>34.832000000000001</v>
      </c>
      <c r="F133" s="2">
        <v>47.843000000000004</v>
      </c>
      <c r="G133" s="2">
        <v>65.489999999999995</v>
      </c>
      <c r="H133" s="2">
        <v>76.284999999999997</v>
      </c>
      <c r="I133" s="2">
        <v>73.558000000000007</v>
      </c>
      <c r="J133" s="4">
        <v>100</v>
      </c>
      <c r="K133" s="4"/>
      <c r="L133" s="4"/>
    </row>
    <row r="134" spans="1:23" s="2" customFormat="1" ht="14.4">
      <c r="A134" s="7" t="s">
        <v>711</v>
      </c>
      <c r="B134" s="90" t="s">
        <v>712</v>
      </c>
      <c r="C134" s="5">
        <v>29.003</v>
      </c>
      <c r="D134" s="5">
        <v>8.1839999999999993</v>
      </c>
      <c r="E134" s="5">
        <v>13.39</v>
      </c>
      <c r="F134" s="5">
        <v>4.2729999999999997</v>
      </c>
      <c r="G134" s="5">
        <v>2.4929999999999999</v>
      </c>
      <c r="H134" s="228">
        <v>2.0230000000000001</v>
      </c>
      <c r="I134" s="228">
        <v>4.22</v>
      </c>
      <c r="J134" s="4">
        <v>48</v>
      </c>
      <c r="K134" s="4"/>
      <c r="L134" s="4"/>
    </row>
    <row r="135" spans="1:23" s="2" customFormat="1" ht="14.4">
      <c r="A135" s="7" t="s">
        <v>713</v>
      </c>
      <c r="B135" s="90" t="s">
        <v>714</v>
      </c>
      <c r="C135" s="5">
        <v>0</v>
      </c>
      <c r="D135" s="5">
        <v>10.481999999999999</v>
      </c>
      <c r="E135" s="5">
        <v>11.385</v>
      </c>
      <c r="F135" s="5">
        <v>12.946999999999999</v>
      </c>
      <c r="G135" s="5">
        <v>12.304</v>
      </c>
      <c r="H135" s="228">
        <v>11.891</v>
      </c>
      <c r="I135" s="228">
        <v>22.082999999999998</v>
      </c>
      <c r="J135" s="4">
        <v>46</v>
      </c>
      <c r="K135" s="4"/>
      <c r="L135" s="4"/>
    </row>
    <row r="136" spans="1:23">
      <c r="A136" s="7" t="s">
        <v>715</v>
      </c>
      <c r="B136" s="90" t="s">
        <v>716</v>
      </c>
      <c r="C136" s="49">
        <v>4.0919999999999996</v>
      </c>
      <c r="D136" s="49">
        <v>1.0149999999999999</v>
      </c>
      <c r="E136" s="49">
        <v>0</v>
      </c>
      <c r="F136" s="49">
        <v>0</v>
      </c>
      <c r="G136" s="49">
        <v>0</v>
      </c>
      <c r="H136" s="49">
        <v>0</v>
      </c>
      <c r="I136" s="117">
        <v>0</v>
      </c>
      <c r="P136" s="10"/>
      <c r="Q136" s="5"/>
      <c r="R136" s="5"/>
      <c r="S136" s="5"/>
      <c r="T136" s="5"/>
      <c r="U136" s="5"/>
      <c r="V136" s="5"/>
      <c r="W136" s="5"/>
    </row>
    <row r="137" spans="1:23">
      <c r="A137" s="7" t="s">
        <v>717</v>
      </c>
      <c r="B137" s="90" t="s">
        <v>718</v>
      </c>
      <c r="C137" s="49">
        <v>1.075</v>
      </c>
      <c r="D137" s="49">
        <v>4.3860000000000001</v>
      </c>
      <c r="E137" s="49">
        <v>6.0679999999999996</v>
      </c>
      <c r="F137" s="49">
        <v>8.67</v>
      </c>
      <c r="G137" s="49">
        <v>8.6479999999999997</v>
      </c>
      <c r="H137" s="49">
        <v>9.7799999999999994</v>
      </c>
      <c r="I137" s="117">
        <v>8.7200000000000006</v>
      </c>
      <c r="P137" s="10"/>
      <c r="Q137" s="5"/>
      <c r="R137" s="5"/>
      <c r="S137" s="5"/>
      <c r="T137" s="5"/>
      <c r="U137" s="5"/>
      <c r="V137" s="5"/>
      <c r="W137" s="5"/>
    </row>
    <row r="138" spans="1:23" ht="14.4">
      <c r="A138" s="93"/>
      <c r="B138" s="3" t="s">
        <v>508</v>
      </c>
      <c r="C138" s="6">
        <f t="shared" ref="C138:I138" si="4">SUM(C132:C137)</f>
        <v>73.399102229999997</v>
      </c>
      <c r="D138" s="6">
        <f t="shared" si="4"/>
        <v>42.670999999999999</v>
      </c>
      <c r="E138" s="6">
        <f t="shared" si="4"/>
        <v>75.400999999999996</v>
      </c>
      <c r="F138" s="6">
        <f t="shared" si="4"/>
        <v>81.397000000000006</v>
      </c>
      <c r="G138" s="6">
        <f t="shared" si="4"/>
        <v>95.227999999999994</v>
      </c>
      <c r="H138" s="6">
        <f t="shared" si="4"/>
        <v>104.13500000000001</v>
      </c>
      <c r="I138" s="6">
        <f t="shared" si="4"/>
        <v>112.73700000000001</v>
      </c>
      <c r="J138" s="94"/>
      <c r="K138" s="94"/>
      <c r="L138" s="94"/>
    </row>
    <row r="140" spans="1:23" ht="14.4">
      <c r="A140" s="67"/>
      <c r="B140" s="12" t="s">
        <v>509</v>
      </c>
      <c r="C140" s="14"/>
      <c r="D140" s="14"/>
      <c r="E140" s="14"/>
      <c r="F140" s="14"/>
      <c r="G140" s="14"/>
      <c r="H140" s="14"/>
      <c r="I140" s="14"/>
      <c r="J140" s="14"/>
      <c r="K140" s="14"/>
      <c r="L140" s="14"/>
    </row>
    <row r="141" spans="1:23" s="2" customFormat="1" ht="14.4">
      <c r="A141" s="7">
        <v>2</v>
      </c>
      <c r="B141" s="314" t="s">
        <v>719</v>
      </c>
      <c r="C141" s="5">
        <v>0.91200000000000003</v>
      </c>
      <c r="D141" s="5">
        <v>0</v>
      </c>
      <c r="E141" s="5">
        <v>0</v>
      </c>
      <c r="F141" s="5">
        <v>0</v>
      </c>
      <c r="G141" s="5">
        <v>0</v>
      </c>
      <c r="H141" s="5">
        <v>0</v>
      </c>
      <c r="I141" s="5">
        <v>0</v>
      </c>
      <c r="J141" s="4"/>
      <c r="K141" s="4" t="s">
        <v>720</v>
      </c>
      <c r="L141" s="4"/>
    </row>
    <row r="142" spans="1:23" s="2" customFormat="1" ht="14.4">
      <c r="A142" s="7">
        <v>2</v>
      </c>
      <c r="B142" s="314" t="s">
        <v>719</v>
      </c>
      <c r="C142" s="5">
        <v>0.19900000000000001</v>
      </c>
      <c r="D142" s="5">
        <v>0.19900000000000001</v>
      </c>
      <c r="E142" s="5">
        <v>0.19900000000000001</v>
      </c>
      <c r="F142" s="5">
        <v>0.19900000000000001</v>
      </c>
      <c r="G142" s="5">
        <v>0.19900000000000001</v>
      </c>
      <c r="H142" s="5">
        <v>0.19900000000000001</v>
      </c>
      <c r="I142" s="5">
        <v>0.19900000000000001</v>
      </c>
      <c r="J142" s="4"/>
      <c r="K142" s="4" t="s">
        <v>720</v>
      </c>
      <c r="L142" s="4"/>
    </row>
    <row r="143" spans="1:23">
      <c r="A143" s="7">
        <v>13</v>
      </c>
      <c r="B143" s="90" t="s">
        <v>721</v>
      </c>
      <c r="C143" s="5">
        <v>2.5830000000000002</v>
      </c>
      <c r="D143" s="5">
        <v>2.6640000000000001</v>
      </c>
      <c r="E143" s="5">
        <v>2.5630000000000002</v>
      </c>
      <c r="F143" s="5">
        <v>2.5630000000000002</v>
      </c>
      <c r="G143" s="5">
        <v>2.1789999999999998</v>
      </c>
      <c r="H143" s="5">
        <v>2.14</v>
      </c>
      <c r="I143" s="5">
        <v>0.19900000000000001</v>
      </c>
      <c r="K143" s="4" t="s">
        <v>722</v>
      </c>
    </row>
    <row r="144" spans="1:23">
      <c r="A144" s="90">
        <v>2</v>
      </c>
      <c r="B144" s="7" t="s">
        <v>723</v>
      </c>
      <c r="C144" s="5">
        <v>3.5000000000000003E-2</v>
      </c>
      <c r="D144" s="5">
        <v>0</v>
      </c>
      <c r="E144" s="5"/>
      <c r="F144" s="5"/>
      <c r="G144" s="5"/>
      <c r="H144" s="5"/>
      <c r="I144" s="5"/>
      <c r="K144" s="4" t="s">
        <v>724</v>
      </c>
    </row>
    <row r="145" spans="1:12">
      <c r="A145" s="90">
        <v>11</v>
      </c>
      <c r="B145" s="7" t="s">
        <v>725</v>
      </c>
      <c r="C145" s="5">
        <v>8.0180000000000007</v>
      </c>
      <c r="D145" s="5">
        <v>2.14</v>
      </c>
      <c r="E145" s="5"/>
      <c r="F145" s="5"/>
      <c r="G145" s="5"/>
      <c r="H145" s="5"/>
      <c r="I145" s="5"/>
      <c r="K145" s="4" t="s">
        <v>724</v>
      </c>
    </row>
    <row r="146" spans="1:12" s="16" customFormat="1" ht="15.6">
      <c r="A146" s="57"/>
      <c r="B146" s="3" t="s">
        <v>522</v>
      </c>
      <c r="C146" s="6">
        <f>SUM(C141:C145)</f>
        <v>11.747</v>
      </c>
      <c r="D146" s="6">
        <f t="shared" ref="D146:I146" si="5">SUM(D141:D145)</f>
        <v>5.0030000000000001</v>
      </c>
      <c r="E146" s="6">
        <f t="shared" si="5"/>
        <v>2.762</v>
      </c>
      <c r="F146" s="6">
        <f t="shared" si="5"/>
        <v>2.762</v>
      </c>
      <c r="G146" s="6">
        <f t="shared" si="5"/>
        <v>2.3779999999999997</v>
      </c>
      <c r="H146" s="6">
        <f t="shared" si="5"/>
        <v>2.339</v>
      </c>
      <c r="I146" s="6">
        <f t="shared" si="5"/>
        <v>0.39800000000000002</v>
      </c>
      <c r="J146" s="3"/>
      <c r="K146" s="3"/>
      <c r="L146" s="3"/>
    </row>
    <row r="147" spans="1:12" ht="14.4">
      <c r="A147" s="38"/>
      <c r="B147" s="3"/>
      <c r="C147" s="6"/>
      <c r="D147" s="6"/>
      <c r="E147" s="6"/>
      <c r="F147" s="6"/>
      <c r="G147" s="6"/>
      <c r="H147" s="6"/>
      <c r="I147" s="6"/>
      <c r="J147" s="2"/>
      <c r="K147" s="2"/>
      <c r="L147" s="2"/>
    </row>
    <row r="148" spans="1:12" ht="14.4">
      <c r="A148" s="67"/>
      <c r="B148" s="21" t="s">
        <v>523</v>
      </c>
      <c r="C148" s="14"/>
      <c r="D148" s="14"/>
      <c r="E148" s="14"/>
      <c r="F148" s="14"/>
      <c r="G148" s="14"/>
      <c r="H148" s="14"/>
      <c r="I148" s="14"/>
      <c r="J148" s="14"/>
      <c r="K148" s="14"/>
      <c r="L148" s="14"/>
    </row>
    <row r="149" spans="1:12">
      <c r="A149" s="90" t="s">
        <v>527</v>
      </c>
      <c r="B149" s="4" t="s">
        <v>726</v>
      </c>
      <c r="C149" s="5">
        <v>11.3907405</v>
      </c>
      <c r="D149" s="5">
        <v>1.8578475000000001</v>
      </c>
      <c r="E149" s="5">
        <v>5.2253990000000003</v>
      </c>
      <c r="F149" s="5">
        <v>7.4779819999999999</v>
      </c>
      <c r="G149" s="5">
        <v>3.2663139999999999</v>
      </c>
      <c r="H149" s="5">
        <v>1.2927529999999998</v>
      </c>
      <c r="I149" s="5">
        <v>1.5738645</v>
      </c>
      <c r="J149" s="125">
        <v>50</v>
      </c>
      <c r="K149" s="4" t="s">
        <v>97</v>
      </c>
    </row>
    <row r="150" spans="1:12">
      <c r="A150" s="7" t="s">
        <v>527</v>
      </c>
      <c r="B150" s="90" t="s">
        <v>727</v>
      </c>
      <c r="C150" s="5">
        <v>277.90600000000001</v>
      </c>
      <c r="D150" s="5">
        <v>11.019</v>
      </c>
      <c r="E150" s="5">
        <v>0</v>
      </c>
      <c r="F150" s="5">
        <v>0</v>
      </c>
      <c r="G150" s="5">
        <v>0</v>
      </c>
      <c r="H150" s="5">
        <v>0</v>
      </c>
      <c r="I150" s="5">
        <v>0</v>
      </c>
      <c r="J150" s="125">
        <v>100</v>
      </c>
      <c r="K150" s="4" t="s">
        <v>97</v>
      </c>
    </row>
    <row r="151" spans="1:12">
      <c r="A151" s="7" t="s">
        <v>728</v>
      </c>
      <c r="B151" s="90" t="s">
        <v>729</v>
      </c>
      <c r="C151" s="5">
        <v>0.19</v>
      </c>
      <c r="D151" s="5">
        <v>0.19</v>
      </c>
      <c r="E151" s="5">
        <v>0.2</v>
      </c>
      <c r="F151" s="5">
        <v>0.21</v>
      </c>
      <c r="G151" s="5">
        <v>0.21</v>
      </c>
      <c r="H151" s="5">
        <v>0.21</v>
      </c>
      <c r="I151" s="5">
        <v>0.21</v>
      </c>
      <c r="J151" s="125">
        <v>1.3</v>
      </c>
      <c r="K151" s="4" t="s">
        <v>97</v>
      </c>
    </row>
    <row r="152" spans="1:12">
      <c r="A152" s="7" t="s">
        <v>730</v>
      </c>
      <c r="B152" s="4" t="s">
        <v>731</v>
      </c>
      <c r="C152" s="5">
        <v>0</v>
      </c>
      <c r="D152" s="5">
        <v>198.029</v>
      </c>
      <c r="E152" s="5">
        <v>149.238</v>
      </c>
      <c r="F152" s="5">
        <v>338.858</v>
      </c>
      <c r="G152" s="5">
        <v>229.352</v>
      </c>
      <c r="H152" s="5">
        <v>248.404</v>
      </c>
      <c r="I152" s="5">
        <v>190.50800000000001</v>
      </c>
      <c r="J152" s="4">
        <v>100</v>
      </c>
      <c r="K152" s="4" t="s">
        <v>97</v>
      </c>
    </row>
    <row r="153" spans="1:12">
      <c r="A153" s="7" t="s">
        <v>732</v>
      </c>
      <c r="B153" s="4" t="s">
        <v>731</v>
      </c>
      <c r="C153" s="5">
        <v>0</v>
      </c>
      <c r="D153" s="5">
        <v>97.504999999999995</v>
      </c>
      <c r="E153" s="5">
        <v>95.602000000000004</v>
      </c>
      <c r="F153" s="5">
        <v>82.153000000000006</v>
      </c>
      <c r="G153" s="5">
        <v>55.822000000000003</v>
      </c>
      <c r="H153" s="5">
        <v>42.472999999999999</v>
      </c>
      <c r="I153" s="5">
        <v>20.835999999999999</v>
      </c>
      <c r="J153" s="4">
        <v>100</v>
      </c>
      <c r="K153" s="4" t="s">
        <v>97</v>
      </c>
    </row>
    <row r="154" spans="1:12" ht="14.4">
      <c r="A154" s="38"/>
      <c r="B154" s="3" t="s">
        <v>549</v>
      </c>
      <c r="C154" s="6">
        <f t="shared" ref="C154:I154" si="6">SUM(C149:C152)</f>
        <v>289.4867405</v>
      </c>
      <c r="D154" s="6">
        <f t="shared" si="6"/>
        <v>211.09584749999999</v>
      </c>
      <c r="E154" s="6">
        <f t="shared" si="6"/>
        <v>154.663399</v>
      </c>
      <c r="F154" s="6">
        <f t="shared" si="6"/>
        <v>346.54598199999998</v>
      </c>
      <c r="G154" s="6">
        <f t="shared" si="6"/>
        <v>232.82831400000001</v>
      </c>
      <c r="H154" s="6">
        <f t="shared" si="6"/>
        <v>249.90675300000001</v>
      </c>
      <c r="I154" s="6">
        <f t="shared" si="6"/>
        <v>192.2918645</v>
      </c>
      <c r="J154" s="2"/>
      <c r="K154" s="2"/>
      <c r="L154" s="2"/>
    </row>
    <row r="155" spans="1:12" ht="14.4">
      <c r="A155" s="38"/>
      <c r="B155" s="3"/>
      <c r="C155" s="6"/>
      <c r="D155" s="6"/>
      <c r="E155" s="6"/>
      <c r="F155" s="6"/>
      <c r="G155" s="6"/>
      <c r="H155" s="6"/>
      <c r="I155" s="6"/>
      <c r="J155" s="2"/>
      <c r="K155" s="2"/>
      <c r="L155" s="2"/>
    </row>
    <row r="156" spans="1:12" s="14" customFormat="1" ht="14.4">
      <c r="A156" s="67"/>
      <c r="B156" s="21" t="s">
        <v>550</v>
      </c>
    </row>
    <row r="157" spans="1:12">
      <c r="A157" s="90" t="s">
        <v>733</v>
      </c>
      <c r="B157" s="4" t="s">
        <v>734</v>
      </c>
      <c r="C157" s="5">
        <v>0</v>
      </c>
      <c r="D157" s="5">
        <v>0</v>
      </c>
      <c r="E157" s="5">
        <v>29.5</v>
      </c>
      <c r="F157" s="5">
        <v>64.754999999999995</v>
      </c>
      <c r="G157" s="5">
        <v>174.75899999999999</v>
      </c>
      <c r="H157" s="5">
        <v>17.975000000000001</v>
      </c>
      <c r="I157" s="5">
        <v>20.556999999999999</v>
      </c>
      <c r="J157" s="4">
        <v>50</v>
      </c>
    </row>
    <row r="158" spans="1:12">
      <c r="A158" s="90" t="s">
        <v>735</v>
      </c>
      <c r="B158" s="4" t="s">
        <v>736</v>
      </c>
      <c r="C158" s="5">
        <v>0</v>
      </c>
      <c r="D158" s="5">
        <v>0</v>
      </c>
      <c r="E158" s="5">
        <v>38.005000000000003</v>
      </c>
      <c r="F158" s="5">
        <v>98.91</v>
      </c>
      <c r="G158" s="5">
        <v>129.51400000000001</v>
      </c>
      <c r="H158" s="5">
        <v>86.751000000000005</v>
      </c>
      <c r="I158" s="5">
        <v>173.05099999999999</v>
      </c>
      <c r="J158" s="4">
        <v>50</v>
      </c>
    </row>
    <row r="159" spans="1:12">
      <c r="A159" s="90" t="s">
        <v>733</v>
      </c>
      <c r="B159" s="4" t="s">
        <v>556</v>
      </c>
      <c r="C159" s="5">
        <v>3.1389999999999998</v>
      </c>
      <c r="D159" s="5">
        <v>0</v>
      </c>
      <c r="E159" s="5">
        <v>0</v>
      </c>
      <c r="F159" s="5">
        <v>0</v>
      </c>
      <c r="G159" s="5">
        <v>0</v>
      </c>
      <c r="H159" s="5">
        <v>0</v>
      </c>
      <c r="I159" s="5">
        <v>0</v>
      </c>
      <c r="J159" s="4">
        <v>50</v>
      </c>
    </row>
    <row r="160" spans="1:12" ht="14.4">
      <c r="A160" s="38"/>
      <c r="B160" s="3" t="s">
        <v>557</v>
      </c>
      <c r="C160" s="6">
        <f>SUM(C157:C159)</f>
        <v>3.1389999999999998</v>
      </c>
      <c r="D160" s="6">
        <f t="shared" ref="D160:I160" si="7">SUM(D157:D159)</f>
        <v>0</v>
      </c>
      <c r="E160" s="6">
        <f t="shared" si="7"/>
        <v>67.504999999999995</v>
      </c>
      <c r="F160" s="6">
        <f>SUM(F157:F159)</f>
        <v>163.66499999999999</v>
      </c>
      <c r="G160" s="6">
        <f t="shared" si="7"/>
        <v>304.27300000000002</v>
      </c>
      <c r="H160" s="6">
        <f t="shared" si="7"/>
        <v>104.726</v>
      </c>
      <c r="I160" s="6">
        <f t="shared" si="7"/>
        <v>193.60799999999998</v>
      </c>
      <c r="J160" s="2"/>
      <c r="K160" s="2"/>
      <c r="L160" s="2"/>
    </row>
    <row r="161" spans="1:12" ht="14.4">
      <c r="A161" s="38"/>
      <c r="B161" s="3"/>
      <c r="C161" s="6"/>
      <c r="D161" s="6"/>
      <c r="E161" s="6"/>
      <c r="F161" s="6"/>
      <c r="G161" s="6"/>
      <c r="H161" s="6"/>
      <c r="I161" s="6"/>
      <c r="J161" s="2"/>
      <c r="K161" s="2"/>
      <c r="L161" s="2"/>
    </row>
    <row r="163" spans="1:12" ht="15.6">
      <c r="A163" s="68"/>
      <c r="B163" s="21" t="s">
        <v>558</v>
      </c>
      <c r="C163" s="33">
        <f t="shared" ref="C163:I163" si="8">SUM(C37+C42+C66+C129+C138+C146+C154+C160)</f>
        <v>1235.7666204099999</v>
      </c>
      <c r="D163" s="33">
        <f t="shared" si="8"/>
        <v>1685.9311382200001</v>
      </c>
      <c r="E163" s="33">
        <f t="shared" si="8"/>
        <v>2100.5899359600003</v>
      </c>
      <c r="F163" s="33">
        <f t="shared" si="8"/>
        <v>2361.9864886399996</v>
      </c>
      <c r="G163" s="33">
        <f t="shared" si="8"/>
        <v>2124.2911031839794</v>
      </c>
      <c r="H163" s="33">
        <f t="shared" si="8"/>
        <v>1471.8452380665535</v>
      </c>
      <c r="I163" s="33">
        <f t="shared" si="8"/>
        <v>1522.2091495665534</v>
      </c>
      <c r="J163" s="32"/>
      <c r="K163" s="32"/>
      <c r="L163" s="32"/>
    </row>
    <row r="165" spans="1:12">
      <c r="C165" s="233"/>
      <c r="D165" s="233"/>
      <c r="E165" s="233"/>
      <c r="F165" s="233"/>
      <c r="G165" s="233"/>
      <c r="H165" s="233"/>
      <c r="I165" s="233"/>
    </row>
    <row r="166" spans="1:12">
      <c r="B166" s="1"/>
      <c r="C166" s="233"/>
      <c r="D166" s="233"/>
      <c r="E166" s="233"/>
      <c r="F166" s="233"/>
      <c r="G166" s="233"/>
      <c r="H166" s="233"/>
      <c r="I166" s="233"/>
    </row>
    <row r="167" spans="1:12">
      <c r="B167" s="1"/>
      <c r="C167" s="233"/>
      <c r="D167" s="233"/>
      <c r="E167" s="233"/>
      <c r="F167" s="233"/>
      <c r="G167" s="233"/>
      <c r="H167" s="233"/>
      <c r="I167" s="233"/>
      <c r="K167" s="108"/>
    </row>
    <row r="168" spans="1:12">
      <c r="C168" s="105"/>
      <c r="D168" s="296"/>
      <c r="E168" s="105"/>
      <c r="F168" s="105"/>
      <c r="G168" s="105"/>
      <c r="H168" s="105"/>
      <c r="I168" s="105"/>
    </row>
    <row r="169" spans="1:12">
      <c r="D169" s="5"/>
    </row>
    <row r="170" spans="1:12">
      <c r="D170" s="5"/>
    </row>
    <row r="171" spans="1:12" ht="14.4">
      <c r="A171" s="38"/>
    </row>
    <row r="172" spans="1:12" ht="14.4">
      <c r="A172" s="38"/>
    </row>
    <row r="173" spans="1:12" ht="14.4">
      <c r="A173" s="38"/>
    </row>
    <row r="174" spans="1:12" ht="14.4">
      <c r="A174" s="38"/>
    </row>
  </sheetData>
  <phoneticPr fontId="58" type="noConversion"/>
  <pageMargins left="0.70866141732283472" right="0.70866141732283472" top="0.74803149606299213" bottom="0.74803149606299213" header="0.31496062992125984" footer="0.31496062992125984"/>
  <pageSetup paperSize="8" scale="98" orientation="landscape" r:id="rId1"/>
  <headerFooter>
    <oddFooter>&amp;L&amp;Z&amp;F</oddFooter>
  </headerFooter>
  <colBreaks count="1" manualBreakCount="1">
    <brk id="9" max="10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7"/>
  <sheetViews>
    <sheetView zoomScaleNormal="100" zoomScaleSheetLayoutView="100" workbookViewId="0"/>
  </sheetViews>
  <sheetFormatPr defaultColWidth="9.44140625" defaultRowHeight="13.8"/>
  <cols>
    <col min="1" max="1" width="36.5546875" style="15" bestFit="1" customWidth="1"/>
    <col min="2" max="8" width="8.44140625" style="15" customWidth="1"/>
    <col min="9" max="16384" width="9.44140625" style="15"/>
  </cols>
  <sheetData>
    <row r="1" spans="1:18" ht="18">
      <c r="A1" s="64" t="s">
        <v>737</v>
      </c>
    </row>
    <row r="3" spans="1:18">
      <c r="A3" s="217" t="s">
        <v>738</v>
      </c>
      <c r="B3" s="217"/>
      <c r="C3" s="217"/>
      <c r="D3" s="217"/>
      <c r="E3" s="217"/>
      <c r="F3" s="217"/>
      <c r="G3" s="217"/>
      <c r="H3" s="217"/>
    </row>
    <row r="4" spans="1:18">
      <c r="B4" s="217">
        <f>Innovatie!C3</f>
        <v>2024</v>
      </c>
      <c r="C4" s="217">
        <f>Innovatie!D3</f>
        <v>2025</v>
      </c>
      <c r="D4" s="217">
        <f>Innovatie!E3</f>
        <v>2026</v>
      </c>
      <c r="E4" s="217">
        <f>Innovatie!F3</f>
        <v>2027</v>
      </c>
      <c r="F4" s="217">
        <f>Innovatie!G3</f>
        <v>2028</v>
      </c>
      <c r="G4" s="217">
        <f>Innovatie!H3</f>
        <v>2029</v>
      </c>
      <c r="H4" s="217">
        <f>Innovatie!I3</f>
        <v>2030</v>
      </c>
      <c r="K4" s="4"/>
      <c r="L4" s="4"/>
      <c r="M4" s="4"/>
      <c r="N4" s="4"/>
      <c r="O4" s="4"/>
      <c r="P4" s="4"/>
      <c r="Q4" s="4"/>
      <c r="R4" s="4"/>
    </row>
    <row r="5" spans="1:18">
      <c r="A5" s="15" t="s">
        <v>564</v>
      </c>
      <c r="B5" s="208">
        <f>'R&amp;D'!C8</f>
        <v>0.55500000000000005</v>
      </c>
      <c r="C5" s="208">
        <f>'R&amp;D'!D8</f>
        <v>0.53800000000000003</v>
      </c>
      <c r="D5" s="208">
        <f>'R&amp;D'!E8</f>
        <v>0.63100000000000001</v>
      </c>
      <c r="E5" s="208">
        <f>'R&amp;D'!F8</f>
        <v>0.625</v>
      </c>
      <c r="F5" s="208">
        <f>'R&amp;D'!G8</f>
        <v>0.61799999999999999</v>
      </c>
      <c r="G5" s="208">
        <f>'R&amp;D'!H8</f>
        <v>0.61199999999999999</v>
      </c>
      <c r="H5" s="208">
        <f>'R&amp;D'!I8</f>
        <v>0.61199999999999999</v>
      </c>
      <c r="I5" s="291"/>
      <c r="J5" s="4"/>
    </row>
    <row r="6" spans="1:18" s="4" customFormat="1">
      <c r="A6" s="4" t="s">
        <v>566</v>
      </c>
      <c r="B6" s="34">
        <f>'R&amp;D'!C16</f>
        <v>52.376999999999995</v>
      </c>
      <c r="C6" s="34">
        <f>'R&amp;D'!D16</f>
        <v>45.315000000000005</v>
      </c>
      <c r="D6" s="34">
        <f>'R&amp;D'!E16</f>
        <v>43.967199999999998</v>
      </c>
      <c r="E6" s="34">
        <f>'R&amp;D'!F16</f>
        <v>40.188800000000001</v>
      </c>
      <c r="F6" s="34">
        <f>'R&amp;D'!G16</f>
        <v>42.864699999999999</v>
      </c>
      <c r="G6" s="34">
        <f>'R&amp;D'!H16</f>
        <v>45.946849999999998</v>
      </c>
      <c r="H6" s="34">
        <f>'R&amp;D'!I16</f>
        <v>45.946849999999998</v>
      </c>
      <c r="I6" s="291"/>
      <c r="K6" s="15"/>
      <c r="L6" s="15"/>
      <c r="M6" s="15"/>
      <c r="N6" s="15"/>
      <c r="O6" s="15"/>
      <c r="P6" s="15"/>
      <c r="Q6" s="15"/>
      <c r="R6" s="15"/>
    </row>
    <row r="7" spans="1:18">
      <c r="A7" s="15" t="s">
        <v>739</v>
      </c>
      <c r="B7" s="208">
        <f>'R&amp;D'!C23</f>
        <v>35.101600000000005</v>
      </c>
      <c r="C7" s="208">
        <f>'R&amp;D'!D23</f>
        <v>36.282200000000003</v>
      </c>
      <c r="D7" s="208">
        <f>'R&amp;D'!E23</f>
        <v>35.317499999999995</v>
      </c>
      <c r="E7" s="208">
        <f>'R&amp;D'!F23</f>
        <v>35.142800000000001</v>
      </c>
      <c r="F7" s="208">
        <f>'R&amp;D'!G23</f>
        <v>34.823999999999998</v>
      </c>
      <c r="G7" s="208">
        <f>'R&amp;D'!H23</f>
        <v>34.808749999999996</v>
      </c>
      <c r="H7" s="208">
        <f>'R&amp;D'!I23</f>
        <v>34.808749999999996</v>
      </c>
      <c r="I7" s="291"/>
      <c r="J7" s="4"/>
    </row>
    <row r="8" spans="1:18">
      <c r="A8" s="15" t="s">
        <v>570</v>
      </c>
      <c r="B8" s="208">
        <f>'R&amp;D'!C32</f>
        <v>37.817999999999998</v>
      </c>
      <c r="C8" s="208">
        <f>'R&amp;D'!D32</f>
        <v>33.629999999999995</v>
      </c>
      <c r="D8" s="208">
        <f>'R&amp;D'!E32</f>
        <v>19.936</v>
      </c>
      <c r="E8" s="208">
        <f>'R&amp;D'!F32</f>
        <v>12.779</v>
      </c>
      <c r="F8" s="208">
        <f>'R&amp;D'!G32</f>
        <v>7.7220000000000004</v>
      </c>
      <c r="G8" s="208">
        <f>'R&amp;D'!H32</f>
        <v>8.3529999999999998</v>
      </c>
      <c r="H8" s="208">
        <f>'R&amp;D'!I32</f>
        <v>6.6910000000000007</v>
      </c>
      <c r="I8" s="291"/>
      <c r="J8" s="303"/>
    </row>
    <row r="9" spans="1:18" s="4" customFormat="1">
      <c r="A9" s="4" t="s">
        <v>572</v>
      </c>
      <c r="B9" s="34">
        <f>'R&amp;D'!C79</f>
        <v>5934.5391652677408</v>
      </c>
      <c r="C9" s="34">
        <f>'R&amp;D'!D79</f>
        <v>5914.4577566806811</v>
      </c>
      <c r="D9" s="34">
        <f>'R&amp;D'!E79</f>
        <v>5857.2599844708648</v>
      </c>
      <c r="E9" s="34">
        <f>'R&amp;D'!F79</f>
        <v>5800.5562077988607</v>
      </c>
      <c r="F9" s="34">
        <f>'R&amp;D'!G79</f>
        <v>5739.6829135647722</v>
      </c>
      <c r="G9" s="34">
        <f>'R&amp;D'!H79</f>
        <v>5681.2834373861697</v>
      </c>
      <c r="H9" s="34">
        <f>'R&amp;D'!I79</f>
        <v>5582.1497997525275</v>
      </c>
      <c r="I9" s="291"/>
      <c r="K9" s="208"/>
      <c r="L9" s="15"/>
      <c r="M9" s="15"/>
      <c r="N9" s="15"/>
      <c r="O9" s="15"/>
      <c r="P9" s="15"/>
      <c r="Q9" s="15"/>
      <c r="R9" s="15"/>
    </row>
    <row r="10" spans="1:18">
      <c r="A10" s="15" t="s">
        <v>205</v>
      </c>
      <c r="B10" s="208">
        <f>'R&amp;D'!C90</f>
        <v>253.67699999999999</v>
      </c>
      <c r="C10" s="208">
        <f>'R&amp;D'!D90</f>
        <v>319.71199999999999</v>
      </c>
      <c r="D10" s="208">
        <f>'R&amp;D'!E90</f>
        <v>315.779</v>
      </c>
      <c r="E10" s="208">
        <f>'R&amp;D'!F90</f>
        <v>350.553</v>
      </c>
      <c r="F10" s="208">
        <f>'R&amp;D'!G90</f>
        <v>385.96899999999999</v>
      </c>
      <c r="G10" s="208">
        <f>'R&amp;D'!H90</f>
        <v>387.36799999999999</v>
      </c>
      <c r="H10" s="208">
        <f>'R&amp;D'!I90</f>
        <v>396.97200000000004</v>
      </c>
      <c r="I10" s="291"/>
      <c r="J10" s="4"/>
      <c r="K10" s="208"/>
    </row>
    <row r="11" spans="1:18">
      <c r="A11" s="15" t="s">
        <v>575</v>
      </c>
      <c r="B11" s="208">
        <f>'R&amp;D'!C121</f>
        <v>269.54899999999998</v>
      </c>
      <c r="C11" s="208">
        <f>'R&amp;D'!D121</f>
        <v>315.58399999999995</v>
      </c>
      <c r="D11" s="208">
        <f>'R&amp;D'!E121</f>
        <v>318.816644</v>
      </c>
      <c r="E11" s="208">
        <f>'R&amp;D'!F121</f>
        <v>294.304644</v>
      </c>
      <c r="F11" s="208">
        <f>'R&amp;D'!G121</f>
        <v>272.36500000000001</v>
      </c>
      <c r="G11" s="208">
        <f>'R&amp;D'!H121</f>
        <v>238.33999999999997</v>
      </c>
      <c r="H11" s="208">
        <f>'R&amp;D'!I121</f>
        <v>247.37799999999999</v>
      </c>
      <c r="I11" s="291"/>
      <c r="J11" s="4"/>
      <c r="K11" s="4"/>
      <c r="L11" s="4"/>
      <c r="M11" s="4"/>
      <c r="N11" s="4"/>
      <c r="O11" s="4"/>
      <c r="P11" s="4"/>
      <c r="Q11" s="4"/>
      <c r="R11" s="4"/>
    </row>
    <row r="12" spans="1:18">
      <c r="A12" s="15" t="s">
        <v>577</v>
      </c>
      <c r="B12" s="183">
        <f>'R&amp;D'!C219</f>
        <v>1449.2481349999998</v>
      </c>
      <c r="C12" s="183">
        <f>'R&amp;D'!D219</f>
        <v>1624.7130450000004</v>
      </c>
      <c r="D12" s="183">
        <f>'R&amp;D'!E219</f>
        <v>1934.1858999999999</v>
      </c>
      <c r="E12" s="183">
        <f>'R&amp;D'!F219</f>
        <v>1805.737005</v>
      </c>
      <c r="F12" s="183">
        <f>'R&amp;D'!G219</f>
        <v>1742.88537</v>
      </c>
      <c r="G12" s="183">
        <f>'R&amp;D'!H219</f>
        <v>1453.9961950000004</v>
      </c>
      <c r="H12" s="183">
        <f>'R&amp;D'!I219</f>
        <v>1376.6398700000009</v>
      </c>
      <c r="I12" s="291"/>
      <c r="J12" s="4"/>
    </row>
    <row r="13" spans="1:18">
      <c r="A13" s="15" t="s">
        <v>740</v>
      </c>
      <c r="B13" s="208">
        <f>'R&amp;D'!C261</f>
        <v>306.79116497000001</v>
      </c>
      <c r="C13" s="208">
        <f>'R&amp;D'!D261</f>
        <v>343.56099999999992</v>
      </c>
      <c r="D13" s="208">
        <f>'R&amp;D'!E261</f>
        <v>374.505</v>
      </c>
      <c r="E13" s="208">
        <f>'R&amp;D'!F261</f>
        <v>388.66900000000004</v>
      </c>
      <c r="F13" s="208">
        <f>'R&amp;D'!G261</f>
        <v>376.83799999999991</v>
      </c>
      <c r="G13" s="208">
        <f>'R&amp;D'!H261</f>
        <v>388.7290000000001</v>
      </c>
      <c r="H13" s="208">
        <f>'R&amp;D'!I261</f>
        <v>350.45799999999997</v>
      </c>
      <c r="I13" s="291"/>
      <c r="J13" s="4"/>
      <c r="K13" s="208"/>
    </row>
    <row r="14" spans="1:18">
      <c r="A14" s="15" t="s">
        <v>581</v>
      </c>
      <c r="B14" s="208">
        <f>'R&amp;D'!C272</f>
        <v>14.449</v>
      </c>
      <c r="C14" s="208">
        <f>'R&amp;D'!D272</f>
        <v>14.565999999999999</v>
      </c>
      <c r="D14" s="208">
        <f>'R&amp;D'!E272</f>
        <v>17.434999999999999</v>
      </c>
      <c r="E14" s="208">
        <f>'R&amp;D'!F272</f>
        <v>19.412000000000003</v>
      </c>
      <c r="F14" s="208">
        <f>'R&amp;D'!G272</f>
        <v>18.392000000000003</v>
      </c>
      <c r="G14" s="208">
        <f>'R&amp;D'!H272</f>
        <v>18.240000000000002</v>
      </c>
      <c r="H14" s="208">
        <f>'R&amp;D'!I272</f>
        <v>18.212</v>
      </c>
      <c r="I14" s="298"/>
      <c r="J14" s="4"/>
    </row>
    <row r="15" spans="1:18">
      <c r="A15" s="15" t="s">
        <v>583</v>
      </c>
      <c r="B15" s="208">
        <f>'R&amp;D'!C288</f>
        <v>560.42727530000002</v>
      </c>
      <c r="C15" s="208">
        <f>'R&amp;D'!D288</f>
        <v>616.16375761000006</v>
      </c>
      <c r="D15" s="208">
        <f>'R&amp;D'!E288</f>
        <v>593.00259785000003</v>
      </c>
      <c r="E15" s="208">
        <f>'R&amp;D'!F288</f>
        <v>497.84174246000009</v>
      </c>
      <c r="F15" s="208">
        <f>'R&amp;D'!G288</f>
        <v>438.63992407999996</v>
      </c>
      <c r="G15" s="208">
        <f>'R&amp;D'!H288</f>
        <v>363.41485932000001</v>
      </c>
      <c r="H15" s="208">
        <f>'R&amp;D'!I288</f>
        <v>327.95660149999998</v>
      </c>
      <c r="I15" s="291"/>
      <c r="J15" s="4"/>
    </row>
    <row r="16" spans="1:18">
      <c r="A16" s="15" t="s">
        <v>741</v>
      </c>
      <c r="B16" s="208">
        <f>'R&amp;D'!C295</f>
        <v>17.785</v>
      </c>
      <c r="C16" s="208">
        <f>'R&amp;D'!D295</f>
        <v>0</v>
      </c>
      <c r="D16" s="208">
        <f>'R&amp;D'!E295</f>
        <v>67.504999999999995</v>
      </c>
      <c r="E16" s="208">
        <f>'R&amp;D'!F295</f>
        <v>163.66499999999999</v>
      </c>
      <c r="F16" s="208">
        <f>'R&amp;D'!G295</f>
        <v>304.27300000000002</v>
      </c>
      <c r="G16" s="208">
        <f>'R&amp;D'!H295</f>
        <v>104.726</v>
      </c>
      <c r="H16" s="208">
        <f>'R&amp;D'!I295</f>
        <v>193.60799999999998</v>
      </c>
      <c r="I16" s="291"/>
      <c r="J16" s="4"/>
    </row>
    <row r="17" spans="1:10" s="217" customFormat="1">
      <c r="A17" s="217" t="s">
        <v>742</v>
      </c>
      <c r="B17" s="218">
        <f>SUM(B5:B16)</f>
        <v>8932.317340537742</v>
      </c>
      <c r="C17" s="218">
        <f t="shared" ref="C17:H17" si="0">SUM(C5:C16)</f>
        <v>9264.5227592906813</v>
      </c>
      <c r="D17" s="218">
        <f t="shared" si="0"/>
        <v>9578.3408263208639</v>
      </c>
      <c r="E17" s="218">
        <f t="shared" si="0"/>
        <v>9409.4741992588606</v>
      </c>
      <c r="F17" s="218">
        <f t="shared" si="0"/>
        <v>9365.0739076447717</v>
      </c>
      <c r="G17" s="218">
        <f t="shared" si="0"/>
        <v>8725.8180917061709</v>
      </c>
      <c r="H17" s="218">
        <f t="shared" si="0"/>
        <v>8581.4328712525275</v>
      </c>
      <c r="I17" s="291"/>
      <c r="J17" s="4"/>
    </row>
    <row r="18" spans="1:10">
      <c r="B18" s="208"/>
      <c r="C18" s="208"/>
      <c r="D18" s="208"/>
      <c r="E18" s="208"/>
      <c r="F18" s="208"/>
      <c r="G18" s="208"/>
      <c r="H18" s="208"/>
    </row>
    <row r="19" spans="1:10">
      <c r="A19" s="217" t="s">
        <v>743</v>
      </c>
    </row>
    <row r="20" spans="1:10" s="217" customFormat="1">
      <c r="B20" s="217">
        <f t="shared" ref="B20:H20" si="1">B4</f>
        <v>2024</v>
      </c>
      <c r="C20" s="217">
        <f t="shared" si="1"/>
        <v>2025</v>
      </c>
      <c r="D20" s="217">
        <f t="shared" si="1"/>
        <v>2026</v>
      </c>
      <c r="E20" s="217">
        <f t="shared" si="1"/>
        <v>2027</v>
      </c>
      <c r="F20" s="217">
        <f t="shared" si="1"/>
        <v>2028</v>
      </c>
      <c r="G20" s="217">
        <f t="shared" si="1"/>
        <v>2029</v>
      </c>
      <c r="H20" s="217">
        <f t="shared" si="1"/>
        <v>2030</v>
      </c>
    </row>
    <row r="21" spans="1:10">
      <c r="A21" s="15" t="str">
        <f t="shared" ref="A21:A28" si="2">A5</f>
        <v>Algemene Zaken</v>
      </c>
      <c r="B21" s="183">
        <f>'R&amp;D'!Q8</f>
        <v>0</v>
      </c>
      <c r="C21" s="183">
        <f>'R&amp;D'!R8</f>
        <v>0</v>
      </c>
      <c r="D21" s="183">
        <f>'R&amp;D'!S8</f>
        <v>0</v>
      </c>
      <c r="E21" s="183">
        <f>'R&amp;D'!T8</f>
        <v>0</v>
      </c>
      <c r="F21" s="183">
        <f>'R&amp;D'!U8</f>
        <v>0</v>
      </c>
      <c r="G21" s="183">
        <f>'R&amp;D'!V8</f>
        <v>0</v>
      </c>
      <c r="H21" s="183">
        <f>'R&amp;D'!W8</f>
        <v>0</v>
      </c>
    </row>
    <row r="22" spans="1:10" s="4" customFormat="1">
      <c r="A22" s="15" t="str">
        <f t="shared" si="2"/>
        <v xml:space="preserve">Buitenlandse Zaken </v>
      </c>
      <c r="B22" s="126">
        <f>'R&amp;D'!Q16</f>
        <v>0</v>
      </c>
      <c r="C22" s="126">
        <f>'R&amp;D'!R16</f>
        <v>0</v>
      </c>
      <c r="D22" s="126">
        <f>'R&amp;D'!S16</f>
        <v>0</v>
      </c>
      <c r="E22" s="126">
        <f>'R&amp;D'!T16</f>
        <v>0</v>
      </c>
      <c r="F22" s="126">
        <f>'R&amp;D'!U16</f>
        <v>0</v>
      </c>
      <c r="G22" s="126">
        <f>'R&amp;D'!V16</f>
        <v>0</v>
      </c>
      <c r="H22" s="126">
        <f>'R&amp;D'!W16</f>
        <v>0</v>
      </c>
    </row>
    <row r="23" spans="1:10">
      <c r="A23" s="15" t="str">
        <f t="shared" si="2"/>
        <v xml:space="preserve">Justitie en Veiligheid </v>
      </c>
      <c r="B23" s="183">
        <f>'R&amp;D'!Q23</f>
        <v>0</v>
      </c>
      <c r="C23" s="183">
        <f>'R&amp;D'!R23</f>
        <v>0</v>
      </c>
      <c r="D23" s="183">
        <f>'R&amp;D'!S23</f>
        <v>0</v>
      </c>
      <c r="E23" s="183">
        <f>'R&amp;D'!T23</f>
        <v>0</v>
      </c>
      <c r="F23" s="183">
        <f>'R&amp;D'!U23</f>
        <v>0</v>
      </c>
      <c r="G23" s="183">
        <f>'R&amp;D'!V23</f>
        <v>0</v>
      </c>
      <c r="H23" s="183">
        <f>'R&amp;D'!W23</f>
        <v>0</v>
      </c>
    </row>
    <row r="24" spans="1:10">
      <c r="A24" s="15" t="str">
        <f t="shared" si="2"/>
        <v>Binnenlandse Zaken en Koninkrijksrelaties</v>
      </c>
      <c r="B24" s="183">
        <f>'R&amp;D'!Q305</f>
        <v>28.531800000000004</v>
      </c>
      <c r="C24" s="183">
        <f>'R&amp;D'!R305</f>
        <v>29.642999999999997</v>
      </c>
      <c r="D24" s="183">
        <f>'R&amp;D'!S305</f>
        <v>16.0336</v>
      </c>
      <c r="E24" s="183">
        <f>'R&amp;D'!T305</f>
        <v>7.0379000000000005</v>
      </c>
      <c r="F24" s="183">
        <f>'R&amp;D'!U305</f>
        <v>1.9422000000000001</v>
      </c>
      <c r="G24" s="183">
        <f>'R&amp;D'!V305</f>
        <v>1.2852999999999999</v>
      </c>
      <c r="H24" s="183">
        <f>'R&amp;D'!W305</f>
        <v>1.0290999999999999</v>
      </c>
    </row>
    <row r="25" spans="1:10" s="4" customFormat="1">
      <c r="A25" s="15" t="str">
        <f t="shared" si="2"/>
        <v>Onderwijs, Cultuur en Wetenschap</v>
      </c>
      <c r="B25" s="126">
        <f>'R&amp;D'!Q79</f>
        <v>458.15663865890872</v>
      </c>
      <c r="C25" s="126">
        <f>'R&amp;D'!R79</f>
        <v>458.29786216126911</v>
      </c>
      <c r="D25" s="126">
        <f>'R&amp;D'!S79</f>
        <v>448.07702434210387</v>
      </c>
      <c r="E25" s="126">
        <f>'R&amp;D'!T79</f>
        <v>456.647814181027</v>
      </c>
      <c r="F25" s="126">
        <f>'R&amp;D'!U79</f>
        <v>444.01374446180256</v>
      </c>
      <c r="G25" s="126">
        <f>'R&amp;D'!V79</f>
        <v>428.86369040609179</v>
      </c>
      <c r="H25" s="126">
        <f>'R&amp;D'!W79</f>
        <v>432.44188629966914</v>
      </c>
    </row>
    <row r="26" spans="1:10">
      <c r="A26" s="15" t="str">
        <f t="shared" si="2"/>
        <v>Defensie</v>
      </c>
      <c r="B26" s="183">
        <f>'R&amp;D'!Q90</f>
        <v>253.67699999999999</v>
      </c>
      <c r="C26" s="183">
        <f>'R&amp;D'!R90</f>
        <v>319.71199999999999</v>
      </c>
      <c r="D26" s="183">
        <f>'R&amp;D'!S90</f>
        <v>315.779</v>
      </c>
      <c r="E26" s="183">
        <f>'R&amp;D'!T90</f>
        <v>350.553</v>
      </c>
      <c r="F26" s="183">
        <f>'R&amp;D'!U90</f>
        <v>385.96899999999999</v>
      </c>
      <c r="G26" s="183">
        <f>'R&amp;D'!V90</f>
        <v>387.36799999999999</v>
      </c>
      <c r="H26" s="183">
        <f>'R&amp;D'!W90</f>
        <v>396.97200000000004</v>
      </c>
    </row>
    <row r="27" spans="1:10">
      <c r="A27" s="15" t="str">
        <f t="shared" si="2"/>
        <v>Infrastructuur en Waterstaat</v>
      </c>
      <c r="B27" s="183">
        <f>'R&amp;D'!Q121</f>
        <v>102.697</v>
      </c>
      <c r="C27" s="183">
        <f>'R&amp;D'!R121</f>
        <v>141.37299999999999</v>
      </c>
      <c r="D27" s="183">
        <f>'R&amp;D'!S121</f>
        <v>151.1</v>
      </c>
      <c r="E27" s="183">
        <f>'R&amp;D'!T121</f>
        <v>127.066</v>
      </c>
      <c r="F27" s="183">
        <f>'R&amp;D'!U121</f>
        <v>107</v>
      </c>
      <c r="G27" s="183">
        <f>'R&amp;D'!V121</f>
        <v>76.699999999999989</v>
      </c>
      <c r="H27" s="183">
        <f>'R&amp;D'!W121</f>
        <v>84.74199999999999</v>
      </c>
    </row>
    <row r="28" spans="1:10">
      <c r="A28" s="15" t="str">
        <f t="shared" si="2"/>
        <v>Economische Zaken en Klimaat</v>
      </c>
      <c r="B28" s="183">
        <f>'R&amp;D'!Q219</f>
        <v>1260.4373500000002</v>
      </c>
      <c r="C28" s="183">
        <f>'R&amp;D'!R219</f>
        <v>1486.5793999999999</v>
      </c>
      <c r="D28" s="183">
        <f>'R&amp;D'!S219</f>
        <v>1722.4011000000003</v>
      </c>
      <c r="E28" s="183">
        <f>'R&amp;D'!T219</f>
        <v>1654.7851000000001</v>
      </c>
      <c r="F28" s="183">
        <f>'R&amp;D'!U219</f>
        <v>1609.1685500000003</v>
      </c>
      <c r="G28" s="183">
        <f>'R&amp;D'!V219</f>
        <v>1345.5796000000003</v>
      </c>
      <c r="H28" s="183">
        <f>'R&amp;D'!W219</f>
        <v>1256.8208500000003</v>
      </c>
    </row>
    <row r="29" spans="1:10">
      <c r="A29" s="15" t="s">
        <v>740</v>
      </c>
      <c r="B29" s="183">
        <f>'R&amp;D'!Q261</f>
        <v>139.60652299400002</v>
      </c>
      <c r="C29" s="183">
        <f>'R&amp;D'!R261</f>
        <v>148.28303000000005</v>
      </c>
      <c r="D29" s="183">
        <f>'R&amp;D'!S261</f>
        <v>178.73953000000003</v>
      </c>
      <c r="E29" s="183">
        <f>'R&amp;D'!T261</f>
        <v>170.87738000000002</v>
      </c>
      <c r="F29" s="183">
        <f>'R&amp;D'!U261</f>
        <v>168.53486000000004</v>
      </c>
      <c r="G29" s="183">
        <f>'R&amp;D'!V261</f>
        <v>157.32365999999999</v>
      </c>
      <c r="H29" s="183">
        <f>'R&amp;D'!W261</f>
        <v>144.60582999999997</v>
      </c>
    </row>
    <row r="30" spans="1:10">
      <c r="A30" s="15" t="str">
        <f>A14</f>
        <v>Sociale Zaken en Werkgelegenheid</v>
      </c>
      <c r="B30" s="183">
        <f>'R&amp;D'!Q271</f>
        <v>0</v>
      </c>
      <c r="C30" s="183">
        <f>'R&amp;D'!R271</f>
        <v>0</v>
      </c>
      <c r="D30" s="183">
        <f>'R&amp;D'!S271</f>
        <v>0</v>
      </c>
      <c r="E30" s="183">
        <f>'R&amp;D'!T271</f>
        <v>0</v>
      </c>
      <c r="F30" s="183">
        <f>'R&amp;D'!U271</f>
        <v>0</v>
      </c>
      <c r="G30" s="183">
        <f>'R&amp;D'!V271</f>
        <v>0</v>
      </c>
      <c r="H30" s="183">
        <f>'R&amp;D'!W271</f>
        <v>0</v>
      </c>
    </row>
    <row r="31" spans="1:10">
      <c r="A31" s="15" t="str">
        <f>A15</f>
        <v>Volksgezondheid, Welzijn en Sport</v>
      </c>
      <c r="B31" s="183">
        <f>'R&amp;D'!Q286</f>
        <v>0</v>
      </c>
      <c r="C31" s="183">
        <f>'R&amp;D'!R286</f>
        <v>0</v>
      </c>
      <c r="D31" s="183">
        <f>'R&amp;D'!S286</f>
        <v>0</v>
      </c>
      <c r="E31" s="183">
        <f>'R&amp;D'!T286</f>
        <v>0</v>
      </c>
      <c r="F31" s="183">
        <f>'R&amp;D'!U286</f>
        <v>0</v>
      </c>
      <c r="G31" s="183">
        <f>'R&amp;D'!V286</f>
        <v>0</v>
      </c>
      <c r="H31" s="183">
        <f>'R&amp;D'!W286</f>
        <v>0</v>
      </c>
    </row>
    <row r="32" spans="1:10">
      <c r="A32" s="15" t="s">
        <v>741</v>
      </c>
      <c r="B32" s="183">
        <f>'R&amp;D'!Q294</f>
        <v>17.785</v>
      </c>
      <c r="C32" s="183">
        <f>'R&amp;D'!R294</f>
        <v>0</v>
      </c>
      <c r="D32" s="183">
        <f>'R&amp;D'!S294</f>
        <v>0</v>
      </c>
      <c r="E32" s="183">
        <f>'R&amp;D'!T294</f>
        <v>0</v>
      </c>
      <c r="F32" s="183">
        <f>'R&amp;D'!U294</f>
        <v>0</v>
      </c>
      <c r="G32" s="183">
        <f>'R&amp;D'!V294</f>
        <v>0</v>
      </c>
      <c r="H32" s="183">
        <f>'R&amp;D'!W294</f>
        <v>0</v>
      </c>
    </row>
    <row r="33" spans="1:9" s="217" customFormat="1">
      <c r="A33" s="217" t="s">
        <v>60</v>
      </c>
      <c r="B33" s="218">
        <f>SUM(B21:B32)</f>
        <v>2260.8913116529088</v>
      </c>
      <c r="C33" s="218">
        <f t="shared" ref="C33:H33" si="3">SUM(C21:C32)</f>
        <v>2583.888292161269</v>
      </c>
      <c r="D33" s="218">
        <f t="shared" si="3"/>
        <v>2832.1302543421039</v>
      </c>
      <c r="E33" s="218">
        <f t="shared" si="3"/>
        <v>2766.967194181027</v>
      </c>
      <c r="F33" s="218">
        <f t="shared" si="3"/>
        <v>2716.6283544618032</v>
      </c>
      <c r="G33" s="218">
        <f t="shared" si="3"/>
        <v>2397.1202504060921</v>
      </c>
      <c r="H33" s="218">
        <f t="shared" si="3"/>
        <v>2316.6116662996697</v>
      </c>
      <c r="I33" s="218"/>
    </row>
    <row r="34" spans="1:9">
      <c r="B34" s="208"/>
      <c r="C34" s="208"/>
      <c r="D34" s="208"/>
      <c r="E34" s="208"/>
      <c r="F34" s="208"/>
      <c r="G34" s="208"/>
      <c r="H34" s="208"/>
    </row>
    <row r="35" spans="1:9">
      <c r="A35" s="217" t="s">
        <v>744</v>
      </c>
    </row>
    <row r="36" spans="1:9">
      <c r="B36" s="217">
        <f t="shared" ref="B36:H36" si="4">B4</f>
        <v>2024</v>
      </c>
      <c r="C36" s="217">
        <f t="shared" si="4"/>
        <v>2025</v>
      </c>
      <c r="D36" s="217">
        <f t="shared" si="4"/>
        <v>2026</v>
      </c>
      <c r="E36" s="217">
        <f t="shared" si="4"/>
        <v>2027</v>
      </c>
      <c r="F36" s="217">
        <f t="shared" si="4"/>
        <v>2028</v>
      </c>
      <c r="G36" s="217">
        <f t="shared" si="4"/>
        <v>2029</v>
      </c>
      <c r="H36" s="217">
        <f t="shared" si="4"/>
        <v>2030</v>
      </c>
    </row>
    <row r="37" spans="1:9">
      <c r="A37" s="15" t="str">
        <f t="shared" ref="A37:A43" si="5">A21</f>
        <v>Algemene Zaken</v>
      </c>
      <c r="B37" s="219"/>
      <c r="C37" s="219"/>
      <c r="D37" s="219"/>
      <c r="E37" s="219"/>
      <c r="F37" s="219"/>
      <c r="G37" s="219"/>
      <c r="H37" s="219"/>
    </row>
    <row r="38" spans="1:9">
      <c r="A38" s="15" t="str">
        <f t="shared" si="5"/>
        <v xml:space="preserve">Buitenlandse Zaken </v>
      </c>
      <c r="B38" s="219"/>
      <c r="C38" s="219"/>
      <c r="D38" s="219"/>
      <c r="E38" s="219"/>
      <c r="F38" s="219"/>
      <c r="G38" s="219"/>
      <c r="H38" s="219"/>
    </row>
    <row r="39" spans="1:9">
      <c r="A39" s="15" t="str">
        <f t="shared" si="5"/>
        <v xml:space="preserve">Justitie en Veiligheid </v>
      </c>
      <c r="B39" s="219"/>
      <c r="C39" s="219"/>
      <c r="D39" s="219"/>
      <c r="E39" s="219"/>
      <c r="F39" s="219"/>
      <c r="G39" s="219"/>
      <c r="H39" s="219"/>
    </row>
    <row r="40" spans="1:9">
      <c r="A40" s="15" t="str">
        <f t="shared" si="5"/>
        <v>Binnenlandse Zaken en Koninkrijksrelaties</v>
      </c>
      <c r="B40" s="219"/>
      <c r="C40" s="219"/>
      <c r="D40" s="219"/>
      <c r="E40" s="219"/>
      <c r="F40" s="219"/>
      <c r="G40" s="219"/>
      <c r="H40" s="219"/>
    </row>
    <row r="41" spans="1:9">
      <c r="A41" s="15" t="str">
        <f t="shared" si="5"/>
        <v>Onderwijs, Cultuur en Wetenschap</v>
      </c>
      <c r="B41" s="219">
        <f>Innovatie!C37</f>
        <v>259.14226167999999</v>
      </c>
      <c r="C41" s="219">
        <f>Innovatie!D37</f>
        <v>435.81386072000004</v>
      </c>
      <c r="D41" s="219">
        <f>Innovatie!E37</f>
        <v>429.56930695999995</v>
      </c>
      <c r="E41" s="219">
        <f>Innovatie!F37</f>
        <v>437.57705664000002</v>
      </c>
      <c r="F41" s="219">
        <f>Innovatie!G37</f>
        <v>299.81402918397913</v>
      </c>
      <c r="G41" s="219">
        <f>Innovatie!H37</f>
        <v>136.19617506655354</v>
      </c>
      <c r="H41" s="219">
        <f>Innovatie!I37</f>
        <v>130.82117506655351</v>
      </c>
    </row>
    <row r="42" spans="1:9">
      <c r="A42" s="15" t="str">
        <f t="shared" si="5"/>
        <v>Defensie</v>
      </c>
      <c r="B42" s="183">
        <f>Innovatie!C42</f>
        <v>15.436</v>
      </c>
      <c r="C42" s="183">
        <f>Innovatie!D42</f>
        <v>139.26599999999999</v>
      </c>
      <c r="D42" s="183">
        <f>Innovatie!E42</f>
        <v>69.878</v>
      </c>
      <c r="E42" s="183">
        <f>Innovatie!F42</f>
        <v>76.858999999999995</v>
      </c>
      <c r="F42" s="183">
        <f>Innovatie!G42</f>
        <v>68.994</v>
      </c>
      <c r="G42" s="183">
        <f>Innovatie!H42</f>
        <v>68.781999999999996</v>
      </c>
      <c r="H42" s="183">
        <f>Innovatie!I42</f>
        <v>68.781999999999996</v>
      </c>
    </row>
    <row r="43" spans="1:9">
      <c r="A43" s="15" t="str">
        <f t="shared" si="5"/>
        <v>Infrastructuur en Waterstaat</v>
      </c>
      <c r="B43" s="183">
        <f>Innovatie!C66</f>
        <v>70.924666000000002</v>
      </c>
      <c r="C43" s="183">
        <f>Innovatie!D66</f>
        <v>100.97499999999999</v>
      </c>
      <c r="D43" s="183">
        <f>Innovatie!E66</f>
        <v>133.92800000000003</v>
      </c>
      <c r="E43" s="183">
        <f>Innovatie!F66</f>
        <v>139.99399999999997</v>
      </c>
      <c r="F43" s="183">
        <f>Innovatie!G66</f>
        <v>152.62900000000002</v>
      </c>
      <c r="G43" s="183">
        <f>Innovatie!H66</f>
        <v>146.81500000000003</v>
      </c>
      <c r="H43" s="183">
        <f>Innovatie!I66</f>
        <v>197.57900000000001</v>
      </c>
    </row>
    <row r="44" spans="1:9">
      <c r="A44" s="15" t="str">
        <f>A28</f>
        <v>Economische Zaken en Klimaat</v>
      </c>
      <c r="B44" s="183">
        <f>Innovatie!C129</f>
        <v>512.49185000000011</v>
      </c>
      <c r="C44" s="183">
        <f>Innovatie!D129</f>
        <v>751.10643000000016</v>
      </c>
      <c r="D44" s="183">
        <f>Innovatie!E129</f>
        <v>1166.8832300000001</v>
      </c>
      <c r="E44" s="183">
        <f>Innovatie!F129</f>
        <v>1113.1864499999999</v>
      </c>
      <c r="F44" s="183">
        <f>Innovatie!G129</f>
        <v>968.1467600000002</v>
      </c>
      <c r="G44" s="183">
        <f>Innovatie!H129</f>
        <v>658.94530999999995</v>
      </c>
      <c r="H44" s="183">
        <f>Innovatie!I129</f>
        <v>625.99210999999991</v>
      </c>
    </row>
    <row r="45" spans="1:9">
      <c r="A45" s="15" t="s">
        <v>740</v>
      </c>
      <c r="B45" s="183">
        <f>Innovatie!C138</f>
        <v>73.399102229999997</v>
      </c>
      <c r="C45" s="183">
        <f>Innovatie!D138</f>
        <v>42.670999999999999</v>
      </c>
      <c r="D45" s="183">
        <f>Innovatie!E138</f>
        <v>75.400999999999996</v>
      </c>
      <c r="E45" s="183">
        <f>Innovatie!F138</f>
        <v>81.397000000000006</v>
      </c>
      <c r="F45" s="183">
        <f>Innovatie!G138</f>
        <v>95.227999999999994</v>
      </c>
      <c r="G45" s="183">
        <f>Innovatie!H138</f>
        <v>104.13500000000001</v>
      </c>
      <c r="H45" s="183">
        <f>Innovatie!I138</f>
        <v>112.73700000000001</v>
      </c>
    </row>
    <row r="46" spans="1:9">
      <c r="A46" s="15" t="str">
        <f>A30</f>
        <v>Sociale Zaken en Werkgelegenheid</v>
      </c>
      <c r="B46" s="219">
        <f>Innovatie!C146</f>
        <v>11.747</v>
      </c>
      <c r="C46" s="219">
        <f>Innovatie!D146</f>
        <v>5.0030000000000001</v>
      </c>
      <c r="D46" s="219">
        <f>Innovatie!E146</f>
        <v>2.762</v>
      </c>
      <c r="E46" s="219">
        <f>Innovatie!F146</f>
        <v>2.762</v>
      </c>
      <c r="F46" s="219">
        <f>Innovatie!G146</f>
        <v>2.3779999999999997</v>
      </c>
      <c r="G46" s="219">
        <f>Innovatie!H146</f>
        <v>2.339</v>
      </c>
      <c r="H46" s="219">
        <f>Innovatie!I146</f>
        <v>0.39800000000000002</v>
      </c>
    </row>
    <row r="47" spans="1:9">
      <c r="A47" s="15" t="str">
        <f>A31</f>
        <v>Volksgezondheid, Welzijn en Sport</v>
      </c>
      <c r="B47" s="183">
        <f>Innovatie!C154</f>
        <v>289.4867405</v>
      </c>
      <c r="C47" s="183">
        <f>Innovatie!D154</f>
        <v>211.09584749999999</v>
      </c>
      <c r="D47" s="183">
        <f>Innovatie!E154</f>
        <v>154.663399</v>
      </c>
      <c r="E47" s="183">
        <f>Innovatie!F154</f>
        <v>346.54598199999998</v>
      </c>
      <c r="F47" s="183">
        <f>Innovatie!G154</f>
        <v>232.82831400000001</v>
      </c>
      <c r="G47" s="183">
        <f>Innovatie!H154</f>
        <v>249.90675300000001</v>
      </c>
      <c r="H47" s="183">
        <f>Innovatie!I154</f>
        <v>192.2918645</v>
      </c>
    </row>
    <row r="48" spans="1:9">
      <c r="A48" s="15" t="s">
        <v>741</v>
      </c>
      <c r="B48" s="183">
        <f>Innovatie!C160</f>
        <v>3.1389999999999998</v>
      </c>
      <c r="C48" s="183">
        <f>Innovatie!D160</f>
        <v>0</v>
      </c>
      <c r="D48" s="183">
        <f>Innovatie!E160</f>
        <v>67.504999999999995</v>
      </c>
      <c r="E48" s="183">
        <f>Innovatie!F160</f>
        <v>163.66499999999999</v>
      </c>
      <c r="F48" s="183">
        <f>Innovatie!G160</f>
        <v>304.27300000000002</v>
      </c>
      <c r="G48" s="183">
        <f>Innovatie!H160</f>
        <v>104.726</v>
      </c>
      <c r="H48" s="183">
        <f>Innovatie!I160</f>
        <v>193.60799999999998</v>
      </c>
    </row>
    <row r="49" spans="1:9" s="217" customFormat="1">
      <c r="A49" s="217" t="s">
        <v>60</v>
      </c>
      <c r="B49" s="220">
        <f>SUM(B37:B48)</f>
        <v>1235.7666204099999</v>
      </c>
      <c r="C49" s="220">
        <f t="shared" ref="C49:G49" si="6">SUM(C37:C48)</f>
        <v>1685.9311382200001</v>
      </c>
      <c r="D49" s="220">
        <f t="shared" si="6"/>
        <v>2100.5899359600003</v>
      </c>
      <c r="E49" s="220">
        <f t="shared" si="6"/>
        <v>2361.9864886399996</v>
      </c>
      <c r="F49" s="220">
        <f t="shared" si="6"/>
        <v>2124.2911031839794</v>
      </c>
      <c r="G49" s="220">
        <f t="shared" si="6"/>
        <v>1471.8452380665535</v>
      </c>
      <c r="H49" s="220">
        <f>SUM(H37:H48)</f>
        <v>1522.2091495665534</v>
      </c>
      <c r="I49" s="220"/>
    </row>
    <row r="50" spans="1:9">
      <c r="B50" s="183"/>
      <c r="C50" s="183"/>
      <c r="D50" s="183"/>
      <c r="E50" s="183"/>
      <c r="F50" s="183"/>
      <c r="G50" s="183"/>
      <c r="H50" s="183"/>
    </row>
    <row r="51" spans="1:9">
      <c r="A51" s="217" t="s">
        <v>745</v>
      </c>
    </row>
    <row r="52" spans="1:9">
      <c r="B52" s="217">
        <f t="shared" ref="B52:H52" si="7">B20</f>
        <v>2024</v>
      </c>
      <c r="C52" s="217">
        <f t="shared" si="7"/>
        <v>2025</v>
      </c>
      <c r="D52" s="217">
        <f t="shared" si="7"/>
        <v>2026</v>
      </c>
      <c r="E52" s="217">
        <f t="shared" si="7"/>
        <v>2027</v>
      </c>
      <c r="F52" s="217">
        <f t="shared" si="7"/>
        <v>2028</v>
      </c>
      <c r="G52" s="217">
        <f t="shared" si="7"/>
        <v>2029</v>
      </c>
      <c r="H52" s="217">
        <f t="shared" si="7"/>
        <v>2030</v>
      </c>
    </row>
    <row r="53" spans="1:9">
      <c r="A53" s="15" t="str">
        <f t="shared" ref="A53:A60" si="8">A37</f>
        <v>Algemene Zaken</v>
      </c>
      <c r="B53" s="208">
        <f t="shared" ref="B53:H64" si="9">+B5+B37</f>
        <v>0.55500000000000005</v>
      </c>
      <c r="C53" s="208">
        <f t="shared" si="9"/>
        <v>0.53800000000000003</v>
      </c>
      <c r="D53" s="208">
        <f t="shared" si="9"/>
        <v>0.63100000000000001</v>
      </c>
      <c r="E53" s="208">
        <f t="shared" si="9"/>
        <v>0.625</v>
      </c>
      <c r="F53" s="208">
        <f t="shared" si="9"/>
        <v>0.61799999999999999</v>
      </c>
      <c r="G53" s="208">
        <f t="shared" si="9"/>
        <v>0.61199999999999999</v>
      </c>
      <c r="H53" s="208">
        <f t="shared" si="9"/>
        <v>0.61199999999999999</v>
      </c>
    </row>
    <row r="54" spans="1:9" s="4" customFormat="1">
      <c r="A54" s="15" t="str">
        <f t="shared" si="8"/>
        <v xml:space="preserve">Buitenlandse Zaken </v>
      </c>
      <c r="B54" s="208">
        <f t="shared" si="9"/>
        <v>52.376999999999995</v>
      </c>
      <c r="C54" s="208">
        <f t="shared" si="9"/>
        <v>45.315000000000005</v>
      </c>
      <c r="D54" s="208">
        <f t="shared" si="9"/>
        <v>43.967199999999998</v>
      </c>
      <c r="E54" s="208">
        <f t="shared" si="9"/>
        <v>40.188800000000001</v>
      </c>
      <c r="F54" s="208">
        <f t="shared" si="9"/>
        <v>42.864699999999999</v>
      </c>
      <c r="G54" s="208">
        <f t="shared" si="9"/>
        <v>45.946849999999998</v>
      </c>
      <c r="H54" s="208">
        <f t="shared" si="9"/>
        <v>45.946849999999998</v>
      </c>
    </row>
    <row r="55" spans="1:9">
      <c r="A55" s="15" t="str">
        <f t="shared" si="8"/>
        <v xml:space="preserve">Justitie en Veiligheid </v>
      </c>
      <c r="B55" s="208">
        <f t="shared" si="9"/>
        <v>35.101600000000005</v>
      </c>
      <c r="C55" s="208">
        <f t="shared" si="9"/>
        <v>36.282200000000003</v>
      </c>
      <c r="D55" s="208">
        <f t="shared" si="9"/>
        <v>35.317499999999995</v>
      </c>
      <c r="E55" s="208">
        <f t="shared" si="9"/>
        <v>35.142800000000001</v>
      </c>
      <c r="F55" s="208">
        <f t="shared" si="9"/>
        <v>34.823999999999998</v>
      </c>
      <c r="G55" s="208">
        <f t="shared" si="9"/>
        <v>34.808749999999996</v>
      </c>
      <c r="H55" s="208">
        <f t="shared" si="9"/>
        <v>34.808749999999996</v>
      </c>
    </row>
    <row r="56" spans="1:9">
      <c r="A56" s="15" t="str">
        <f t="shared" si="8"/>
        <v>Binnenlandse Zaken en Koninkrijksrelaties</v>
      </c>
      <c r="B56" s="208">
        <f t="shared" si="9"/>
        <v>37.817999999999998</v>
      </c>
      <c r="C56" s="208">
        <f t="shared" si="9"/>
        <v>33.629999999999995</v>
      </c>
      <c r="D56" s="208">
        <f t="shared" si="9"/>
        <v>19.936</v>
      </c>
      <c r="E56" s="208">
        <f t="shared" si="9"/>
        <v>12.779</v>
      </c>
      <c r="F56" s="208">
        <f t="shared" si="9"/>
        <v>7.7220000000000004</v>
      </c>
      <c r="G56" s="208">
        <f t="shared" si="9"/>
        <v>8.3529999999999998</v>
      </c>
      <c r="H56" s="208">
        <f t="shared" si="9"/>
        <v>6.6910000000000007</v>
      </c>
    </row>
    <row r="57" spans="1:9" s="4" customFormat="1">
      <c r="A57" s="15" t="str">
        <f t="shared" si="8"/>
        <v>Onderwijs, Cultuur en Wetenschap</v>
      </c>
      <c r="B57" s="208">
        <f t="shared" si="9"/>
        <v>6193.6814269477409</v>
      </c>
      <c r="C57" s="208">
        <f t="shared" si="9"/>
        <v>6350.271617400681</v>
      </c>
      <c r="D57" s="208">
        <f t="shared" si="9"/>
        <v>6286.8292914308649</v>
      </c>
      <c r="E57" s="208">
        <f t="shared" si="9"/>
        <v>6238.1332644388604</v>
      </c>
      <c r="F57" s="208">
        <f t="shared" si="9"/>
        <v>6039.4969427487513</v>
      </c>
      <c r="G57" s="208">
        <f t="shared" si="9"/>
        <v>5817.4796124527229</v>
      </c>
      <c r="H57" s="208">
        <f t="shared" si="9"/>
        <v>5712.9709748190808</v>
      </c>
    </row>
    <row r="58" spans="1:9">
      <c r="A58" s="15" t="str">
        <f t="shared" si="8"/>
        <v>Defensie</v>
      </c>
      <c r="B58" s="208">
        <f t="shared" si="9"/>
        <v>269.113</v>
      </c>
      <c r="C58" s="208">
        <f t="shared" si="9"/>
        <v>458.97799999999995</v>
      </c>
      <c r="D58" s="208">
        <f t="shared" si="9"/>
        <v>385.65699999999998</v>
      </c>
      <c r="E58" s="208">
        <f t="shared" si="9"/>
        <v>427.41199999999998</v>
      </c>
      <c r="F58" s="208">
        <f t="shared" si="9"/>
        <v>454.96299999999997</v>
      </c>
      <c r="G58" s="208">
        <f t="shared" si="9"/>
        <v>456.15</v>
      </c>
      <c r="H58" s="208">
        <f t="shared" si="9"/>
        <v>465.75400000000002</v>
      </c>
    </row>
    <row r="59" spans="1:9">
      <c r="A59" s="15" t="str">
        <f t="shared" si="8"/>
        <v>Infrastructuur en Waterstaat</v>
      </c>
      <c r="B59" s="208">
        <f t="shared" si="9"/>
        <v>340.47366599999998</v>
      </c>
      <c r="C59" s="208">
        <f t="shared" si="9"/>
        <v>416.55899999999997</v>
      </c>
      <c r="D59" s="208">
        <f t="shared" si="9"/>
        <v>452.74464399999999</v>
      </c>
      <c r="E59" s="208">
        <f t="shared" si="9"/>
        <v>434.29864399999997</v>
      </c>
      <c r="F59" s="208">
        <f t="shared" si="9"/>
        <v>424.99400000000003</v>
      </c>
      <c r="G59" s="208">
        <f t="shared" si="9"/>
        <v>385.15499999999997</v>
      </c>
      <c r="H59" s="208">
        <f t="shared" si="9"/>
        <v>444.95699999999999</v>
      </c>
    </row>
    <row r="60" spans="1:9">
      <c r="A60" s="15" t="str">
        <f t="shared" si="8"/>
        <v>Economische Zaken en Klimaat</v>
      </c>
      <c r="B60" s="208">
        <f t="shared" si="9"/>
        <v>1961.7399849999999</v>
      </c>
      <c r="C60" s="208">
        <f t="shared" si="9"/>
        <v>2375.8194750000007</v>
      </c>
      <c r="D60" s="208">
        <f t="shared" si="9"/>
        <v>3101.0691299999999</v>
      </c>
      <c r="E60" s="208">
        <f t="shared" si="9"/>
        <v>2918.9234550000001</v>
      </c>
      <c r="F60" s="208">
        <f t="shared" si="9"/>
        <v>2711.0321300000001</v>
      </c>
      <c r="G60" s="208">
        <f t="shared" si="9"/>
        <v>2112.9415050000002</v>
      </c>
      <c r="H60" s="208">
        <f t="shared" si="9"/>
        <v>2002.6319800000008</v>
      </c>
    </row>
    <row r="61" spans="1:9">
      <c r="A61" s="15" t="s">
        <v>740</v>
      </c>
      <c r="B61" s="208">
        <f t="shared" si="9"/>
        <v>380.19026719999999</v>
      </c>
      <c r="C61" s="208">
        <f t="shared" si="9"/>
        <v>386.23199999999991</v>
      </c>
      <c r="D61" s="208">
        <f t="shared" si="9"/>
        <v>449.90600000000001</v>
      </c>
      <c r="E61" s="208">
        <f t="shared" si="9"/>
        <v>470.06600000000003</v>
      </c>
      <c r="F61" s="208">
        <f t="shared" si="9"/>
        <v>472.06599999999992</v>
      </c>
      <c r="G61" s="208">
        <f t="shared" si="9"/>
        <v>492.86400000000009</v>
      </c>
      <c r="H61" s="208">
        <f t="shared" si="9"/>
        <v>463.19499999999999</v>
      </c>
    </row>
    <row r="62" spans="1:9">
      <c r="A62" s="15" t="str">
        <f>A46</f>
        <v>Sociale Zaken en Werkgelegenheid</v>
      </c>
      <c r="B62" s="208">
        <f t="shared" si="9"/>
        <v>26.195999999999998</v>
      </c>
      <c r="C62" s="208">
        <f t="shared" si="9"/>
        <v>19.568999999999999</v>
      </c>
      <c r="D62" s="208">
        <f t="shared" si="9"/>
        <v>20.196999999999999</v>
      </c>
      <c r="E62" s="208">
        <f t="shared" si="9"/>
        <v>22.174000000000003</v>
      </c>
      <c r="F62" s="208">
        <f t="shared" si="9"/>
        <v>20.770000000000003</v>
      </c>
      <c r="G62" s="208">
        <f t="shared" si="9"/>
        <v>20.579000000000001</v>
      </c>
      <c r="H62" s="208">
        <f t="shared" si="9"/>
        <v>18.61</v>
      </c>
    </row>
    <row r="63" spans="1:9">
      <c r="A63" s="15" t="str">
        <f>A47</f>
        <v>Volksgezondheid, Welzijn en Sport</v>
      </c>
      <c r="B63" s="208">
        <f t="shared" si="9"/>
        <v>849.91401580000002</v>
      </c>
      <c r="C63" s="208">
        <f t="shared" si="9"/>
        <v>827.25960511000005</v>
      </c>
      <c r="D63" s="208">
        <f t="shared" si="9"/>
        <v>747.66599685000006</v>
      </c>
      <c r="E63" s="208">
        <f t="shared" si="9"/>
        <v>844.38772446000007</v>
      </c>
      <c r="F63" s="208">
        <f t="shared" si="9"/>
        <v>671.46823807999999</v>
      </c>
      <c r="G63" s="208">
        <f t="shared" si="9"/>
        <v>613.32161231999999</v>
      </c>
      <c r="H63" s="208">
        <f t="shared" si="9"/>
        <v>520.24846600000001</v>
      </c>
    </row>
    <row r="64" spans="1:9">
      <c r="A64" s="15" t="s">
        <v>741</v>
      </c>
      <c r="B64" s="208">
        <f>+B16+B48</f>
        <v>20.923999999999999</v>
      </c>
      <c r="C64" s="208">
        <f t="shared" si="9"/>
        <v>0</v>
      </c>
      <c r="D64" s="208">
        <f t="shared" si="9"/>
        <v>135.01</v>
      </c>
      <c r="E64" s="208">
        <f t="shared" si="9"/>
        <v>327.33</v>
      </c>
      <c r="F64" s="208">
        <f t="shared" si="9"/>
        <v>608.54600000000005</v>
      </c>
      <c r="G64" s="208">
        <f t="shared" si="9"/>
        <v>209.452</v>
      </c>
      <c r="H64" s="208">
        <f t="shared" si="9"/>
        <v>387.21599999999995</v>
      </c>
    </row>
    <row r="65" spans="1:8" s="217" customFormat="1">
      <c r="A65" s="217" t="s">
        <v>60</v>
      </c>
      <c r="B65" s="218">
        <f>SUM(B53:B64)</f>
        <v>10168.083960947743</v>
      </c>
      <c r="C65" s="218">
        <f t="shared" ref="C65:H65" si="10">SUM(C53:C64)</f>
        <v>10950.453897510683</v>
      </c>
      <c r="D65" s="218">
        <f t="shared" si="10"/>
        <v>11678.930762280868</v>
      </c>
      <c r="E65" s="218">
        <f t="shared" si="10"/>
        <v>11771.460687898863</v>
      </c>
      <c r="F65" s="218">
        <f t="shared" si="10"/>
        <v>11489.365010828753</v>
      </c>
      <c r="G65" s="218">
        <f t="shared" si="10"/>
        <v>10197.66332977272</v>
      </c>
      <c r="H65" s="218">
        <f t="shared" si="10"/>
        <v>10103.642020819083</v>
      </c>
    </row>
    <row r="66" spans="1:8">
      <c r="B66" s="208"/>
      <c r="C66" s="208"/>
      <c r="D66" s="208"/>
      <c r="E66" s="208"/>
      <c r="F66" s="208"/>
      <c r="G66" s="208"/>
      <c r="H66" s="208"/>
    </row>
    <row r="67" spans="1:8">
      <c r="B67" s="183"/>
      <c r="C67" s="183"/>
      <c r="D67" s="183"/>
      <c r="E67" s="183"/>
      <c r="F67" s="183"/>
      <c r="G67" s="183"/>
      <c r="H67" s="183"/>
    </row>
  </sheetData>
  <sortState xmlns:xlrd2="http://schemas.microsoft.com/office/spreadsheetml/2017/richdata2" ref="K4:R15">
    <sortCondition descending="1" ref="L4:L15"/>
  </sortState>
  <pageMargins left="0.70866141732283472" right="0.70866141732283472" top="0.74803149606299213" bottom="0.74803149606299213" header="0.31496062992125984" footer="0.31496062992125984"/>
  <pageSetup paperSize="9" scale="93" orientation="portrait" horizontalDpi="300" verticalDpi="300" r:id="rId1"/>
  <headerFooter>
    <oddFooter>&amp;L&amp;Z&amp;F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0"/>
  <sheetViews>
    <sheetView zoomScaleNormal="100" zoomScaleSheetLayoutView="100" workbookViewId="0"/>
  </sheetViews>
  <sheetFormatPr defaultColWidth="9.44140625" defaultRowHeight="14.4"/>
  <cols>
    <col min="1" max="1" width="46" style="36" customWidth="1"/>
    <col min="2" max="8" width="13.5546875" style="30" customWidth="1"/>
    <col min="9" max="9" width="12.5546875" style="30" customWidth="1"/>
    <col min="10" max="10" width="15.44140625" style="30" customWidth="1"/>
    <col min="11" max="16384" width="9.44140625" style="30"/>
  </cols>
  <sheetData>
    <row r="1" spans="1:18" ht="18">
      <c r="A1" s="62" t="s">
        <v>746</v>
      </c>
      <c r="B1" s="99"/>
      <c r="C1" s="99"/>
      <c r="D1" s="99"/>
      <c r="E1" s="99"/>
      <c r="F1" s="99"/>
      <c r="G1" s="99"/>
      <c r="H1" s="99"/>
      <c r="I1" s="97"/>
      <c r="J1" s="99"/>
      <c r="K1" s="99"/>
      <c r="L1" s="99"/>
      <c r="M1" s="99"/>
      <c r="N1" s="99"/>
      <c r="O1" s="99"/>
      <c r="P1" s="99"/>
      <c r="Q1" s="99"/>
      <c r="R1" s="99"/>
    </row>
    <row r="2" spans="1:18" ht="15" customHeight="1">
      <c r="A2" s="155"/>
      <c r="B2" s="271"/>
      <c r="C2" s="271"/>
      <c r="D2" s="271"/>
      <c r="E2" s="271"/>
      <c r="F2" s="271"/>
      <c r="G2" s="271"/>
      <c r="H2" s="271"/>
      <c r="I2" s="144"/>
      <c r="J2" s="99"/>
      <c r="K2" s="99"/>
      <c r="L2" s="99"/>
      <c r="M2" s="99"/>
      <c r="N2" s="99"/>
      <c r="O2" s="99"/>
      <c r="P2" s="99"/>
      <c r="Q2" s="99"/>
      <c r="R2" s="99"/>
    </row>
    <row r="4" spans="1:18" s="31" customFormat="1" ht="15.75" customHeight="1">
      <c r="A4" s="74" t="s">
        <v>747</v>
      </c>
      <c r="B4" s="145">
        <f>Innovatie!C3</f>
        <v>2024</v>
      </c>
      <c r="C4" s="145">
        <f>Innovatie!D3</f>
        <v>2025</v>
      </c>
      <c r="D4" s="145">
        <f>Innovatie!E3</f>
        <v>2026</v>
      </c>
      <c r="E4" s="145">
        <f>Innovatie!F3</f>
        <v>2027</v>
      </c>
      <c r="F4" s="145">
        <f>Innovatie!G3</f>
        <v>2028</v>
      </c>
      <c r="G4" s="145">
        <f>Innovatie!H3</f>
        <v>2029</v>
      </c>
      <c r="H4" s="145">
        <f>Innovatie!I3</f>
        <v>2030</v>
      </c>
      <c r="I4" s="146" t="s">
        <v>748</v>
      </c>
    </row>
    <row r="5" spans="1:18" ht="28.8">
      <c r="A5" s="129" t="s">
        <v>749</v>
      </c>
      <c r="B5" s="271">
        <v>1330</v>
      </c>
      <c r="C5" s="271">
        <v>1682</v>
      </c>
      <c r="D5" s="271">
        <v>1817</v>
      </c>
      <c r="E5" s="271">
        <v>1701</v>
      </c>
      <c r="F5" s="271">
        <v>1701</v>
      </c>
      <c r="G5" s="271">
        <v>1701</v>
      </c>
      <c r="H5" s="271">
        <v>1701</v>
      </c>
      <c r="I5" s="2">
        <v>100</v>
      </c>
      <c r="J5" s="31"/>
      <c r="K5" s="297"/>
      <c r="L5" s="272"/>
      <c r="M5" s="272"/>
      <c r="N5" s="272"/>
      <c r="O5" s="272"/>
      <c r="P5" s="272"/>
      <c r="Q5" s="272"/>
      <c r="R5" s="272"/>
    </row>
    <row r="6" spans="1:18">
      <c r="A6" s="129" t="s">
        <v>750</v>
      </c>
      <c r="B6" s="130">
        <v>4</v>
      </c>
      <c r="C6" s="130">
        <v>4</v>
      </c>
      <c r="D6" s="130">
        <v>4</v>
      </c>
      <c r="E6" s="130">
        <v>4</v>
      </c>
      <c r="F6" s="130">
        <v>4</v>
      </c>
      <c r="G6" s="130">
        <v>4</v>
      </c>
      <c r="H6" s="130">
        <v>4</v>
      </c>
      <c r="I6" s="2">
        <v>100</v>
      </c>
      <c r="J6" s="31"/>
      <c r="K6" s="31"/>
      <c r="L6" s="272"/>
      <c r="M6" s="272"/>
      <c r="N6" s="272"/>
      <c r="O6" s="272"/>
      <c r="P6" s="272"/>
      <c r="Q6" s="272"/>
      <c r="R6" s="272"/>
    </row>
    <row r="7" spans="1:18" s="111" customFormat="1">
      <c r="A7" s="110" t="s">
        <v>751</v>
      </c>
      <c r="B7" s="216">
        <f>B5+B6</f>
        <v>1334</v>
      </c>
      <c r="C7" s="216">
        <f t="shared" ref="C7:H7" si="0">C5+C6</f>
        <v>1686</v>
      </c>
      <c r="D7" s="216">
        <f t="shared" si="0"/>
        <v>1821</v>
      </c>
      <c r="E7" s="216">
        <f t="shared" si="0"/>
        <v>1705</v>
      </c>
      <c r="F7" s="216">
        <f t="shared" si="0"/>
        <v>1705</v>
      </c>
      <c r="G7" s="216">
        <f t="shared" si="0"/>
        <v>1705</v>
      </c>
      <c r="H7" s="216">
        <f t="shared" si="0"/>
        <v>1705</v>
      </c>
      <c r="I7" s="214"/>
      <c r="J7" s="215"/>
    </row>
    <row r="8" spans="1:18">
      <c r="A8" s="129"/>
      <c r="B8" s="130"/>
      <c r="C8" s="130"/>
      <c r="D8" s="130"/>
      <c r="E8" s="130"/>
      <c r="F8" s="130"/>
      <c r="G8" s="130"/>
      <c r="H8" s="130"/>
      <c r="I8" s="2"/>
      <c r="J8" s="31"/>
      <c r="K8" s="31"/>
      <c r="L8" s="272"/>
      <c r="M8" s="272"/>
      <c r="N8" s="272"/>
      <c r="O8" s="272"/>
      <c r="P8" s="272"/>
      <c r="Q8" s="272"/>
      <c r="R8" s="272"/>
    </row>
    <row r="9" spans="1:18">
      <c r="A9" s="31" t="s">
        <v>752</v>
      </c>
      <c r="B9"/>
      <c r="C9" s="130"/>
      <c r="D9" s="130"/>
      <c r="E9" s="130"/>
      <c r="F9" s="130"/>
      <c r="G9" s="130"/>
      <c r="H9" s="130"/>
      <c r="I9" s="2"/>
      <c r="J9" s="31"/>
      <c r="K9" s="31"/>
      <c r="L9" s="272"/>
      <c r="M9" s="272"/>
      <c r="N9" s="272"/>
      <c r="O9" s="272"/>
      <c r="P9" s="272"/>
      <c r="Q9" s="272"/>
      <c r="R9" s="272"/>
    </row>
    <row r="10" spans="1:18" ht="14.25" customHeight="1">
      <c r="A10" s="74" t="s">
        <v>747</v>
      </c>
      <c r="B10" s="145">
        <f t="shared" ref="B10:H10" si="1">B4</f>
        <v>2024</v>
      </c>
      <c r="C10" s="145">
        <f t="shared" si="1"/>
        <v>2025</v>
      </c>
      <c r="D10" s="145">
        <f t="shared" si="1"/>
        <v>2026</v>
      </c>
      <c r="E10" s="145">
        <f t="shared" si="1"/>
        <v>2027</v>
      </c>
      <c r="F10" s="145">
        <f t="shared" si="1"/>
        <v>2028</v>
      </c>
      <c r="G10" s="145">
        <f t="shared" si="1"/>
        <v>2029</v>
      </c>
      <c r="H10" s="145">
        <f t="shared" si="1"/>
        <v>2030</v>
      </c>
      <c r="I10" s="146" t="s">
        <v>753</v>
      </c>
      <c r="J10" s="295"/>
      <c r="K10" s="31"/>
      <c r="L10" s="273"/>
      <c r="M10" s="273"/>
      <c r="N10" s="273"/>
      <c r="O10" s="273"/>
      <c r="P10" s="273"/>
      <c r="Q10" s="273"/>
      <c r="R10" s="273"/>
    </row>
    <row r="11" spans="1:18" ht="15" customHeight="1">
      <c r="A11" s="258" t="s">
        <v>754</v>
      </c>
      <c r="B11" s="289">
        <v>248</v>
      </c>
      <c r="C11" s="130">
        <v>189</v>
      </c>
      <c r="D11" s="130">
        <v>135</v>
      </c>
      <c r="E11" s="290">
        <v>135</v>
      </c>
      <c r="F11" s="290">
        <v>135</v>
      </c>
      <c r="G11" s="290">
        <v>135</v>
      </c>
      <c r="H11" s="290">
        <v>135</v>
      </c>
      <c r="I11" s="259">
        <v>100</v>
      </c>
      <c r="J11" s="31"/>
      <c r="K11" s="31"/>
      <c r="L11" s="99"/>
      <c r="M11" s="99"/>
      <c r="N11" s="99"/>
      <c r="O11" s="99"/>
      <c r="P11" s="99"/>
      <c r="Q11" s="99"/>
      <c r="R11" s="99"/>
    </row>
    <row r="12" spans="1:18" ht="15" customHeight="1">
      <c r="A12" s="258" t="s">
        <v>755</v>
      </c>
      <c r="B12" s="130">
        <v>21</v>
      </c>
      <c r="C12" s="130">
        <v>20</v>
      </c>
      <c r="D12" s="130">
        <v>20</v>
      </c>
      <c r="E12" s="290">
        <v>20</v>
      </c>
      <c r="F12" s="290">
        <v>20</v>
      </c>
      <c r="G12" s="290">
        <v>20</v>
      </c>
      <c r="H12" s="290">
        <v>20</v>
      </c>
      <c r="I12" s="259">
        <v>100</v>
      </c>
      <c r="J12" s="31"/>
      <c r="K12" s="31"/>
      <c r="L12" s="99"/>
      <c r="M12" s="99"/>
      <c r="N12" s="99"/>
      <c r="O12" s="99"/>
      <c r="P12" s="99"/>
      <c r="Q12" s="99"/>
      <c r="R12" s="99"/>
    </row>
    <row r="13" spans="1:18" s="111" customFormat="1" ht="15" customHeight="1">
      <c r="A13" s="110" t="s">
        <v>756</v>
      </c>
      <c r="B13" s="142">
        <f>SUM(B11:B12)</f>
        <v>269</v>
      </c>
      <c r="C13" s="142">
        <f>SUM(C11:C12)</f>
        <v>209</v>
      </c>
      <c r="D13" s="142">
        <f t="shared" ref="D13:H13" si="2">SUM(D11:D12)</f>
        <v>155</v>
      </c>
      <c r="E13" s="142">
        <f t="shared" si="2"/>
        <v>155</v>
      </c>
      <c r="F13" s="142">
        <f t="shared" si="2"/>
        <v>155</v>
      </c>
      <c r="G13" s="142">
        <f t="shared" si="2"/>
        <v>155</v>
      </c>
      <c r="H13" s="142">
        <f t="shared" si="2"/>
        <v>155</v>
      </c>
      <c r="I13" s="143">
        <v>100</v>
      </c>
    </row>
    <row r="14" spans="1:18" ht="15" customHeight="1">
      <c r="A14" s="155"/>
      <c r="B14" s="103"/>
      <c r="C14" s="103"/>
      <c r="D14" s="103"/>
      <c r="E14" s="103"/>
      <c r="F14" s="103"/>
      <c r="G14" s="103"/>
      <c r="H14" s="103"/>
      <c r="I14" s="95"/>
      <c r="J14" s="31"/>
      <c r="K14" s="31"/>
      <c r="L14" s="99"/>
      <c r="M14" s="99"/>
      <c r="N14" s="99"/>
      <c r="O14" s="99"/>
      <c r="P14" s="99"/>
      <c r="Q14" s="99"/>
      <c r="R14" s="99"/>
    </row>
    <row r="15" spans="1:18" s="31" customFormat="1">
      <c r="A15" s="37" t="s">
        <v>757</v>
      </c>
      <c r="B15" s="104">
        <f>SUM(B7,B13)</f>
        <v>1603</v>
      </c>
      <c r="C15" s="104">
        <f t="shared" ref="C15:H15" si="3">SUM(C7,C13)</f>
        <v>1895</v>
      </c>
      <c r="D15" s="104">
        <f t="shared" si="3"/>
        <v>1976</v>
      </c>
      <c r="E15" s="104">
        <f t="shared" si="3"/>
        <v>1860</v>
      </c>
      <c r="F15" s="104">
        <f t="shared" si="3"/>
        <v>1860</v>
      </c>
      <c r="G15" s="104">
        <f t="shared" si="3"/>
        <v>1860</v>
      </c>
      <c r="H15" s="104">
        <f t="shared" si="3"/>
        <v>1860</v>
      </c>
    </row>
    <row r="16" spans="1:18" s="111" customFormat="1">
      <c r="A16" s="110"/>
      <c r="B16"/>
      <c r="C16" s="213"/>
      <c r="D16" s="213"/>
      <c r="E16" s="213"/>
      <c r="F16" s="213"/>
      <c r="G16" s="213"/>
      <c r="H16" s="213"/>
      <c r="I16" s="214"/>
      <c r="J16" s="215"/>
    </row>
    <row r="17" spans="1:14" s="111" customFormat="1">
      <c r="A17"/>
      <c r="B17"/>
      <c r="C17" s="130"/>
      <c r="D17" s="130"/>
      <c r="E17" s="213"/>
      <c r="F17" s="213"/>
      <c r="G17" s="213"/>
      <c r="H17" s="224"/>
      <c r="I17" s="214"/>
      <c r="J17" s="215"/>
    </row>
    <row r="18" spans="1:14" s="111" customFormat="1">
      <c r="A18" s="110"/>
      <c r="B18" s="213"/>
      <c r="C18" s="213"/>
      <c r="D18" s="213"/>
      <c r="E18" s="213"/>
      <c r="F18" s="213"/>
      <c r="G18" s="213"/>
      <c r="H18" s="213"/>
      <c r="I18" s="214"/>
      <c r="J18" s="215"/>
    </row>
    <row r="19" spans="1:14" s="31" customFormat="1">
      <c r="A19" s="37" t="s">
        <v>758</v>
      </c>
      <c r="B19" s="104"/>
      <c r="C19" s="104"/>
      <c r="D19" s="104"/>
      <c r="E19" s="104"/>
      <c r="F19" s="104"/>
      <c r="G19" s="104"/>
      <c r="H19" s="104"/>
    </row>
    <row r="20" spans="1:14" s="31" customFormat="1" ht="103.2" customHeight="1">
      <c r="A20" s="99" t="s">
        <v>759</v>
      </c>
      <c r="B20" s="60"/>
      <c r="C20" s="364"/>
      <c r="D20" s="156" t="s">
        <v>1093</v>
      </c>
      <c r="E20" s="364"/>
      <c r="F20" s="365"/>
      <c r="G20" s="364" t="s">
        <v>1095</v>
      </c>
      <c r="H20" s="221"/>
      <c r="I20" s="222"/>
      <c r="J20" s="222"/>
      <c r="K20" s="222"/>
      <c r="L20" s="222"/>
      <c r="M20" s="222"/>
      <c r="N20" s="222"/>
    </row>
    <row r="21" spans="1:14">
      <c r="A21" s="38" t="s">
        <v>760</v>
      </c>
      <c r="B21" s="99"/>
      <c r="C21" s="366"/>
      <c r="D21" s="366" t="s">
        <v>1094</v>
      </c>
      <c r="E21" s="366"/>
      <c r="F21" s="366"/>
      <c r="G21" s="366"/>
      <c r="H21" s="223"/>
      <c r="I21" s="223"/>
      <c r="J21" s="223"/>
      <c r="K21" s="223"/>
      <c r="L21" s="223"/>
      <c r="M21" s="223"/>
      <c r="N21" s="223"/>
    </row>
    <row r="22" spans="1:14">
      <c r="A22" s="38"/>
      <c r="B22" s="99"/>
      <c r="C22" s="366"/>
      <c r="D22" s="366"/>
      <c r="E22" s="366"/>
      <c r="F22" s="366"/>
      <c r="G22" s="366"/>
      <c r="H22" s="223"/>
      <c r="I22" s="223"/>
      <c r="J22" s="223"/>
      <c r="K22" s="223"/>
      <c r="L22" s="223"/>
      <c r="M22" s="223"/>
      <c r="N22" s="223"/>
    </row>
    <row r="23" spans="1:14">
      <c r="A23" s="57" t="s">
        <v>761</v>
      </c>
      <c r="B23" s="99"/>
      <c r="C23" s="366"/>
      <c r="D23" s="366"/>
      <c r="E23" s="366"/>
      <c r="F23" s="366"/>
      <c r="G23" s="366"/>
      <c r="H23" s="141"/>
      <c r="I23" s="141"/>
      <c r="J23" s="141"/>
      <c r="K23" s="141"/>
      <c r="L23" s="141"/>
      <c r="M23" s="141"/>
      <c r="N23" s="141"/>
    </row>
    <row r="24" spans="1:14">
      <c r="A24" s="38" t="s">
        <v>762</v>
      </c>
      <c r="B24" s="99"/>
      <c r="C24" s="366"/>
      <c r="D24" s="366"/>
      <c r="E24" s="366"/>
      <c r="F24" s="366"/>
      <c r="G24" s="366"/>
      <c r="H24" s="99"/>
      <c r="I24" s="99"/>
      <c r="J24" s="99"/>
      <c r="K24" s="99"/>
      <c r="L24" s="99"/>
      <c r="M24" s="99"/>
      <c r="N24" s="99"/>
    </row>
    <row r="25" spans="1:14">
      <c r="A25" s="38" t="s">
        <v>763</v>
      </c>
      <c r="B25" s="99"/>
      <c r="C25" s="366"/>
      <c r="D25" s="366"/>
      <c r="E25" s="366"/>
      <c r="F25" s="366"/>
      <c r="G25" s="366"/>
      <c r="H25" s="99"/>
      <c r="I25" s="99"/>
      <c r="J25" s="99"/>
      <c r="K25" s="99"/>
      <c r="L25" s="99"/>
      <c r="M25" s="99"/>
      <c r="N25" s="99"/>
    </row>
    <row r="26" spans="1:14" s="38" customFormat="1">
      <c r="A26" s="155" t="s">
        <v>764</v>
      </c>
      <c r="C26" s="345"/>
      <c r="D26" s="345"/>
      <c r="E26" s="345"/>
      <c r="F26" s="345"/>
      <c r="G26" s="345"/>
    </row>
    <row r="27" spans="1:14">
      <c r="A27" s="155" t="s">
        <v>765</v>
      </c>
      <c r="B27" s="99"/>
      <c r="C27" s="99"/>
      <c r="D27" s="99"/>
      <c r="E27" s="99"/>
      <c r="F27" s="99"/>
      <c r="G27" s="99"/>
      <c r="H27" s="99"/>
      <c r="I27" s="99"/>
      <c r="J27" s="99"/>
      <c r="K27" s="99"/>
      <c r="L27" s="99"/>
      <c r="M27" s="99"/>
      <c r="N27" s="99"/>
    </row>
    <row r="28" spans="1:14">
      <c r="A28" s="155" t="s">
        <v>766</v>
      </c>
      <c r="B28" s="99"/>
      <c r="C28" s="99"/>
      <c r="D28" s="99"/>
      <c r="E28" s="99"/>
      <c r="F28" s="99"/>
      <c r="G28" s="155"/>
      <c r="H28" s="99"/>
      <c r="I28" s="99"/>
      <c r="J28" s="99"/>
      <c r="K28" s="99"/>
      <c r="L28" s="99"/>
      <c r="M28" s="99"/>
      <c r="N28" s="99"/>
    </row>
    <row r="29" spans="1:14">
      <c r="B29" s="99"/>
      <c r="C29" s="99"/>
      <c r="D29" s="99"/>
      <c r="E29" s="99"/>
      <c r="F29" s="99"/>
      <c r="G29" s="155"/>
      <c r="H29" s="99"/>
      <c r="I29" s="99"/>
      <c r="J29" s="99"/>
      <c r="K29" s="99"/>
      <c r="L29" s="99"/>
      <c r="M29" s="99"/>
      <c r="N29" s="99"/>
    </row>
    <row r="30" spans="1:14">
      <c r="A30" s="155"/>
      <c r="B30" s="99"/>
      <c r="C30" s="99"/>
      <c r="D30" s="99"/>
      <c r="E30" s="99"/>
      <c r="F30" s="99"/>
      <c r="G30" s="155"/>
      <c r="H30" s="99"/>
      <c r="I30" s="99"/>
      <c r="J30" s="99"/>
      <c r="K30" s="99"/>
      <c r="L30" s="99"/>
      <c r="M30" s="99"/>
      <c r="N30" s="99"/>
    </row>
    <row r="31" spans="1:14">
      <c r="A31" s="122" t="s">
        <v>767</v>
      </c>
      <c r="B31" s="99"/>
      <c r="C31" s="99"/>
      <c r="D31" s="99"/>
      <c r="E31" s="99"/>
      <c r="F31" s="99"/>
      <c r="G31" s="155"/>
      <c r="H31" s="99"/>
      <c r="I31" s="99"/>
      <c r="J31" s="99"/>
      <c r="K31" s="99"/>
      <c r="L31" s="99"/>
      <c r="M31" s="99"/>
      <c r="N31" s="99"/>
    </row>
    <row r="32" spans="1:14">
      <c r="A32" s="155" t="s">
        <v>768</v>
      </c>
      <c r="B32" s="99" t="s">
        <v>769</v>
      </c>
      <c r="C32" s="99"/>
      <c r="D32" s="99"/>
      <c r="E32" s="99"/>
      <c r="F32" s="99"/>
      <c r="G32" s="99"/>
      <c r="H32" s="99"/>
      <c r="I32" s="99"/>
      <c r="J32" s="99"/>
      <c r="K32" s="99"/>
      <c r="L32" s="99"/>
      <c r="M32" s="99"/>
      <c r="N32" s="99"/>
    </row>
    <row r="33" spans="1:7">
      <c r="A33" s="155" t="s">
        <v>770</v>
      </c>
      <c r="B33" s="99" t="s">
        <v>771</v>
      </c>
      <c r="C33" s="99"/>
      <c r="D33" s="99"/>
      <c r="E33" s="99"/>
      <c r="F33" s="99"/>
      <c r="G33" s="99"/>
    </row>
    <row r="34" spans="1:7">
      <c r="A34" s="155" t="s">
        <v>754</v>
      </c>
      <c r="B34" s="99" t="s">
        <v>772</v>
      </c>
      <c r="C34" s="99"/>
      <c r="D34" s="99"/>
      <c r="E34" s="99"/>
      <c r="F34" s="99"/>
      <c r="G34" s="99"/>
    </row>
    <row r="35" spans="1:7">
      <c r="A35" s="155" t="s">
        <v>755</v>
      </c>
      <c r="B35" s="99" t="s">
        <v>773</v>
      </c>
      <c r="C35" s="99"/>
      <c r="D35" s="99"/>
      <c r="E35" s="99"/>
      <c r="F35" s="99"/>
      <c r="G35" s="99"/>
    </row>
    <row r="37" spans="1:7">
      <c r="A37" s="99" t="s">
        <v>774</v>
      </c>
      <c r="B37" s="99"/>
      <c r="C37" s="99"/>
      <c r="D37" s="99"/>
      <c r="E37" s="99"/>
      <c r="F37" s="99"/>
      <c r="G37" s="99"/>
    </row>
    <row r="38" spans="1:7">
      <c r="A38" s="99" t="s">
        <v>775</v>
      </c>
      <c r="B38" s="99"/>
      <c r="C38" s="99"/>
      <c r="D38" s="99"/>
      <c r="E38" s="99"/>
      <c r="F38" s="99"/>
      <c r="G38" s="99"/>
    </row>
    <row r="39" spans="1:7">
      <c r="A39" s="99" t="s">
        <v>776</v>
      </c>
      <c r="B39" s="99"/>
      <c r="C39" s="99"/>
      <c r="D39" s="99"/>
      <c r="E39" s="99"/>
      <c r="F39" s="99"/>
      <c r="G39" s="99"/>
    </row>
    <row r="40" spans="1:7">
      <c r="A40" s="99" t="s">
        <v>777</v>
      </c>
      <c r="B40" s="99"/>
      <c r="C40" s="99"/>
      <c r="D40" s="99"/>
      <c r="E40" s="99"/>
      <c r="F40" s="99"/>
      <c r="G40" s="99"/>
    </row>
    <row r="41" spans="1:7">
      <c r="A41" s="99" t="s">
        <v>778</v>
      </c>
      <c r="B41" s="99"/>
      <c r="C41" s="99"/>
      <c r="D41" s="99"/>
      <c r="E41" s="99"/>
      <c r="F41" s="99"/>
      <c r="G41" s="99"/>
    </row>
    <row r="42" spans="1:7">
      <c r="A42" s="99" t="s">
        <v>779</v>
      </c>
      <c r="B42" s="99"/>
      <c r="C42" s="99"/>
      <c r="D42" s="99"/>
      <c r="E42" s="99"/>
      <c r="F42" s="99"/>
      <c r="G42" s="99"/>
    </row>
    <row r="43" spans="1:7" s="80" customFormat="1">
      <c r="A43" s="2" t="s">
        <v>780</v>
      </c>
    </row>
    <row r="44" spans="1:7" s="80" customFormat="1">
      <c r="A44" s="2" t="s">
        <v>781</v>
      </c>
    </row>
    <row r="45" spans="1:7" s="80" customFormat="1">
      <c r="A45" s="2" t="s">
        <v>782</v>
      </c>
    </row>
    <row r="46" spans="1:7" s="80" customFormat="1">
      <c r="A46" s="2" t="s">
        <v>783</v>
      </c>
    </row>
    <row r="47" spans="1:7" s="80" customFormat="1">
      <c r="A47" s="2" t="s">
        <v>784</v>
      </c>
    </row>
    <row r="48" spans="1:7" s="80" customFormat="1"/>
    <row r="49" spans="1:21">
      <c r="A49" s="155" t="s">
        <v>785</v>
      </c>
      <c r="B49" s="99"/>
      <c r="C49" s="99"/>
      <c r="D49" s="99"/>
      <c r="E49" s="99"/>
      <c r="F49" s="99"/>
      <c r="G49" s="99"/>
      <c r="H49" s="99"/>
      <c r="I49" s="99"/>
      <c r="J49" s="99"/>
      <c r="K49" s="99"/>
      <c r="L49" s="99"/>
      <c r="M49" s="99"/>
      <c r="N49" s="99"/>
      <c r="O49" s="99"/>
      <c r="P49" s="99"/>
      <c r="Q49" s="99"/>
      <c r="R49" s="99"/>
      <c r="S49" s="99"/>
      <c r="T49" s="99"/>
      <c r="U49" s="99"/>
    </row>
    <row r="50" spans="1:21">
      <c r="A50" s="155" t="s">
        <v>786</v>
      </c>
      <c r="B50" s="99"/>
      <c r="C50" s="99"/>
      <c r="D50" s="99"/>
      <c r="E50" s="99"/>
      <c r="F50" s="99"/>
      <c r="G50" s="99"/>
      <c r="H50" s="99"/>
      <c r="I50" s="99"/>
      <c r="J50" s="99"/>
      <c r="K50" s="99"/>
      <c r="L50" s="99"/>
      <c r="M50" s="99"/>
      <c r="N50" s="99"/>
      <c r="O50" s="99"/>
      <c r="P50" s="99"/>
      <c r="Q50" s="99"/>
      <c r="R50" s="99"/>
      <c r="S50" s="99"/>
      <c r="T50" s="99"/>
      <c r="U50" s="99"/>
    </row>
    <row r="51" spans="1:21">
      <c r="A51" s="155" t="s">
        <v>787</v>
      </c>
      <c r="B51" s="99"/>
      <c r="C51" s="99"/>
      <c r="D51" s="99"/>
      <c r="E51" s="99"/>
      <c r="F51" s="99"/>
      <c r="G51" s="99"/>
      <c r="H51" s="99"/>
      <c r="I51" s="99"/>
      <c r="J51" s="99"/>
      <c r="K51" s="99"/>
      <c r="L51" s="99"/>
      <c r="M51" s="99"/>
      <c r="N51" s="99"/>
      <c r="O51" s="99"/>
      <c r="P51" s="99"/>
      <c r="Q51" s="99"/>
      <c r="R51" s="99"/>
      <c r="S51" s="99"/>
      <c r="T51" s="99"/>
      <c r="U51" s="99"/>
    </row>
    <row r="52" spans="1:21">
      <c r="A52" s="155" t="s">
        <v>788</v>
      </c>
      <c r="B52" s="99"/>
      <c r="C52" s="99"/>
      <c r="D52" s="99"/>
      <c r="E52" s="99"/>
      <c r="F52" s="99"/>
      <c r="G52" s="99"/>
      <c r="H52" s="99"/>
      <c r="I52" s="99"/>
      <c r="J52" s="99"/>
      <c r="K52" s="99"/>
      <c r="L52" s="99"/>
      <c r="M52" s="99"/>
      <c r="N52" s="99"/>
      <c r="O52" s="99"/>
      <c r="P52" s="99"/>
      <c r="Q52" s="99"/>
      <c r="R52" s="99"/>
      <c r="S52" s="99"/>
      <c r="T52" s="99"/>
      <c r="U52" s="99"/>
    </row>
    <row r="53" spans="1:21">
      <c r="A53" s="155" t="s">
        <v>789</v>
      </c>
      <c r="B53" s="99"/>
      <c r="C53" s="99"/>
      <c r="D53" s="99"/>
      <c r="E53" s="99"/>
      <c r="F53" s="99"/>
      <c r="G53" s="99"/>
      <c r="H53" s="99"/>
      <c r="I53" s="99"/>
      <c r="J53" s="99"/>
      <c r="K53" s="99"/>
      <c r="L53" s="99"/>
      <c r="M53" s="99"/>
      <c r="N53" s="99"/>
      <c r="O53" s="99"/>
      <c r="P53" s="99"/>
      <c r="Q53" s="99"/>
      <c r="R53" s="99"/>
      <c r="S53" s="99"/>
      <c r="T53" s="99"/>
      <c r="U53" s="99"/>
    </row>
    <row r="54" spans="1:21">
      <c r="A54" s="155" t="s">
        <v>790</v>
      </c>
      <c r="B54" s="99"/>
      <c r="C54" s="99"/>
      <c r="D54" s="99"/>
      <c r="E54" s="99"/>
      <c r="F54" s="99"/>
      <c r="G54" s="99"/>
      <c r="H54" s="99"/>
      <c r="I54" s="99"/>
      <c r="J54" s="99"/>
      <c r="K54" s="99"/>
      <c r="L54" s="99"/>
      <c r="M54" s="99"/>
      <c r="N54" s="99"/>
      <c r="O54" s="99"/>
      <c r="P54" s="99"/>
      <c r="Q54" s="99"/>
      <c r="R54" s="99"/>
      <c r="S54" s="99"/>
      <c r="T54" s="99"/>
      <c r="U54" s="99"/>
    </row>
    <row r="55" spans="1:21">
      <c r="A55" s="155" t="s">
        <v>791</v>
      </c>
      <c r="B55" s="99"/>
      <c r="C55" s="99"/>
      <c r="D55" s="99"/>
      <c r="E55" s="99"/>
      <c r="F55" s="99"/>
      <c r="G55" s="99"/>
      <c r="H55" s="99"/>
      <c r="I55" s="99"/>
      <c r="J55" s="99"/>
      <c r="K55" s="99"/>
      <c r="L55" s="99"/>
      <c r="M55" s="99"/>
      <c r="N55" s="99"/>
      <c r="O55" s="99"/>
      <c r="P55" s="99"/>
      <c r="Q55" s="99"/>
      <c r="R55" s="99"/>
      <c r="S55" s="99"/>
      <c r="T55" s="99"/>
      <c r="U55" s="99"/>
    </row>
    <row r="56" spans="1:21">
      <c r="A56" s="155" t="s">
        <v>792</v>
      </c>
      <c r="B56" s="99"/>
      <c r="C56" s="99"/>
      <c r="D56" s="99"/>
      <c r="E56" s="99"/>
      <c r="F56" s="99"/>
      <c r="G56" s="99"/>
      <c r="H56" s="99"/>
      <c r="I56" s="99"/>
      <c r="J56" s="99"/>
      <c r="K56" s="99"/>
      <c r="L56" s="99"/>
      <c r="M56" s="99"/>
      <c r="N56" s="99"/>
      <c r="O56" s="99"/>
      <c r="P56" s="99"/>
      <c r="Q56" s="99"/>
      <c r="R56" s="99"/>
      <c r="S56" s="99"/>
      <c r="T56" s="99"/>
      <c r="U56" s="99"/>
    </row>
    <row r="57" spans="1:21">
      <c r="A57" s="155" t="s">
        <v>793</v>
      </c>
      <c r="B57" s="99"/>
      <c r="C57" s="99"/>
      <c r="D57" s="99"/>
      <c r="E57" s="99"/>
      <c r="F57" s="99"/>
      <c r="G57" s="99"/>
      <c r="H57" s="99"/>
      <c r="I57" s="99"/>
      <c r="J57" s="99"/>
      <c r="K57" s="99"/>
      <c r="L57" s="99"/>
      <c r="M57" s="99"/>
      <c r="N57" s="99"/>
      <c r="O57" s="99"/>
      <c r="P57" s="99"/>
      <c r="Q57" s="99"/>
      <c r="R57" s="99"/>
      <c r="S57" s="99"/>
      <c r="T57" s="99"/>
      <c r="U57" s="99"/>
    </row>
    <row r="58" spans="1:21">
      <c r="A58" s="155" t="s">
        <v>794</v>
      </c>
      <c r="B58" s="99"/>
      <c r="C58" s="99"/>
      <c r="D58" s="99"/>
      <c r="E58" s="99"/>
      <c r="F58" s="99"/>
      <c r="G58" s="99"/>
      <c r="H58" s="99"/>
      <c r="I58" s="99"/>
      <c r="J58" s="99"/>
      <c r="K58" s="99"/>
      <c r="L58" s="99"/>
      <c r="M58" s="99"/>
      <c r="N58" s="99"/>
      <c r="O58" s="99"/>
      <c r="P58" s="99"/>
      <c r="Q58" s="99"/>
      <c r="R58" s="99"/>
      <c r="S58" s="99"/>
      <c r="T58" s="99"/>
      <c r="U58" s="99"/>
    </row>
    <row r="59" spans="1:21">
      <c r="A59" s="155"/>
      <c r="B59" s="99"/>
      <c r="C59" s="99"/>
      <c r="D59" s="99"/>
      <c r="E59" s="99"/>
      <c r="F59" s="99"/>
      <c r="G59" s="99"/>
      <c r="H59" s="99"/>
      <c r="I59" s="99"/>
      <c r="J59" s="99"/>
      <c r="K59" s="99"/>
      <c r="L59" s="99"/>
      <c r="M59" s="99"/>
      <c r="N59" s="99"/>
      <c r="O59" s="99"/>
      <c r="P59" s="99"/>
      <c r="Q59" s="99"/>
      <c r="R59" s="99"/>
      <c r="S59" s="99"/>
      <c r="T59" s="99"/>
      <c r="U59" s="99"/>
    </row>
    <row r="60" spans="1:21">
      <c r="A60" s="156" t="s">
        <v>795</v>
      </c>
      <c r="B60" s="80"/>
      <c r="C60" s="80"/>
      <c r="D60" s="80"/>
      <c r="E60" s="99"/>
      <c r="F60" s="99"/>
      <c r="G60" s="99"/>
      <c r="H60" s="99"/>
      <c r="I60" s="99"/>
      <c r="J60" s="99"/>
      <c r="K60" s="99"/>
      <c r="L60" s="99"/>
      <c r="M60" s="99"/>
      <c r="N60" s="99"/>
      <c r="O60" s="99"/>
      <c r="P60" s="99"/>
      <c r="Q60" s="99"/>
      <c r="R60" s="99"/>
      <c r="S60" s="99"/>
      <c r="T60" s="99"/>
      <c r="U60" s="99"/>
    </row>
    <row r="61" spans="1:21">
      <c r="A61" s="157" t="s">
        <v>796</v>
      </c>
      <c r="B61" s="99"/>
      <c r="C61" s="99"/>
      <c r="D61" s="99"/>
      <c r="E61" s="99"/>
      <c r="F61" s="99"/>
      <c r="G61" s="99"/>
      <c r="H61" s="99"/>
      <c r="I61" s="99"/>
      <c r="J61" s="99"/>
      <c r="K61" s="99"/>
      <c r="L61" s="99"/>
      <c r="M61" s="99"/>
      <c r="N61" s="99"/>
      <c r="O61" s="99"/>
      <c r="P61" s="99"/>
      <c r="Q61" s="99"/>
      <c r="R61" s="99"/>
      <c r="S61" s="99"/>
      <c r="T61" s="99"/>
      <c r="U61" s="99"/>
    </row>
    <row r="62" spans="1:21" s="99" customFormat="1">
      <c r="A62" t="s">
        <v>797</v>
      </c>
      <c r="B62"/>
      <c r="C62"/>
      <c r="D62"/>
      <c r="E62"/>
      <c r="F62"/>
      <c r="G62"/>
      <c r="H62"/>
      <c r="I62"/>
      <c r="J62"/>
      <c r="K62"/>
      <c r="L62"/>
      <c r="M62"/>
      <c r="P62"/>
      <c r="Q62"/>
      <c r="S62" s="99" t="s">
        <v>798</v>
      </c>
      <c r="T62" s="99" t="s">
        <v>799</v>
      </c>
    </row>
    <row r="63" spans="1:21" s="99" customFormat="1">
      <c r="A63" s="136" t="s">
        <v>800</v>
      </c>
      <c r="B63" s="136">
        <v>2007</v>
      </c>
      <c r="C63" s="136">
        <v>2008</v>
      </c>
      <c r="D63" s="136">
        <v>2009</v>
      </c>
      <c r="E63" s="136">
        <v>2010</v>
      </c>
      <c r="F63" s="136">
        <v>2011</v>
      </c>
      <c r="G63" s="136">
        <v>2012</v>
      </c>
      <c r="H63" s="136">
        <v>2013</v>
      </c>
      <c r="I63" s="136">
        <v>2014</v>
      </c>
      <c r="J63" s="136">
        <v>2015</v>
      </c>
      <c r="K63" s="136">
        <v>2016</v>
      </c>
      <c r="L63" s="136">
        <v>2017</v>
      </c>
      <c r="M63" s="136">
        <v>2018</v>
      </c>
      <c r="N63" s="136">
        <v>2019</v>
      </c>
      <c r="O63" s="136">
        <v>2020</v>
      </c>
      <c r="P63" s="136">
        <v>2021</v>
      </c>
      <c r="Q63" s="136">
        <v>2022</v>
      </c>
      <c r="R63" s="136">
        <v>2023</v>
      </c>
      <c r="S63" s="136">
        <v>2024</v>
      </c>
      <c r="T63" s="136">
        <v>2025</v>
      </c>
      <c r="U63" s="299">
        <v>2026</v>
      </c>
    </row>
    <row r="64" spans="1:21" s="99" customFormat="1">
      <c r="A64" s="137" t="s">
        <v>801</v>
      </c>
      <c r="B64" s="138" t="s">
        <v>802</v>
      </c>
      <c r="C64" s="138">
        <v>52</v>
      </c>
      <c r="D64" s="138">
        <v>91</v>
      </c>
      <c r="E64" s="138">
        <v>361</v>
      </c>
      <c r="F64" s="138">
        <v>605</v>
      </c>
      <c r="G64" s="138">
        <v>697</v>
      </c>
      <c r="H64" s="138">
        <v>883</v>
      </c>
      <c r="I64" s="138">
        <v>1081</v>
      </c>
      <c r="J64" s="138">
        <v>1264</v>
      </c>
      <c r="K64" s="138">
        <v>1318</v>
      </c>
      <c r="L64" s="138">
        <v>1581</v>
      </c>
      <c r="M64" s="138">
        <v>1805</v>
      </c>
      <c r="N64" s="138">
        <v>1842</v>
      </c>
      <c r="O64" s="138">
        <v>1583</v>
      </c>
      <c r="P64" s="138">
        <v>1958</v>
      </c>
      <c r="Q64" s="138">
        <v>2518</v>
      </c>
      <c r="R64" s="302">
        <v>2718</v>
      </c>
      <c r="S64" s="302">
        <v>2694</v>
      </c>
      <c r="T64" s="302">
        <v>2898</v>
      </c>
      <c r="U64" s="302">
        <v>2954</v>
      </c>
    </row>
    <row r="65" spans="1:21" s="99" customFormat="1">
      <c r="A65" s="139" t="s">
        <v>803</v>
      </c>
      <c r="B65" s="265"/>
      <c r="C65" s="37"/>
      <c r="D65" s="140"/>
      <c r="E65" s="141"/>
      <c r="F65" s="140"/>
      <c r="G65"/>
      <c r="H65"/>
      <c r="I65"/>
      <c r="J65"/>
      <c r="K65"/>
      <c r="L65"/>
      <c r="M65"/>
      <c r="N65"/>
    </row>
    <row r="70" spans="1:21">
      <c r="A70" s="155"/>
      <c r="B70" s="99"/>
      <c r="C70" s="99"/>
      <c r="D70" s="99"/>
      <c r="E70" s="99"/>
      <c r="F70" s="99"/>
      <c r="G70" s="99"/>
      <c r="H70" s="99"/>
      <c r="I70" s="99"/>
      <c r="J70" s="99"/>
      <c r="K70" s="99"/>
      <c r="L70" s="99"/>
      <c r="M70" s="99"/>
      <c r="N70" s="99"/>
      <c r="O70" s="99"/>
      <c r="P70" s="99"/>
      <c r="Q70" s="99"/>
      <c r="R70" s="99"/>
      <c r="S70" s="99"/>
      <c r="T70" s="99"/>
      <c r="U70" s="141">
        <f>U64-1817</f>
        <v>1137</v>
      </c>
    </row>
  </sheetData>
  <hyperlinks>
    <hyperlink ref="A60" r:id="rId1" xr:uid="{00000000-0004-0000-0600-000000000000}"/>
    <hyperlink ref="A61" r:id="rId2" display="Bron: bedrijvenbeleid in beeld (want in Miljoenennota 2020 staat fout volgens Piet Donselaar, EZ)" xr:uid="{00000000-0004-0000-0600-000002000000}"/>
    <hyperlink ref="D20" r:id="rId3" xr:uid="{68B558D1-219E-4C78-881D-3B420417D995}"/>
  </hyperlinks>
  <pageMargins left="0.70866141732283472" right="0.70866141732283472" top="0.74803149606299213" bottom="0.74803149606299213" header="0.31496062992125984" footer="0.31496062992125984"/>
  <pageSetup paperSize="9" scale="85" orientation="landscape" r:id="rId4"/>
  <headerFooter>
    <oddFooter>&amp;L&amp;Z&amp;F</oddFooter>
  </headerFooter>
  <rowBreaks count="1" manualBreakCount="1">
    <brk id="36"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311"/>
  <sheetViews>
    <sheetView zoomScaleNormal="100" zoomScaleSheetLayoutView="100" workbookViewId="0">
      <selection activeCell="F3" sqref="F3"/>
    </sheetView>
  </sheetViews>
  <sheetFormatPr defaultColWidth="9.44140625" defaultRowHeight="13.8"/>
  <cols>
    <col min="1" max="1" width="9.44140625" style="4"/>
    <col min="2" max="2" width="13.5546875" style="4" customWidth="1"/>
    <col min="3" max="3" width="51.5546875" style="4" customWidth="1"/>
    <col min="4" max="4" width="13.44140625" style="4" customWidth="1"/>
    <col min="5" max="10" width="14.44140625" style="4" customWidth="1"/>
    <col min="11" max="11" width="10.5546875" style="4" customWidth="1"/>
    <col min="12" max="12" width="9.44140625" style="4"/>
    <col min="13" max="13" width="31.44140625" style="4" customWidth="1"/>
    <col min="14" max="14" width="12" style="4" customWidth="1"/>
    <col min="15" max="15" width="6.44140625" style="4" customWidth="1"/>
    <col min="16" max="16384" width="9.44140625" style="4"/>
  </cols>
  <sheetData>
    <row r="1" spans="1:15" ht="18">
      <c r="B1" s="20" t="s">
        <v>811</v>
      </c>
      <c r="C1" s="96"/>
      <c r="D1" s="96"/>
      <c r="E1" s="96"/>
      <c r="F1" s="96"/>
      <c r="G1" s="96"/>
      <c r="H1" s="96"/>
      <c r="I1" s="96"/>
      <c r="J1" s="96"/>
      <c r="K1" s="96"/>
      <c r="L1" s="96"/>
      <c r="M1" s="72"/>
      <c r="N1" s="96"/>
      <c r="O1" s="96"/>
    </row>
    <row r="3" spans="1:15">
      <c r="A3" s="1" t="s">
        <v>812</v>
      </c>
      <c r="B3" s="19" t="s">
        <v>75</v>
      </c>
      <c r="C3" s="17" t="s">
        <v>76</v>
      </c>
      <c r="D3" s="1">
        <f>Totaal!C3</f>
        <v>2024</v>
      </c>
      <c r="E3" s="1">
        <f>Totaal!D3</f>
        <v>2025</v>
      </c>
      <c r="F3" s="1">
        <f>Totaal!E3</f>
        <v>2026</v>
      </c>
      <c r="G3" s="1">
        <f>Totaal!F3</f>
        <v>2027</v>
      </c>
      <c r="H3" s="1">
        <f>Totaal!G3</f>
        <v>2028</v>
      </c>
      <c r="I3" s="1">
        <f>Totaal!H3</f>
        <v>2029</v>
      </c>
      <c r="J3" s="1">
        <f>Totaal!I3</f>
        <v>2030</v>
      </c>
      <c r="K3" s="17" t="s">
        <v>81</v>
      </c>
      <c r="L3" s="18" t="s">
        <v>82</v>
      </c>
      <c r="M3" s="17" t="s">
        <v>83</v>
      </c>
      <c r="N3" s="17" t="s">
        <v>34</v>
      </c>
      <c r="O3" s="17" t="s">
        <v>84</v>
      </c>
    </row>
    <row r="4" spans="1:15">
      <c r="A4" s="4" t="s">
        <v>563</v>
      </c>
      <c r="B4" s="4" t="s">
        <v>89</v>
      </c>
      <c r="C4" s="124" t="s">
        <v>90</v>
      </c>
      <c r="D4" s="77">
        <v>0.625</v>
      </c>
      <c r="E4" s="72">
        <v>0.59399999999999997</v>
      </c>
      <c r="F4" s="72">
        <v>0.59399999999999997</v>
      </c>
      <c r="G4" s="72">
        <v>0.59399999999999997</v>
      </c>
      <c r="H4" s="72">
        <v>0.59399999999999997</v>
      </c>
      <c r="I4" s="72">
        <v>0.59399999999999997</v>
      </c>
      <c r="J4" s="72">
        <v>0.59399999999999997</v>
      </c>
      <c r="K4" s="4">
        <v>80</v>
      </c>
      <c r="L4" s="4">
        <v>11</v>
      </c>
      <c r="M4" s="72" t="s">
        <v>91</v>
      </c>
      <c r="N4" s="4" t="s">
        <v>92</v>
      </c>
      <c r="O4" s="4" t="s">
        <v>93</v>
      </c>
    </row>
    <row r="5" spans="1:15">
      <c r="A5" s="4" t="s">
        <v>565</v>
      </c>
      <c r="B5" s="4">
        <v>5</v>
      </c>
      <c r="C5" s="4" t="s">
        <v>96</v>
      </c>
      <c r="D5" s="49">
        <v>0.31</v>
      </c>
      <c r="E5" s="49">
        <v>0.34</v>
      </c>
      <c r="F5" s="49">
        <v>0.24199999999999999</v>
      </c>
      <c r="G5" s="49">
        <v>0.24199999999999999</v>
      </c>
      <c r="H5" s="49">
        <v>0.24199999999999999</v>
      </c>
      <c r="I5" s="49">
        <v>0.24199999999999999</v>
      </c>
      <c r="J5" s="49">
        <v>0.24199999999999999</v>
      </c>
      <c r="K5" s="4">
        <v>10</v>
      </c>
      <c r="L5" s="72">
        <v>11</v>
      </c>
      <c r="M5" s="72" t="s">
        <v>91</v>
      </c>
      <c r="N5" s="4" t="s">
        <v>97</v>
      </c>
      <c r="O5" s="4" t="s">
        <v>98</v>
      </c>
    </row>
    <row r="6" spans="1:15">
      <c r="A6" s="4" t="s">
        <v>565</v>
      </c>
      <c r="B6" s="4">
        <v>17</v>
      </c>
      <c r="C6" s="4" t="s">
        <v>99</v>
      </c>
      <c r="D6" s="49">
        <v>1.454</v>
      </c>
      <c r="E6" s="49">
        <v>1.425</v>
      </c>
      <c r="F6" s="49">
        <v>3</v>
      </c>
      <c r="G6" s="49">
        <v>3</v>
      </c>
      <c r="H6" s="49">
        <v>3</v>
      </c>
      <c r="I6" s="49">
        <v>3</v>
      </c>
      <c r="J6" s="49">
        <v>3</v>
      </c>
      <c r="K6" s="4">
        <v>100</v>
      </c>
      <c r="L6" s="72">
        <v>11</v>
      </c>
      <c r="M6" s="72" t="s">
        <v>91</v>
      </c>
      <c r="N6" s="4" t="s">
        <v>100</v>
      </c>
      <c r="O6" s="4" t="s">
        <v>93</v>
      </c>
    </row>
    <row r="7" spans="1:15">
      <c r="A7" s="4" t="s">
        <v>565</v>
      </c>
      <c r="B7" s="4">
        <v>17</v>
      </c>
      <c r="C7" s="4" t="s">
        <v>101</v>
      </c>
      <c r="D7" s="49">
        <v>23.565000000000001</v>
      </c>
      <c r="E7" s="49">
        <v>25.038</v>
      </c>
      <c r="F7" s="49">
        <v>25.088249999999999</v>
      </c>
      <c r="G7" s="49">
        <v>24.434999999999999</v>
      </c>
      <c r="H7" s="49">
        <v>24.21</v>
      </c>
      <c r="I7" s="49">
        <v>24.192499999999999</v>
      </c>
      <c r="J7" s="49">
        <v>24.192499999999999</v>
      </c>
      <c r="K7" s="4">
        <v>5</v>
      </c>
      <c r="L7" s="72">
        <v>11</v>
      </c>
      <c r="M7" s="72" t="s">
        <v>91</v>
      </c>
      <c r="N7" s="4" t="s">
        <v>100</v>
      </c>
      <c r="O7" s="4" t="s">
        <v>93</v>
      </c>
    </row>
    <row r="8" spans="1:15">
      <c r="A8" s="4" t="s">
        <v>565</v>
      </c>
      <c r="B8" s="4">
        <v>17</v>
      </c>
      <c r="C8" s="4" t="s">
        <v>102</v>
      </c>
      <c r="D8" s="49">
        <v>4.9779999999999998</v>
      </c>
      <c r="E8" s="49">
        <v>5.9790000000000001</v>
      </c>
      <c r="F8" s="49">
        <v>4.9172500000000001</v>
      </c>
      <c r="G8" s="49">
        <v>4.8903500000000006</v>
      </c>
      <c r="H8" s="49">
        <v>4.8778500000000005</v>
      </c>
      <c r="I8" s="49">
        <v>4.8778500000000005</v>
      </c>
      <c r="J8" s="49">
        <v>4.8778500000000005</v>
      </c>
      <c r="K8" s="4">
        <v>5</v>
      </c>
      <c r="L8" s="72">
        <v>11</v>
      </c>
      <c r="M8" s="72" t="s">
        <v>91</v>
      </c>
      <c r="N8" s="4" t="s">
        <v>100</v>
      </c>
      <c r="O8" s="4" t="s">
        <v>93</v>
      </c>
    </row>
    <row r="9" spans="1:15">
      <c r="A9" s="4" t="s">
        <v>565</v>
      </c>
      <c r="B9" s="4" t="s">
        <v>813</v>
      </c>
      <c r="C9" s="4" t="s">
        <v>814</v>
      </c>
      <c r="D9" s="49">
        <v>12.688844048</v>
      </c>
      <c r="E9" s="49">
        <v>6.5243712225000001</v>
      </c>
      <c r="F9" s="49">
        <v>3.7508499999999998</v>
      </c>
      <c r="G9" s="49">
        <v>0.16</v>
      </c>
      <c r="H9" s="49">
        <v>0.05</v>
      </c>
      <c r="I9" s="49">
        <v>0</v>
      </c>
      <c r="J9" s="49">
        <v>0</v>
      </c>
      <c r="K9" s="4">
        <v>5</v>
      </c>
      <c r="L9" s="72">
        <v>11</v>
      </c>
      <c r="M9" s="72" t="s">
        <v>91</v>
      </c>
      <c r="O9" s="4" t="s">
        <v>93</v>
      </c>
    </row>
    <row r="10" spans="1:15">
      <c r="A10" s="4" t="s">
        <v>565</v>
      </c>
      <c r="B10" s="4">
        <v>17</v>
      </c>
      <c r="C10" s="4" t="s">
        <v>103</v>
      </c>
      <c r="D10" s="49">
        <v>7.0259999999999998</v>
      </c>
      <c r="E10" s="49">
        <v>8.8390000000000004</v>
      </c>
      <c r="F10" s="49">
        <v>7.9914499999999995</v>
      </c>
      <c r="G10" s="49">
        <v>8.0878499999999995</v>
      </c>
      <c r="H10" s="49">
        <v>7.8378500000000004</v>
      </c>
      <c r="I10" s="49">
        <v>7.8378500000000004</v>
      </c>
      <c r="J10" s="49">
        <v>7.8378500000000004</v>
      </c>
      <c r="K10" s="4">
        <v>5</v>
      </c>
      <c r="L10" s="72">
        <v>11</v>
      </c>
      <c r="M10" s="72" t="s">
        <v>91</v>
      </c>
      <c r="N10" s="4" t="s">
        <v>100</v>
      </c>
      <c r="O10" s="4" t="s">
        <v>93</v>
      </c>
    </row>
    <row r="11" spans="1:15">
      <c r="A11" s="4" t="s">
        <v>815</v>
      </c>
      <c r="B11" s="72"/>
      <c r="C11" s="72" t="s">
        <v>106</v>
      </c>
      <c r="D11" s="77">
        <v>2.4729999999999999</v>
      </c>
      <c r="E11" s="77">
        <v>2.492</v>
      </c>
      <c r="F11" s="77">
        <v>2.694</v>
      </c>
      <c r="G11" s="77">
        <v>2.7069999999999999</v>
      </c>
      <c r="H11" s="77">
        <v>2.7069999999999999</v>
      </c>
      <c r="I11" s="77">
        <v>2.6789999999999998</v>
      </c>
      <c r="J11" s="77">
        <v>2.6789999999999998</v>
      </c>
      <c r="K11" s="72">
        <v>10</v>
      </c>
      <c r="L11" s="72">
        <v>11</v>
      </c>
      <c r="M11" s="72" t="s">
        <v>91</v>
      </c>
      <c r="N11" s="72" t="s">
        <v>107</v>
      </c>
      <c r="O11" s="4" t="s">
        <v>93</v>
      </c>
    </row>
    <row r="12" spans="1:15">
      <c r="A12" s="4" t="s">
        <v>815</v>
      </c>
      <c r="B12" s="72"/>
      <c r="C12" s="72" t="s">
        <v>109</v>
      </c>
      <c r="D12" s="77">
        <v>2.4729999999999999</v>
      </c>
      <c r="E12" s="77">
        <v>2.4929999999999999</v>
      </c>
      <c r="F12" s="77">
        <v>2.6949999999999998</v>
      </c>
      <c r="G12" s="77">
        <v>2.7069999999999999</v>
      </c>
      <c r="H12" s="77">
        <v>2.7080000000000002</v>
      </c>
      <c r="I12" s="77">
        <v>2.68</v>
      </c>
      <c r="J12" s="77">
        <v>2.68</v>
      </c>
      <c r="K12" s="72">
        <v>10</v>
      </c>
      <c r="L12" s="72">
        <v>11</v>
      </c>
      <c r="M12" s="72" t="s">
        <v>91</v>
      </c>
      <c r="N12" s="72" t="s">
        <v>97</v>
      </c>
      <c r="O12" s="4" t="s">
        <v>93</v>
      </c>
    </row>
    <row r="13" spans="1:15">
      <c r="A13" s="4" t="s">
        <v>815</v>
      </c>
      <c r="B13" s="72"/>
      <c r="C13" s="72" t="s">
        <v>111</v>
      </c>
      <c r="D13" s="77">
        <v>7.0970000000000004</v>
      </c>
      <c r="E13" s="77">
        <v>7</v>
      </c>
      <c r="F13" s="77">
        <v>7</v>
      </c>
      <c r="G13" s="77">
        <v>7</v>
      </c>
      <c r="H13" s="77">
        <v>7</v>
      </c>
      <c r="I13" s="77">
        <v>7</v>
      </c>
      <c r="J13" s="77">
        <v>7</v>
      </c>
      <c r="K13" s="72">
        <v>15</v>
      </c>
      <c r="L13" s="72">
        <v>11</v>
      </c>
      <c r="M13" s="72" t="s">
        <v>91</v>
      </c>
      <c r="N13" s="72" t="s">
        <v>92</v>
      </c>
      <c r="O13" s="72" t="s">
        <v>93</v>
      </c>
    </row>
    <row r="14" spans="1:15">
      <c r="A14" s="4" t="s">
        <v>815</v>
      </c>
      <c r="B14" s="72" t="s">
        <v>112</v>
      </c>
      <c r="C14" s="72" t="s">
        <v>816</v>
      </c>
      <c r="D14" s="77">
        <v>11.365</v>
      </c>
      <c r="E14" s="77">
        <v>11.51</v>
      </c>
      <c r="F14" s="77">
        <v>11.303000000000001</v>
      </c>
      <c r="G14" s="77">
        <v>11.308</v>
      </c>
      <c r="H14" s="77">
        <v>11.315</v>
      </c>
      <c r="I14" s="77">
        <v>11.315</v>
      </c>
      <c r="J14" s="77">
        <v>11.315</v>
      </c>
      <c r="K14" s="92">
        <v>15</v>
      </c>
      <c r="L14" s="72">
        <v>11</v>
      </c>
      <c r="M14" s="72" t="s">
        <v>91</v>
      </c>
      <c r="N14" s="72" t="s">
        <v>92</v>
      </c>
      <c r="O14" s="72" t="s">
        <v>93</v>
      </c>
    </row>
    <row r="15" spans="1:15" s="1" customFormat="1">
      <c r="A15" s="4" t="s">
        <v>569</v>
      </c>
      <c r="B15" s="72" t="s">
        <v>817</v>
      </c>
      <c r="C15" s="72" t="s">
        <v>118</v>
      </c>
      <c r="D15" s="77">
        <f>2.652/3</f>
        <v>0.88400000000000001</v>
      </c>
      <c r="E15" s="77">
        <f>3.036/3</f>
        <v>1.012</v>
      </c>
      <c r="F15" s="77">
        <f>3.058/3</f>
        <v>1.0193333333333332</v>
      </c>
      <c r="G15" s="77">
        <f>2.734/3</f>
        <v>0.91133333333333333</v>
      </c>
      <c r="H15" s="77">
        <f>2.732/3</f>
        <v>0.91066666666666674</v>
      </c>
      <c r="I15" s="77">
        <f>2.732/3</f>
        <v>0.91066666666666674</v>
      </c>
      <c r="J15" s="77">
        <f>2.763/3</f>
        <v>0.92099999999999993</v>
      </c>
      <c r="K15" s="72">
        <v>80</v>
      </c>
      <c r="L15" s="79">
        <v>1</v>
      </c>
      <c r="M15" s="72"/>
      <c r="N15" s="7" t="s">
        <v>818</v>
      </c>
      <c r="O15" s="72" t="s">
        <v>93</v>
      </c>
    </row>
    <row r="16" spans="1:15" s="1" customFormat="1">
      <c r="A16" s="4" t="s">
        <v>569</v>
      </c>
      <c r="B16" s="72" t="s">
        <v>817</v>
      </c>
      <c r="C16" s="72" t="s">
        <v>118</v>
      </c>
      <c r="D16" s="77">
        <f t="shared" ref="D16:D17" si="0">2.652/3</f>
        <v>0.88400000000000001</v>
      </c>
      <c r="E16" s="77">
        <f t="shared" ref="E16:E17" si="1">3.036/3</f>
        <v>1.012</v>
      </c>
      <c r="F16" s="77">
        <f t="shared" ref="F16:F17" si="2">3.058/3</f>
        <v>1.0193333333333332</v>
      </c>
      <c r="G16" s="77">
        <f t="shared" ref="G16:G17" si="3">2.734/3</f>
        <v>0.91133333333333333</v>
      </c>
      <c r="H16" s="77">
        <f t="shared" ref="H16:I17" si="4">2.732/3</f>
        <v>0.91066666666666674</v>
      </c>
      <c r="I16" s="77">
        <f t="shared" si="4"/>
        <v>0.91066666666666674</v>
      </c>
      <c r="J16" s="77">
        <f t="shared" ref="J16:J17" si="5">2.763/3</f>
        <v>0.92099999999999993</v>
      </c>
      <c r="K16" s="72">
        <v>80</v>
      </c>
      <c r="L16" s="79">
        <v>3</v>
      </c>
      <c r="M16" s="72"/>
      <c r="N16" s="7" t="s">
        <v>818</v>
      </c>
      <c r="O16" s="72" t="s">
        <v>93</v>
      </c>
    </row>
    <row r="17" spans="1:15" s="1" customFormat="1">
      <c r="A17" s="4" t="s">
        <v>569</v>
      </c>
      <c r="B17" s="72" t="s">
        <v>817</v>
      </c>
      <c r="C17" s="72" t="s">
        <v>118</v>
      </c>
      <c r="D17" s="77">
        <f t="shared" si="0"/>
        <v>0.88400000000000001</v>
      </c>
      <c r="E17" s="77">
        <f t="shared" si="1"/>
        <v>1.012</v>
      </c>
      <c r="F17" s="77">
        <f t="shared" si="2"/>
        <v>1.0193333333333332</v>
      </c>
      <c r="G17" s="77">
        <f t="shared" si="3"/>
        <v>0.91133333333333333</v>
      </c>
      <c r="H17" s="77">
        <f t="shared" si="4"/>
        <v>0.91066666666666674</v>
      </c>
      <c r="I17" s="77">
        <f t="shared" si="4"/>
        <v>0.91066666666666674</v>
      </c>
      <c r="J17" s="77">
        <f t="shared" si="5"/>
        <v>0.92099999999999993</v>
      </c>
      <c r="K17" s="72">
        <v>80</v>
      </c>
      <c r="L17" s="79">
        <v>5</v>
      </c>
      <c r="M17" s="72"/>
      <c r="N17" s="7" t="s">
        <v>818</v>
      </c>
      <c r="O17" s="72" t="s">
        <v>93</v>
      </c>
    </row>
    <row r="18" spans="1:15" s="1" customFormat="1">
      <c r="A18" s="4" t="s">
        <v>569</v>
      </c>
      <c r="B18" s="72" t="s">
        <v>817</v>
      </c>
      <c r="C18" s="72" t="s">
        <v>118</v>
      </c>
      <c r="D18" s="77">
        <f>0.189/3</f>
        <v>6.3E-2</v>
      </c>
      <c r="E18" s="77">
        <f>0.217/3</f>
        <v>7.2333333333333333E-2</v>
      </c>
      <c r="F18" s="77">
        <f>0.218/3</f>
        <v>7.2666666666666671E-2</v>
      </c>
      <c r="G18" s="77">
        <f>0.195/3</f>
        <v>6.5000000000000002E-2</v>
      </c>
      <c r="H18" s="77">
        <f>0.195/3</f>
        <v>6.5000000000000002E-2</v>
      </c>
      <c r="I18" s="77">
        <f>0.195/3</f>
        <v>6.5000000000000002E-2</v>
      </c>
      <c r="J18" s="77">
        <f>0.197/3</f>
        <v>6.5666666666666665E-2</v>
      </c>
      <c r="K18" s="72">
        <v>80</v>
      </c>
      <c r="L18" s="79">
        <v>1</v>
      </c>
      <c r="M18" s="72"/>
      <c r="N18" s="72" t="s">
        <v>107</v>
      </c>
      <c r="O18" s="72" t="s">
        <v>93</v>
      </c>
    </row>
    <row r="19" spans="1:15" s="1" customFormat="1">
      <c r="A19" s="4" t="s">
        <v>569</v>
      </c>
      <c r="B19" s="72" t="s">
        <v>817</v>
      </c>
      <c r="C19" s="72" t="s">
        <v>118</v>
      </c>
      <c r="D19" s="77">
        <f t="shared" ref="D19:D20" si="6">0.189/3</f>
        <v>6.3E-2</v>
      </c>
      <c r="E19" s="77">
        <f t="shared" ref="E19:E20" si="7">0.217/3</f>
        <v>7.2333333333333333E-2</v>
      </c>
      <c r="F19" s="77">
        <f t="shared" ref="F19:F20" si="8">0.218/3</f>
        <v>7.2666666666666671E-2</v>
      </c>
      <c r="G19" s="77">
        <f t="shared" ref="G19:I20" si="9">0.195/3</f>
        <v>6.5000000000000002E-2</v>
      </c>
      <c r="H19" s="77">
        <f t="shared" si="9"/>
        <v>6.5000000000000002E-2</v>
      </c>
      <c r="I19" s="77">
        <f t="shared" si="9"/>
        <v>6.5000000000000002E-2</v>
      </c>
      <c r="J19" s="77">
        <f t="shared" ref="J19:J20" si="10">0.197/3</f>
        <v>6.5666666666666665E-2</v>
      </c>
      <c r="K19" s="72">
        <v>80</v>
      </c>
      <c r="L19" s="79">
        <v>3</v>
      </c>
      <c r="M19" s="72"/>
      <c r="N19" s="72" t="s">
        <v>107</v>
      </c>
      <c r="O19" s="72" t="s">
        <v>93</v>
      </c>
    </row>
    <row r="20" spans="1:15" s="1" customFormat="1">
      <c r="A20" s="4" t="s">
        <v>569</v>
      </c>
      <c r="B20" s="72" t="s">
        <v>817</v>
      </c>
      <c r="C20" s="72" t="s">
        <v>118</v>
      </c>
      <c r="D20" s="77">
        <f t="shared" si="6"/>
        <v>6.3E-2</v>
      </c>
      <c r="E20" s="77">
        <f t="shared" si="7"/>
        <v>7.2333333333333333E-2</v>
      </c>
      <c r="F20" s="77">
        <f t="shared" si="8"/>
        <v>7.2666666666666671E-2</v>
      </c>
      <c r="G20" s="77">
        <f t="shared" si="9"/>
        <v>6.5000000000000002E-2</v>
      </c>
      <c r="H20" s="77">
        <f t="shared" si="9"/>
        <v>6.5000000000000002E-2</v>
      </c>
      <c r="I20" s="77">
        <f t="shared" si="9"/>
        <v>6.5000000000000002E-2</v>
      </c>
      <c r="J20" s="77">
        <f t="shared" si="10"/>
        <v>6.5666666666666665E-2</v>
      </c>
      <c r="K20" s="72">
        <v>80</v>
      </c>
      <c r="L20" s="79">
        <v>5</v>
      </c>
      <c r="M20" s="72"/>
      <c r="N20" s="72" t="s">
        <v>107</v>
      </c>
      <c r="O20" s="72" t="s">
        <v>93</v>
      </c>
    </row>
    <row r="21" spans="1:15" s="1" customFormat="1">
      <c r="A21" s="4" t="s">
        <v>569</v>
      </c>
      <c r="B21" s="72" t="s">
        <v>817</v>
      </c>
      <c r="C21" s="72" t="s">
        <v>118</v>
      </c>
      <c r="D21" s="77">
        <f>6.63/3</f>
        <v>2.21</v>
      </c>
      <c r="E21" s="77">
        <f>7.591/3</f>
        <v>2.5303333333333335</v>
      </c>
      <c r="F21" s="77">
        <f>7.646/3</f>
        <v>2.5486666666666666</v>
      </c>
      <c r="G21" s="77">
        <f>6.836/3</f>
        <v>2.2786666666666666</v>
      </c>
      <c r="H21" s="77">
        <f>6.829/3</f>
        <v>2.2763333333333331</v>
      </c>
      <c r="I21" s="77">
        <f>6.83/3</f>
        <v>2.2766666666666668</v>
      </c>
      <c r="J21" s="77">
        <f>6.907/3</f>
        <v>2.3023333333333333</v>
      </c>
      <c r="K21" s="72">
        <v>80</v>
      </c>
      <c r="L21" s="79">
        <v>1</v>
      </c>
      <c r="M21" s="72"/>
      <c r="N21" s="7" t="s">
        <v>121</v>
      </c>
      <c r="O21" s="72" t="s">
        <v>93</v>
      </c>
    </row>
    <row r="22" spans="1:15" s="1" customFormat="1">
      <c r="A22" s="4" t="s">
        <v>569</v>
      </c>
      <c r="B22" s="72" t="s">
        <v>817</v>
      </c>
      <c r="C22" s="72" t="s">
        <v>118</v>
      </c>
      <c r="D22" s="77">
        <f t="shared" ref="D22:D23" si="11">6.63/3</f>
        <v>2.21</v>
      </c>
      <c r="E22" s="77">
        <f t="shared" ref="E22:E23" si="12">7.591/3</f>
        <v>2.5303333333333335</v>
      </c>
      <c r="F22" s="77">
        <f t="shared" ref="F22:F23" si="13">7.646/3</f>
        <v>2.5486666666666666</v>
      </c>
      <c r="G22" s="77">
        <f t="shared" ref="G22:G23" si="14">6.836/3</f>
        <v>2.2786666666666666</v>
      </c>
      <c r="H22" s="77">
        <f t="shared" ref="H22:H23" si="15">6.829/3</f>
        <v>2.2763333333333331</v>
      </c>
      <c r="I22" s="77">
        <f t="shared" ref="I22:I23" si="16">6.83/3</f>
        <v>2.2766666666666668</v>
      </c>
      <c r="J22" s="77">
        <f t="shared" ref="J22:J23" si="17">6.907/3</f>
        <v>2.3023333333333333</v>
      </c>
      <c r="K22" s="72">
        <v>80</v>
      </c>
      <c r="L22" s="79">
        <v>3</v>
      </c>
      <c r="M22" s="72"/>
      <c r="N22" s="7" t="s">
        <v>121</v>
      </c>
      <c r="O22" s="72" t="s">
        <v>93</v>
      </c>
    </row>
    <row r="23" spans="1:15" s="1" customFormat="1">
      <c r="A23" s="4" t="s">
        <v>569</v>
      </c>
      <c r="B23" s="72" t="s">
        <v>817</v>
      </c>
      <c r="C23" s="72" t="s">
        <v>118</v>
      </c>
      <c r="D23" s="77">
        <f t="shared" si="11"/>
        <v>2.21</v>
      </c>
      <c r="E23" s="77">
        <f t="shared" si="12"/>
        <v>2.5303333333333335</v>
      </c>
      <c r="F23" s="77">
        <f t="shared" si="13"/>
        <v>2.5486666666666666</v>
      </c>
      <c r="G23" s="77">
        <f t="shared" si="14"/>
        <v>2.2786666666666666</v>
      </c>
      <c r="H23" s="77">
        <f t="shared" si="15"/>
        <v>2.2763333333333331</v>
      </c>
      <c r="I23" s="77">
        <f t="shared" si="16"/>
        <v>2.2766666666666668</v>
      </c>
      <c r="J23" s="77">
        <f t="shared" si="17"/>
        <v>2.3023333333333333</v>
      </c>
      <c r="K23" s="72">
        <v>80</v>
      </c>
      <c r="L23" s="79">
        <v>5</v>
      </c>
      <c r="M23" s="72"/>
      <c r="N23" s="7" t="s">
        <v>121</v>
      </c>
      <c r="O23" s="72" t="s">
        <v>93</v>
      </c>
    </row>
    <row r="24" spans="1:15" s="201" customFormat="1">
      <c r="A24" s="86" t="s">
        <v>571</v>
      </c>
      <c r="B24" s="118">
        <v>7</v>
      </c>
      <c r="C24" s="119" t="s">
        <v>819</v>
      </c>
      <c r="D24" s="113">
        <v>526.74569904467785</v>
      </c>
      <c r="E24" s="113">
        <v>591.98315548522726</v>
      </c>
      <c r="F24" s="113">
        <v>615.43580152595302</v>
      </c>
      <c r="G24" s="113">
        <v>594.81999396870174</v>
      </c>
      <c r="H24" s="113">
        <v>606.55540815048073</v>
      </c>
      <c r="I24" s="113">
        <v>616.2546694191401</v>
      </c>
      <c r="J24" s="113">
        <v>622.10457313381016</v>
      </c>
      <c r="K24" s="151">
        <v>100</v>
      </c>
      <c r="L24" s="120" t="s">
        <v>804</v>
      </c>
      <c r="M24" s="119" t="s">
        <v>179</v>
      </c>
      <c r="N24" s="120" t="s">
        <v>107</v>
      </c>
      <c r="O24" s="119" t="s">
        <v>98</v>
      </c>
    </row>
    <row r="25" spans="1:15" s="201" customFormat="1">
      <c r="A25" s="86" t="s">
        <v>571</v>
      </c>
      <c r="B25" s="118">
        <v>7</v>
      </c>
      <c r="C25" s="119" t="s">
        <v>820</v>
      </c>
      <c r="D25" s="113">
        <v>543.10703724989378</v>
      </c>
      <c r="E25" s="113">
        <v>610.37084547728773</v>
      </c>
      <c r="F25" s="113">
        <v>634.55195816591493</v>
      </c>
      <c r="G25" s="113">
        <v>613.29579948585501</v>
      </c>
      <c r="H25" s="113">
        <v>625.39572937370349</v>
      </c>
      <c r="I25" s="113">
        <v>635.39626105471768</v>
      </c>
      <c r="J25" s="113">
        <v>641.42786962871037</v>
      </c>
      <c r="K25" s="151">
        <v>100</v>
      </c>
      <c r="L25" s="120" t="s">
        <v>805</v>
      </c>
      <c r="M25" s="119" t="s">
        <v>165</v>
      </c>
      <c r="N25" s="120" t="s">
        <v>107</v>
      </c>
      <c r="O25" s="119" t="s">
        <v>98</v>
      </c>
    </row>
    <row r="26" spans="1:15" s="201" customFormat="1">
      <c r="A26" s="86" t="s">
        <v>571</v>
      </c>
      <c r="B26" s="118">
        <v>7</v>
      </c>
      <c r="C26" s="119" t="s">
        <v>821</v>
      </c>
      <c r="D26" s="113">
        <v>1131.8434107264875</v>
      </c>
      <c r="E26" s="113">
        <v>1259.9233129225713</v>
      </c>
      <c r="F26" s="113">
        <v>1300.9471661428206</v>
      </c>
      <c r="G26" s="113">
        <v>1254.9113988061181</v>
      </c>
      <c r="H26" s="113">
        <v>1275.5756627757282</v>
      </c>
      <c r="I26" s="113">
        <v>1292.728696146808</v>
      </c>
      <c r="J26" s="113">
        <v>1303.2509365785409</v>
      </c>
      <c r="K26" s="151">
        <v>100</v>
      </c>
      <c r="L26" s="120" t="s">
        <v>132</v>
      </c>
      <c r="M26" s="119" t="s">
        <v>133</v>
      </c>
      <c r="N26" s="120" t="s">
        <v>107</v>
      </c>
      <c r="O26" s="119" t="s">
        <v>98</v>
      </c>
    </row>
    <row r="27" spans="1:15" s="201" customFormat="1">
      <c r="A27" s="86" t="s">
        <v>571</v>
      </c>
      <c r="B27" s="118">
        <v>7</v>
      </c>
      <c r="C27" s="119" t="s">
        <v>822</v>
      </c>
      <c r="D27" s="113">
        <v>138.10771583403323</v>
      </c>
      <c r="E27" s="113">
        <v>155.21235686321859</v>
      </c>
      <c r="F27" s="113">
        <v>161.36141774937877</v>
      </c>
      <c r="G27" s="113">
        <v>155.95614895084893</v>
      </c>
      <c r="H27" s="113">
        <v>159.03306301004534</v>
      </c>
      <c r="I27" s="113">
        <v>161.57611712804098</v>
      </c>
      <c r="J27" s="113">
        <v>163.10990628160667</v>
      </c>
      <c r="K27" s="151">
        <v>100</v>
      </c>
      <c r="L27" s="120" t="s">
        <v>806</v>
      </c>
      <c r="M27" s="119" t="s">
        <v>823</v>
      </c>
      <c r="N27" s="120" t="s">
        <v>107</v>
      </c>
      <c r="O27" s="119" t="s">
        <v>98</v>
      </c>
    </row>
    <row r="28" spans="1:15" s="201" customFormat="1">
      <c r="A28" s="86" t="s">
        <v>571</v>
      </c>
      <c r="B28" s="118">
        <v>7</v>
      </c>
      <c r="C28" s="119" t="s">
        <v>824</v>
      </c>
      <c r="D28" s="113">
        <v>603.13280738511025</v>
      </c>
      <c r="E28" s="113">
        <v>677.83080742766015</v>
      </c>
      <c r="F28" s="113">
        <v>704.68448705486207</v>
      </c>
      <c r="G28" s="113">
        <v>681.07903586453062</v>
      </c>
      <c r="H28" s="113">
        <v>694.5162852129738</v>
      </c>
      <c r="I28" s="113">
        <v>705.62210475575853</v>
      </c>
      <c r="J28" s="113">
        <v>712.32034426062887</v>
      </c>
      <c r="K28" s="151">
        <v>100</v>
      </c>
      <c r="L28" s="120" t="s">
        <v>807</v>
      </c>
      <c r="M28" s="119" t="s">
        <v>147</v>
      </c>
      <c r="N28" s="120" t="s">
        <v>107</v>
      </c>
      <c r="O28" s="119" t="s">
        <v>98</v>
      </c>
    </row>
    <row r="29" spans="1:15" s="201" customFormat="1">
      <c r="A29" s="86" t="s">
        <v>571</v>
      </c>
      <c r="B29" s="118">
        <v>7</v>
      </c>
      <c r="C29" s="119" t="s">
        <v>825</v>
      </c>
      <c r="D29" s="113">
        <v>267.69299193023056</v>
      </c>
      <c r="E29" s="113">
        <v>300.8467698009589</v>
      </c>
      <c r="F29" s="113">
        <v>312.76544137000775</v>
      </c>
      <c r="G29" s="113">
        <v>302.28845557578603</v>
      </c>
      <c r="H29" s="113">
        <v>308.25241150282704</v>
      </c>
      <c r="I29" s="113">
        <v>313.18159132001284</v>
      </c>
      <c r="J29" s="113">
        <v>316.15452157976421</v>
      </c>
      <c r="K29" s="151">
        <v>100</v>
      </c>
      <c r="L29" s="120" t="s">
        <v>808</v>
      </c>
      <c r="M29" s="119" t="s">
        <v>826</v>
      </c>
      <c r="N29" s="120" t="s">
        <v>107</v>
      </c>
      <c r="O29" s="119" t="s">
        <v>98</v>
      </c>
    </row>
    <row r="30" spans="1:15" s="1" customFormat="1">
      <c r="A30" s="86" t="s">
        <v>571</v>
      </c>
      <c r="B30" s="118">
        <v>6</v>
      </c>
      <c r="C30" s="119" t="s">
        <v>135</v>
      </c>
      <c r="D30" s="113">
        <v>13.645332628080499</v>
      </c>
      <c r="E30" s="113">
        <v>13.960693359842002</v>
      </c>
      <c r="F30" s="113">
        <v>13.966596664180395</v>
      </c>
      <c r="G30" s="113">
        <v>13.966596664180395</v>
      </c>
      <c r="H30" s="113">
        <v>13.966596664180395</v>
      </c>
      <c r="I30" s="113">
        <v>13.966596664180395</v>
      </c>
      <c r="J30" s="113">
        <v>13.966596664180395</v>
      </c>
      <c r="K30" s="119">
        <v>100</v>
      </c>
      <c r="L30" s="120" t="s">
        <v>804</v>
      </c>
      <c r="M30" s="119" t="s">
        <v>129</v>
      </c>
      <c r="N30" s="120"/>
      <c r="O30" s="119" t="s">
        <v>98</v>
      </c>
    </row>
    <row r="31" spans="1:15" s="1" customFormat="1">
      <c r="A31" s="86" t="s">
        <v>571</v>
      </c>
      <c r="B31" s="118">
        <v>6</v>
      </c>
      <c r="C31" s="119" t="s">
        <v>135</v>
      </c>
      <c r="D31" s="113">
        <v>13.645332628080499</v>
      </c>
      <c r="E31" s="113">
        <v>13.960693359842002</v>
      </c>
      <c r="F31" s="113">
        <v>13.966596664180395</v>
      </c>
      <c r="G31" s="113">
        <v>13.966596664180395</v>
      </c>
      <c r="H31" s="113">
        <v>13.966596664180395</v>
      </c>
      <c r="I31" s="113">
        <v>13.966596664180395</v>
      </c>
      <c r="J31" s="113">
        <v>13.966596664180395</v>
      </c>
      <c r="K31" s="119">
        <v>100</v>
      </c>
      <c r="L31" s="120" t="s">
        <v>805</v>
      </c>
      <c r="M31" s="119" t="s">
        <v>129</v>
      </c>
      <c r="N31" s="120"/>
      <c r="O31" s="119" t="s">
        <v>98</v>
      </c>
    </row>
    <row r="32" spans="1:15" s="1" customFormat="1">
      <c r="A32" s="86" t="s">
        <v>571</v>
      </c>
      <c r="B32" s="118">
        <v>6</v>
      </c>
      <c r="C32" s="119" t="s">
        <v>135</v>
      </c>
      <c r="D32" s="113">
        <v>16.12473374342343</v>
      </c>
      <c r="E32" s="113">
        <v>16.497396541127671</v>
      </c>
      <c r="F32" s="113">
        <v>16.504372494976323</v>
      </c>
      <c r="G32" s="113">
        <v>16.504372494976323</v>
      </c>
      <c r="H32" s="113">
        <v>16.504372494976323</v>
      </c>
      <c r="I32" s="113">
        <v>16.504372494976323</v>
      </c>
      <c r="J32" s="113">
        <v>16.504372494976323</v>
      </c>
      <c r="K32" s="119">
        <v>100</v>
      </c>
      <c r="L32" s="120" t="s">
        <v>132</v>
      </c>
      <c r="M32" s="119" t="s">
        <v>129</v>
      </c>
      <c r="N32" s="120"/>
      <c r="O32" s="119" t="s">
        <v>98</v>
      </c>
    </row>
    <row r="33" spans="1:15" s="1" customFormat="1">
      <c r="A33" s="86" t="s">
        <v>571</v>
      </c>
      <c r="B33" s="118">
        <v>6</v>
      </c>
      <c r="C33" s="119" t="s">
        <v>135</v>
      </c>
      <c r="D33" s="113">
        <v>11.671413322170821</v>
      </c>
      <c r="E33" s="113">
        <v>11.941154305867787</v>
      </c>
      <c r="F33" s="113">
        <v>11.946203644478864</v>
      </c>
      <c r="G33" s="113">
        <v>11.946203644478864</v>
      </c>
      <c r="H33" s="113">
        <v>11.946203644478864</v>
      </c>
      <c r="I33" s="113">
        <v>11.946203644478864</v>
      </c>
      <c r="J33" s="113">
        <v>11.946203644478864</v>
      </c>
      <c r="K33" s="119">
        <v>100</v>
      </c>
      <c r="L33" s="120" t="s">
        <v>806</v>
      </c>
      <c r="M33" s="119" t="s">
        <v>129</v>
      </c>
      <c r="N33" s="120"/>
      <c r="O33" s="119" t="s">
        <v>98</v>
      </c>
    </row>
    <row r="34" spans="1:15" s="1" customFormat="1">
      <c r="A34" s="86" t="s">
        <v>571</v>
      </c>
      <c r="B34" s="118">
        <v>6</v>
      </c>
      <c r="C34" s="119" t="s">
        <v>135</v>
      </c>
      <c r="D34" s="113">
        <v>29.470149824305196</v>
      </c>
      <c r="E34" s="113">
        <v>30.15124190663294</v>
      </c>
      <c r="F34" s="113">
        <v>30.163991413592768</v>
      </c>
      <c r="G34" s="113">
        <v>30.163991413592768</v>
      </c>
      <c r="H34" s="113">
        <v>30.163991413592768</v>
      </c>
      <c r="I34" s="113">
        <v>30.163991413592768</v>
      </c>
      <c r="J34" s="113">
        <v>30.163991413592768</v>
      </c>
      <c r="K34" s="119">
        <v>100</v>
      </c>
      <c r="L34" s="120" t="s">
        <v>807</v>
      </c>
      <c r="M34" s="119" t="s">
        <v>129</v>
      </c>
      <c r="N34" s="120"/>
      <c r="O34" s="119" t="s">
        <v>98</v>
      </c>
    </row>
    <row r="35" spans="1:15" s="1" customFormat="1">
      <c r="A35" s="86" t="s">
        <v>571</v>
      </c>
      <c r="B35" s="118">
        <v>6</v>
      </c>
      <c r="C35" s="119" t="s">
        <v>135</v>
      </c>
      <c r="D35" s="113">
        <v>3.2790378539395602</v>
      </c>
      <c r="E35" s="113">
        <v>3.3548205266876052</v>
      </c>
      <c r="F35" s="113">
        <v>3.356239118591263</v>
      </c>
      <c r="G35" s="113">
        <v>3.356239118591263</v>
      </c>
      <c r="H35" s="113">
        <v>3.356239118591263</v>
      </c>
      <c r="I35" s="113">
        <v>3.356239118591263</v>
      </c>
      <c r="J35" s="113">
        <v>3.356239118591263</v>
      </c>
      <c r="K35" s="119">
        <v>100</v>
      </c>
      <c r="L35" s="120" t="s">
        <v>808</v>
      </c>
      <c r="M35" s="119" t="s">
        <v>129</v>
      </c>
      <c r="N35" s="120"/>
      <c r="O35" s="119" t="s">
        <v>98</v>
      </c>
    </row>
    <row r="36" spans="1:15" s="1" customFormat="1">
      <c r="A36" s="86" t="s">
        <v>571</v>
      </c>
      <c r="B36" s="118">
        <v>6</v>
      </c>
      <c r="C36" s="160" t="s">
        <v>827</v>
      </c>
      <c r="D36" s="113">
        <v>9.4010121588903335</v>
      </c>
      <c r="E36" s="113">
        <v>9.1462379716544397</v>
      </c>
      <c r="F36" s="113">
        <v>8.8981438393277799</v>
      </c>
      <c r="G36" s="113">
        <v>8.5798314553970787</v>
      </c>
      <c r="H36" s="113">
        <v>8.5798314553970787</v>
      </c>
      <c r="I36" s="113">
        <v>8.2691312270606225</v>
      </c>
      <c r="J36" s="113">
        <v>8.2691312270606225</v>
      </c>
      <c r="K36" s="119">
        <v>100</v>
      </c>
      <c r="L36" s="120" t="s">
        <v>804</v>
      </c>
      <c r="M36" s="119" t="s">
        <v>129</v>
      </c>
      <c r="N36" s="120"/>
      <c r="O36" s="119" t="s">
        <v>93</v>
      </c>
    </row>
    <row r="37" spans="1:15" s="1" customFormat="1">
      <c r="A37" s="86" t="s">
        <v>571</v>
      </c>
      <c r="B37" s="118">
        <v>6</v>
      </c>
      <c r="C37" s="160" t="s">
        <v>827</v>
      </c>
      <c r="D37" s="113">
        <v>9.4010121588903335</v>
      </c>
      <c r="E37" s="113">
        <v>9.1462379716544397</v>
      </c>
      <c r="F37" s="113">
        <v>8.8981438393277799</v>
      </c>
      <c r="G37" s="113">
        <v>8.5798314553970787</v>
      </c>
      <c r="H37" s="113">
        <v>8.5798314553970787</v>
      </c>
      <c r="I37" s="113">
        <v>8.2691312270606225</v>
      </c>
      <c r="J37" s="113">
        <v>8.2691312270606225</v>
      </c>
      <c r="K37" s="119">
        <v>100</v>
      </c>
      <c r="L37" s="120" t="s">
        <v>805</v>
      </c>
      <c r="M37" s="119" t="s">
        <v>129</v>
      </c>
      <c r="N37" s="120"/>
      <c r="O37" s="119" t="s">
        <v>93</v>
      </c>
    </row>
    <row r="38" spans="1:15" s="1" customFormat="1">
      <c r="A38" s="86" t="s">
        <v>571</v>
      </c>
      <c r="B38" s="118">
        <v>6</v>
      </c>
      <c r="C38" s="160" t="s">
        <v>827</v>
      </c>
      <c r="D38" s="113">
        <v>11.109206503976377</v>
      </c>
      <c r="E38" s="113">
        <v>10.808139022087238</v>
      </c>
      <c r="F38" s="113">
        <v>10.514965382711045</v>
      </c>
      <c r="G38" s="113">
        <v>10.13881460808248</v>
      </c>
      <c r="H38" s="113">
        <v>10.13881460808248</v>
      </c>
      <c r="I38" s="113">
        <v>9.7716591423640171</v>
      </c>
      <c r="J38" s="113">
        <v>9.7716591423640171</v>
      </c>
      <c r="K38" s="119">
        <v>100</v>
      </c>
      <c r="L38" s="120" t="s">
        <v>132</v>
      </c>
      <c r="M38" s="119" t="s">
        <v>129</v>
      </c>
      <c r="N38" s="120"/>
      <c r="O38" s="119" t="s">
        <v>93</v>
      </c>
    </row>
    <row r="39" spans="1:15" s="1" customFormat="1">
      <c r="A39" s="86" t="s">
        <v>571</v>
      </c>
      <c r="B39" s="118">
        <v>6</v>
      </c>
      <c r="C39" s="160" t="s">
        <v>827</v>
      </c>
      <c r="D39" s="113">
        <v>8.0410717381388856</v>
      </c>
      <c r="E39" s="113">
        <v>7.823152913871386</v>
      </c>
      <c r="F39" s="113">
        <v>7.6109478148743142</v>
      </c>
      <c r="G39" s="113">
        <v>7.3386821618718097</v>
      </c>
      <c r="H39" s="113">
        <v>7.3386821618718097</v>
      </c>
      <c r="I39" s="113">
        <v>7.0729274981309551</v>
      </c>
      <c r="J39" s="113">
        <v>7.0729274981309551</v>
      </c>
      <c r="K39" s="119">
        <v>100</v>
      </c>
      <c r="L39" s="120" t="s">
        <v>806</v>
      </c>
      <c r="M39" s="119" t="s">
        <v>129</v>
      </c>
      <c r="N39" s="120"/>
      <c r="O39" s="119" t="s">
        <v>93</v>
      </c>
    </row>
    <row r="40" spans="1:15" s="1" customFormat="1">
      <c r="A40" s="86" t="s">
        <v>571</v>
      </c>
      <c r="B40" s="118">
        <v>6</v>
      </c>
      <c r="C40" s="160" t="s">
        <v>827</v>
      </c>
      <c r="D40" s="113">
        <v>20.303589833528722</v>
      </c>
      <c r="E40" s="113">
        <v>19.753347954209758</v>
      </c>
      <c r="F40" s="113">
        <v>19.217533148555866</v>
      </c>
      <c r="G40" s="113">
        <v>18.530066312748207</v>
      </c>
      <c r="H40" s="113">
        <v>18.530066312748207</v>
      </c>
      <c r="I40" s="113">
        <v>17.85903963065191</v>
      </c>
      <c r="J40" s="113">
        <v>17.85903963065191</v>
      </c>
      <c r="K40" s="119">
        <v>100</v>
      </c>
      <c r="L40" s="120" t="s">
        <v>807</v>
      </c>
      <c r="M40" s="119" t="s">
        <v>129</v>
      </c>
      <c r="N40" s="120"/>
      <c r="O40" s="119" t="s">
        <v>93</v>
      </c>
    </row>
    <row r="41" spans="1:15" s="1" customFormat="1">
      <c r="A41" s="86" t="s">
        <v>571</v>
      </c>
      <c r="B41" s="118">
        <v>6</v>
      </c>
      <c r="C41" s="160" t="s">
        <v>827</v>
      </c>
      <c r="D41" s="113">
        <v>2.2591076065753506</v>
      </c>
      <c r="E41" s="113">
        <v>2.1978841665227424</v>
      </c>
      <c r="F41" s="113">
        <v>2.1382659752032209</v>
      </c>
      <c r="G41" s="113">
        <v>2.0617740065033465</v>
      </c>
      <c r="H41" s="113">
        <v>2.0617740065033465</v>
      </c>
      <c r="I41" s="113">
        <v>1.9871112747318735</v>
      </c>
      <c r="J41" s="113">
        <v>1.9871112747318735</v>
      </c>
      <c r="K41" s="119">
        <v>100</v>
      </c>
      <c r="L41" s="120" t="s">
        <v>808</v>
      </c>
      <c r="M41" s="119" t="s">
        <v>129</v>
      </c>
      <c r="N41" s="120"/>
      <c r="O41" s="119" t="s">
        <v>93</v>
      </c>
    </row>
    <row r="42" spans="1:15" s="1" customFormat="1">
      <c r="A42" s="4" t="s">
        <v>571</v>
      </c>
      <c r="B42" s="81">
        <v>7</v>
      </c>
      <c r="C42" s="82" t="s">
        <v>144</v>
      </c>
      <c r="D42" s="161">
        <v>2.3397000000000001</v>
      </c>
      <c r="E42" s="161">
        <v>2.1352499999999996</v>
      </c>
      <c r="F42" s="161">
        <v>2.17605</v>
      </c>
      <c r="G42" s="161">
        <v>2.1683999999999997</v>
      </c>
      <c r="H42" s="161">
        <v>2.1683999999999997</v>
      </c>
      <c r="I42" s="161">
        <v>2.1683999999999997</v>
      </c>
      <c r="J42" s="161">
        <v>2.1683999999999997</v>
      </c>
      <c r="K42" s="82">
        <v>15</v>
      </c>
      <c r="L42" s="83">
        <v>11</v>
      </c>
      <c r="M42" s="72" t="s">
        <v>91</v>
      </c>
      <c r="N42" s="82" t="s">
        <v>97</v>
      </c>
      <c r="O42" s="82" t="s">
        <v>98</v>
      </c>
    </row>
    <row r="43" spans="1:15" s="1" customFormat="1">
      <c r="A43" s="4" t="s">
        <v>571</v>
      </c>
      <c r="B43" s="81">
        <v>7</v>
      </c>
      <c r="C43" s="82" t="s">
        <v>145</v>
      </c>
      <c r="D43" s="161">
        <v>0.75750000000000006</v>
      </c>
      <c r="E43" s="161">
        <v>0.77400000000000002</v>
      </c>
      <c r="F43" s="161">
        <v>0.77400000000000002</v>
      </c>
      <c r="G43" s="161">
        <v>0.77400000000000002</v>
      </c>
      <c r="H43" s="161">
        <v>0.77400000000000002</v>
      </c>
      <c r="I43" s="161">
        <v>0.77400000000000002</v>
      </c>
      <c r="J43" s="161">
        <v>0.77400000000000002</v>
      </c>
      <c r="K43" s="82">
        <v>75</v>
      </c>
      <c r="L43" s="83" t="s">
        <v>146</v>
      </c>
      <c r="M43" s="72" t="s">
        <v>147</v>
      </c>
      <c r="N43" s="82" t="s">
        <v>97</v>
      </c>
      <c r="O43" s="82" t="s">
        <v>98</v>
      </c>
    </row>
    <row r="44" spans="1:15" s="1" customFormat="1">
      <c r="A44" s="86" t="s">
        <v>571</v>
      </c>
      <c r="B44" s="118">
        <v>16</v>
      </c>
      <c r="C44" s="119" t="s">
        <v>151</v>
      </c>
      <c r="D44" s="113">
        <v>10.882700528853178</v>
      </c>
      <c r="E44" s="113">
        <v>10.924502299488676</v>
      </c>
      <c r="F44" s="113">
        <v>10.745459338170603</v>
      </c>
      <c r="G44" s="113">
        <v>10.431521825825824</v>
      </c>
      <c r="H44" s="113">
        <v>10.657068243681518</v>
      </c>
      <c r="I44" s="113">
        <v>10.592541357617076</v>
      </c>
      <c r="J44" s="113">
        <v>10.60658982095609</v>
      </c>
      <c r="K44" s="119">
        <v>75</v>
      </c>
      <c r="L44" s="120" t="s">
        <v>146</v>
      </c>
      <c r="M44" s="121" t="s">
        <v>828</v>
      </c>
      <c r="N44" s="119" t="s">
        <v>151</v>
      </c>
      <c r="O44" s="119" t="s">
        <v>98</v>
      </c>
    </row>
    <row r="45" spans="1:15" s="1" customFormat="1">
      <c r="A45" s="86" t="s">
        <v>571</v>
      </c>
      <c r="B45" s="118">
        <v>16</v>
      </c>
      <c r="C45" s="119" t="s">
        <v>151</v>
      </c>
      <c r="D45" s="113">
        <v>31.177736717311905</v>
      </c>
      <c r="E45" s="113">
        <v>31.297494179693203</v>
      </c>
      <c r="F45" s="113">
        <v>30.78455584290236</v>
      </c>
      <c r="G45" s="113">
        <v>29.88515949549549</v>
      </c>
      <c r="H45" s="113">
        <v>30.531325106208907</v>
      </c>
      <c r="I45" s="113">
        <v>30.346462694570246</v>
      </c>
      <c r="J45" s="113">
        <v>30.38670999257365</v>
      </c>
      <c r="K45" s="119">
        <v>75</v>
      </c>
      <c r="L45" s="120" t="s">
        <v>171</v>
      </c>
      <c r="M45" s="121" t="s">
        <v>828</v>
      </c>
      <c r="N45" s="119" t="s">
        <v>151</v>
      </c>
      <c r="O45" s="119" t="s">
        <v>98</v>
      </c>
    </row>
    <row r="46" spans="1:15" s="1" customFormat="1">
      <c r="A46" s="86" t="s">
        <v>571</v>
      </c>
      <c r="B46" s="118">
        <v>16</v>
      </c>
      <c r="C46" s="119" t="s">
        <v>151</v>
      </c>
      <c r="D46" s="113">
        <v>10.977429918188459</v>
      </c>
      <c r="E46" s="113">
        <v>11.019595555880205</v>
      </c>
      <c r="F46" s="113">
        <v>10.838994099926955</v>
      </c>
      <c r="G46" s="113">
        <v>10.522323891891892</v>
      </c>
      <c r="H46" s="113">
        <v>10.749833597662528</v>
      </c>
      <c r="I46" s="113">
        <v>10.684745031848065</v>
      </c>
      <c r="J46" s="113">
        <v>10.698915781227173</v>
      </c>
      <c r="K46" s="119">
        <v>75</v>
      </c>
      <c r="L46" s="120" t="s">
        <v>541</v>
      </c>
      <c r="M46" s="121" t="s">
        <v>828</v>
      </c>
      <c r="N46" s="119" t="s">
        <v>151</v>
      </c>
      <c r="O46" s="119" t="s">
        <v>98</v>
      </c>
    </row>
    <row r="47" spans="1:15" s="1" customFormat="1">
      <c r="A47" s="86" t="s">
        <v>571</v>
      </c>
      <c r="B47" s="118">
        <v>16</v>
      </c>
      <c r="C47" s="119" t="s">
        <v>151</v>
      </c>
      <c r="D47" s="113">
        <v>19.456592835646457</v>
      </c>
      <c r="E47" s="113">
        <v>19.531327964937912</v>
      </c>
      <c r="F47" s="113">
        <v>19.211226719000081</v>
      </c>
      <c r="G47" s="113">
        <v>18.649954786786786</v>
      </c>
      <c r="H47" s="113">
        <v>19.05319705244704</v>
      </c>
      <c r="I47" s="113">
        <v>18.937832915964613</v>
      </c>
      <c r="J47" s="113">
        <v>18.96294940524308</v>
      </c>
      <c r="K47" s="119">
        <v>75</v>
      </c>
      <c r="L47" s="120" t="s">
        <v>810</v>
      </c>
      <c r="M47" s="121" t="s">
        <v>828</v>
      </c>
      <c r="N47" s="119" t="s">
        <v>151</v>
      </c>
      <c r="O47" s="119" t="s">
        <v>98</v>
      </c>
    </row>
    <row r="48" spans="1:15" s="1" customFormat="1">
      <c r="A48" s="86" t="s">
        <v>571</v>
      </c>
      <c r="B48" s="118">
        <v>16</v>
      </c>
      <c r="C48" s="119" t="s">
        <v>829</v>
      </c>
      <c r="D48" s="113">
        <v>11.190443605299597</v>
      </c>
      <c r="E48" s="113">
        <v>11.441665185081828</v>
      </c>
      <c r="F48" s="113">
        <v>11.677185416127667</v>
      </c>
      <c r="G48" s="113">
        <v>11.677185416127667</v>
      </c>
      <c r="H48" s="113">
        <v>11.677185416127667</v>
      </c>
      <c r="I48" s="113">
        <v>11.677185416127667</v>
      </c>
      <c r="J48" s="113">
        <v>11.677185416127667</v>
      </c>
      <c r="K48" s="151">
        <v>89</v>
      </c>
      <c r="L48" s="120" t="s">
        <v>171</v>
      </c>
      <c r="M48" s="121" t="s">
        <v>828</v>
      </c>
      <c r="N48" s="119" t="s">
        <v>152</v>
      </c>
      <c r="O48" s="119" t="s">
        <v>98</v>
      </c>
    </row>
    <row r="49" spans="1:15" s="1" customFormat="1">
      <c r="A49" s="86" t="s">
        <v>571</v>
      </c>
      <c r="B49" s="118">
        <v>16</v>
      </c>
      <c r="C49" s="119" t="s">
        <v>830</v>
      </c>
      <c r="D49" s="113">
        <v>61.219558723182011</v>
      </c>
      <c r="E49" s="113">
        <v>50.561113757421253</v>
      </c>
      <c r="F49" s="113">
        <v>54.358069325379873</v>
      </c>
      <c r="G49" s="113">
        <v>54.358069325379873</v>
      </c>
      <c r="H49" s="113">
        <v>54.358069325379873</v>
      </c>
      <c r="I49" s="113">
        <v>54.358069325379873</v>
      </c>
      <c r="J49" s="113">
        <v>54.358069325379873</v>
      </c>
      <c r="K49" s="151">
        <v>89</v>
      </c>
      <c r="L49" s="120" t="s">
        <v>171</v>
      </c>
      <c r="M49" s="121" t="s">
        <v>828</v>
      </c>
      <c r="N49" s="119" t="s">
        <v>152</v>
      </c>
      <c r="O49" s="119" t="s">
        <v>98</v>
      </c>
    </row>
    <row r="50" spans="1:15" s="1" customFormat="1">
      <c r="A50" s="86" t="s">
        <v>571</v>
      </c>
      <c r="B50" s="118">
        <v>16</v>
      </c>
      <c r="C50" s="119" t="s">
        <v>831</v>
      </c>
      <c r="D50" s="113">
        <v>15.611758687716993</v>
      </c>
      <c r="E50" s="113">
        <v>17.626149369720824</v>
      </c>
      <c r="F50" s="113">
        <v>18.392744631556305</v>
      </c>
      <c r="G50" s="113">
        <v>18.392744631556305</v>
      </c>
      <c r="H50" s="113">
        <v>18.392744631556305</v>
      </c>
      <c r="I50" s="113">
        <v>18.392744631556305</v>
      </c>
      <c r="J50" s="113">
        <v>18.392744631556305</v>
      </c>
      <c r="K50" s="151">
        <v>89</v>
      </c>
      <c r="L50" s="120" t="s">
        <v>171</v>
      </c>
      <c r="M50" s="121" t="s">
        <v>828</v>
      </c>
      <c r="N50" s="119" t="s">
        <v>152</v>
      </c>
      <c r="O50" s="119" t="s">
        <v>98</v>
      </c>
    </row>
    <row r="51" spans="1:15" s="1" customFormat="1">
      <c r="A51" s="86" t="s">
        <v>571</v>
      </c>
      <c r="B51" s="118">
        <v>16</v>
      </c>
      <c r="C51" s="119" t="s">
        <v>832</v>
      </c>
      <c r="D51" s="113">
        <v>10.780361320655077</v>
      </c>
      <c r="E51" s="113">
        <v>14.596712672346884</v>
      </c>
      <c r="F51" s="113">
        <v>25.057505365778976</v>
      </c>
      <c r="G51" s="113">
        <v>25.057505365778976</v>
      </c>
      <c r="H51" s="113">
        <v>25.057505365778976</v>
      </c>
      <c r="I51" s="113">
        <v>25.057505365778976</v>
      </c>
      <c r="J51" s="113">
        <v>25.057505365778976</v>
      </c>
      <c r="K51" s="151">
        <v>89</v>
      </c>
      <c r="L51" s="120" t="s">
        <v>171</v>
      </c>
      <c r="M51" s="121" t="s">
        <v>828</v>
      </c>
      <c r="N51" s="119" t="s">
        <v>152</v>
      </c>
      <c r="O51" s="119" t="s">
        <v>98</v>
      </c>
    </row>
    <row r="52" spans="1:15" s="1" customFormat="1">
      <c r="A52" s="86" t="s">
        <v>571</v>
      </c>
      <c r="B52" s="118">
        <v>16</v>
      </c>
      <c r="C52" s="119" t="s">
        <v>833</v>
      </c>
      <c r="D52" s="113">
        <v>20.694377634561139</v>
      </c>
      <c r="E52" s="113">
        <v>21.320584366518315</v>
      </c>
      <c r="F52" s="113">
        <v>22.720775230304564</v>
      </c>
      <c r="G52" s="113">
        <v>22.720775230304564</v>
      </c>
      <c r="H52" s="113">
        <v>22.720775230304564</v>
      </c>
      <c r="I52" s="113">
        <v>22.720775230304564</v>
      </c>
      <c r="J52" s="113">
        <v>22.720775230304564</v>
      </c>
      <c r="K52" s="151">
        <v>89</v>
      </c>
      <c r="L52" s="120" t="s">
        <v>171</v>
      </c>
      <c r="M52" s="121" t="s">
        <v>828</v>
      </c>
      <c r="N52" s="119" t="s">
        <v>152</v>
      </c>
      <c r="O52" s="119" t="s">
        <v>98</v>
      </c>
    </row>
    <row r="53" spans="1:15" s="1" customFormat="1">
      <c r="A53" s="86" t="s">
        <v>571</v>
      </c>
      <c r="B53" s="118">
        <v>16</v>
      </c>
      <c r="C53" s="119" t="s">
        <v>834</v>
      </c>
      <c r="D53" s="113">
        <v>2.0735016419525913</v>
      </c>
      <c r="E53" s="113">
        <v>1.9395783733186824</v>
      </c>
      <c r="F53" s="113">
        <v>1.9515852870582742</v>
      </c>
      <c r="G53" s="113">
        <v>1.9515852870582742</v>
      </c>
      <c r="H53" s="113">
        <v>1.9515852870582742</v>
      </c>
      <c r="I53" s="113">
        <v>1.9515852870582742</v>
      </c>
      <c r="J53" s="113">
        <v>1.9515852870582742</v>
      </c>
      <c r="K53" s="151">
        <v>89</v>
      </c>
      <c r="L53" s="120" t="s">
        <v>146</v>
      </c>
      <c r="M53" s="121" t="s">
        <v>828</v>
      </c>
      <c r="N53" s="119" t="s">
        <v>152</v>
      </c>
      <c r="O53" s="119" t="s">
        <v>98</v>
      </c>
    </row>
    <row r="54" spans="1:15" s="1" customFormat="1">
      <c r="A54" s="86" t="s">
        <v>571</v>
      </c>
      <c r="B54" s="118">
        <v>16</v>
      </c>
      <c r="C54" s="119" t="s">
        <v>835</v>
      </c>
      <c r="D54" s="113">
        <v>147.59008061188263</v>
      </c>
      <c r="E54" s="113">
        <v>164.80984761674787</v>
      </c>
      <c r="F54" s="113">
        <v>156.93644696202156</v>
      </c>
      <c r="G54" s="113">
        <v>155.36293907191137</v>
      </c>
      <c r="H54" s="113">
        <v>155.31740202408866</v>
      </c>
      <c r="I54" s="113">
        <v>155.76059923210536</v>
      </c>
      <c r="J54" s="113">
        <v>155.60685533797144</v>
      </c>
      <c r="K54" s="151">
        <v>89</v>
      </c>
      <c r="L54" s="120" t="s">
        <v>171</v>
      </c>
      <c r="M54" s="121" t="s">
        <v>828</v>
      </c>
      <c r="N54" s="119" t="s">
        <v>152</v>
      </c>
      <c r="O54" s="119" t="s">
        <v>93</v>
      </c>
    </row>
    <row r="55" spans="1:15" s="1" customFormat="1">
      <c r="A55" s="86" t="s">
        <v>571</v>
      </c>
      <c r="B55" s="118">
        <v>16</v>
      </c>
      <c r="C55" s="119" t="s">
        <v>836</v>
      </c>
      <c r="D55" s="113">
        <v>62.730214834703077</v>
      </c>
      <c r="E55" s="113">
        <v>70.049132739892968</v>
      </c>
      <c r="F55" s="113">
        <v>66.70270110639126</v>
      </c>
      <c r="G55" s="113">
        <v>66.033913017235847</v>
      </c>
      <c r="H55" s="113">
        <v>66.014558404913586</v>
      </c>
      <c r="I55" s="113">
        <v>66.202930522861934</v>
      </c>
      <c r="J55" s="113">
        <v>66.137584752546189</v>
      </c>
      <c r="K55" s="151">
        <v>89</v>
      </c>
      <c r="L55" s="120" t="s">
        <v>164</v>
      </c>
      <c r="M55" s="121" t="s">
        <v>828</v>
      </c>
      <c r="N55" s="119" t="s">
        <v>152</v>
      </c>
      <c r="O55" s="119" t="s">
        <v>93</v>
      </c>
    </row>
    <row r="56" spans="1:15" s="1" customFormat="1">
      <c r="A56" s="86" t="s">
        <v>571</v>
      </c>
      <c r="B56" s="118">
        <v>16</v>
      </c>
      <c r="C56" s="119" t="s">
        <v>837</v>
      </c>
      <c r="D56" s="113">
        <v>30.377853161923209</v>
      </c>
      <c r="E56" s="113">
        <v>33.922126268812555</v>
      </c>
      <c r="F56" s="113">
        <v>32.301576920355807</v>
      </c>
      <c r="G56" s="113">
        <v>31.977708328125718</v>
      </c>
      <c r="H56" s="113">
        <v>31.968335626745993</v>
      </c>
      <c r="I56" s="113">
        <v>32.059557066907068</v>
      </c>
      <c r="J56" s="113">
        <v>32.027912599872565</v>
      </c>
      <c r="K56" s="151">
        <v>89</v>
      </c>
      <c r="L56" s="120" t="s">
        <v>541</v>
      </c>
      <c r="M56" s="121" t="s">
        <v>828</v>
      </c>
      <c r="N56" s="119" t="s">
        <v>152</v>
      </c>
      <c r="O56" s="119" t="s">
        <v>93</v>
      </c>
    </row>
    <row r="57" spans="1:15" s="1" customFormat="1">
      <c r="A57" s="86" t="s">
        <v>571</v>
      </c>
      <c r="B57" s="118">
        <v>16</v>
      </c>
      <c r="C57" s="119" t="s">
        <v>838</v>
      </c>
      <c r="D57" s="113">
        <v>36.024422829525264</v>
      </c>
      <c r="E57" s="113">
        <v>40.227497758662672</v>
      </c>
      <c r="F57" s="113">
        <v>38.305724201007436</v>
      </c>
      <c r="G57" s="113">
        <v>37.921655615070499</v>
      </c>
      <c r="H57" s="113">
        <v>37.910540736222465</v>
      </c>
      <c r="I57" s="113">
        <v>38.018718220456272</v>
      </c>
      <c r="J57" s="113">
        <v>37.981191748305996</v>
      </c>
      <c r="K57" s="151">
        <v>89</v>
      </c>
      <c r="L57" s="120" t="s">
        <v>146</v>
      </c>
      <c r="M57" s="121" t="s">
        <v>828</v>
      </c>
      <c r="N57" s="119" t="s">
        <v>152</v>
      </c>
      <c r="O57" s="119" t="s">
        <v>93</v>
      </c>
    </row>
    <row r="58" spans="1:15" s="1" customFormat="1">
      <c r="A58" s="86" t="s">
        <v>571</v>
      </c>
      <c r="B58" s="118">
        <v>16</v>
      </c>
      <c r="C58" s="119" t="s">
        <v>839</v>
      </c>
      <c r="D58" s="113">
        <v>25.621676221129611</v>
      </c>
      <c r="E58" s="113">
        <v>28.611032233219401</v>
      </c>
      <c r="F58" s="113">
        <v>27.244207840290752</v>
      </c>
      <c r="G58" s="113">
        <v>26.971046463017604</v>
      </c>
      <c r="H58" s="113">
        <v>26.963141219721159</v>
      </c>
      <c r="I58" s="113">
        <v>27.040080369824164</v>
      </c>
      <c r="J58" s="113">
        <v>27.013390389981723</v>
      </c>
      <c r="K58" s="151">
        <v>89</v>
      </c>
      <c r="L58" s="120" t="s">
        <v>810</v>
      </c>
      <c r="M58" s="121" t="s">
        <v>828</v>
      </c>
      <c r="N58" s="119" t="s">
        <v>152</v>
      </c>
      <c r="O58" s="119" t="s">
        <v>93</v>
      </c>
    </row>
    <row r="59" spans="1:15" s="1" customFormat="1">
      <c r="A59" s="86" t="s">
        <v>571</v>
      </c>
      <c r="B59" s="118">
        <v>17</v>
      </c>
      <c r="C59" s="119" t="s">
        <v>840</v>
      </c>
      <c r="D59" s="113">
        <v>66.252473118279568</v>
      </c>
      <c r="E59" s="113">
        <v>60.265150537634412</v>
      </c>
      <c r="F59" s="113">
        <v>59.79254838709678</v>
      </c>
      <c r="G59" s="113">
        <v>59.872784946236557</v>
      </c>
      <c r="H59" s="113">
        <v>58.726548387096777</v>
      </c>
      <c r="I59" s="113">
        <v>58.626913978494628</v>
      </c>
      <c r="J59" s="113">
        <v>58.582827956989249</v>
      </c>
      <c r="K59" s="151">
        <v>100</v>
      </c>
      <c r="L59" s="120" t="s">
        <v>171</v>
      </c>
      <c r="M59" s="121" t="s">
        <v>828</v>
      </c>
      <c r="N59" s="119" t="s">
        <v>152</v>
      </c>
      <c r="O59" s="119" t="s">
        <v>93</v>
      </c>
    </row>
    <row r="60" spans="1:15" s="1" customFormat="1">
      <c r="A60" s="86" t="s">
        <v>571</v>
      </c>
      <c r="B60" s="118">
        <v>18</v>
      </c>
      <c r="C60" s="119" t="s">
        <v>841</v>
      </c>
      <c r="D60" s="113">
        <v>12.604129032258065</v>
      </c>
      <c r="E60" s="113">
        <v>11.46507741935484</v>
      </c>
      <c r="F60" s="113">
        <v>11.375167741935485</v>
      </c>
      <c r="G60" s="113">
        <v>11.390432258064516</v>
      </c>
      <c r="H60" s="113">
        <v>11.172367741935485</v>
      </c>
      <c r="I60" s="113">
        <v>11.153412903225808</v>
      </c>
      <c r="J60" s="113">
        <v>11.145025806451615</v>
      </c>
      <c r="K60" s="151">
        <v>100</v>
      </c>
      <c r="L60" s="120" t="s">
        <v>164</v>
      </c>
      <c r="M60" s="121" t="s">
        <v>828</v>
      </c>
      <c r="N60" s="119" t="s">
        <v>152</v>
      </c>
      <c r="O60" s="119" t="s">
        <v>93</v>
      </c>
    </row>
    <row r="61" spans="1:15" s="1" customFormat="1">
      <c r="A61" s="86" t="s">
        <v>571</v>
      </c>
      <c r="B61" s="118">
        <v>19</v>
      </c>
      <c r="C61" s="119" t="s">
        <v>842</v>
      </c>
      <c r="D61" s="113">
        <v>11.634580645161291</v>
      </c>
      <c r="E61" s="113">
        <v>10.583148387096776</v>
      </c>
      <c r="F61" s="113">
        <v>10.500154838709678</v>
      </c>
      <c r="G61" s="113">
        <v>10.514245161290322</v>
      </c>
      <c r="H61" s="113">
        <v>10.312954838709679</v>
      </c>
      <c r="I61" s="113">
        <v>10.295458064516129</v>
      </c>
      <c r="J61" s="113">
        <v>10.28771612903226</v>
      </c>
      <c r="K61" s="151">
        <v>100</v>
      </c>
      <c r="L61" s="120" t="s">
        <v>541</v>
      </c>
      <c r="M61" s="121" t="s">
        <v>828</v>
      </c>
      <c r="N61" s="119" t="s">
        <v>152</v>
      </c>
      <c r="O61" s="119" t="s">
        <v>93</v>
      </c>
    </row>
    <row r="62" spans="1:15" s="1" customFormat="1">
      <c r="A62" s="86" t="s">
        <v>571</v>
      </c>
      <c r="B62" s="118">
        <v>20</v>
      </c>
      <c r="C62" s="119" t="s">
        <v>843</v>
      </c>
      <c r="D62" s="113">
        <v>45.891956989247312</v>
      </c>
      <c r="E62" s="113">
        <v>41.744640860215057</v>
      </c>
      <c r="F62" s="113">
        <v>41.417277419354839</v>
      </c>
      <c r="G62" s="113">
        <v>41.472855913978492</v>
      </c>
      <c r="H62" s="113">
        <v>40.678877419354841</v>
      </c>
      <c r="I62" s="113">
        <v>40.609862365591397</v>
      </c>
      <c r="J62" s="113">
        <v>40.579324731182794</v>
      </c>
      <c r="K62" s="151">
        <v>100</v>
      </c>
      <c r="L62" s="120" t="s">
        <v>146</v>
      </c>
      <c r="M62" s="121" t="s">
        <v>828</v>
      </c>
      <c r="N62" s="119" t="s">
        <v>152</v>
      </c>
      <c r="O62" s="119" t="s">
        <v>93</v>
      </c>
    </row>
    <row r="63" spans="1:15" s="1" customFormat="1">
      <c r="A63" s="86" t="s">
        <v>571</v>
      </c>
      <c r="B63" s="118">
        <v>21</v>
      </c>
      <c r="C63" s="119" t="s">
        <v>844</v>
      </c>
      <c r="D63" s="113">
        <v>13.896860215053763</v>
      </c>
      <c r="E63" s="113">
        <v>12.640982795698925</v>
      </c>
      <c r="F63" s="113">
        <v>12.541851612903226</v>
      </c>
      <c r="G63" s="113">
        <v>12.558681720430107</v>
      </c>
      <c r="H63" s="113">
        <v>12.318251612903225</v>
      </c>
      <c r="I63" s="113">
        <v>12.297352688172042</v>
      </c>
      <c r="J63" s="113">
        <v>12.288105376344086</v>
      </c>
      <c r="K63" s="151">
        <v>100</v>
      </c>
      <c r="L63" s="120" t="s">
        <v>810</v>
      </c>
      <c r="M63" s="121" t="s">
        <v>828</v>
      </c>
      <c r="N63" s="119" t="s">
        <v>152</v>
      </c>
      <c r="O63" s="119" t="s">
        <v>93</v>
      </c>
    </row>
    <row r="64" spans="1:15" s="1" customFormat="1">
      <c r="A64" s="4" t="s">
        <v>571</v>
      </c>
      <c r="B64" s="81">
        <v>16</v>
      </c>
      <c r="C64" s="82" t="s">
        <v>160</v>
      </c>
      <c r="D64" s="84">
        <v>5.1595000000000004</v>
      </c>
      <c r="E64" s="84">
        <v>5.0899000000000001</v>
      </c>
      <c r="F64" s="84">
        <v>5.0335000000000001</v>
      </c>
      <c r="G64" s="84">
        <v>5.0979999999999999</v>
      </c>
      <c r="H64" s="84">
        <v>5.0979999999999999</v>
      </c>
      <c r="I64" s="84">
        <v>5.0354000000000001</v>
      </c>
      <c r="J64" s="84">
        <v>5.0354000000000001</v>
      </c>
      <c r="K64" s="82">
        <v>10</v>
      </c>
      <c r="L64" s="83">
        <v>10</v>
      </c>
      <c r="M64" s="72" t="s">
        <v>161</v>
      </c>
      <c r="N64" s="82" t="s">
        <v>92</v>
      </c>
      <c r="O64" s="82" t="s">
        <v>98</v>
      </c>
    </row>
    <row r="65" spans="1:15" s="1" customFormat="1">
      <c r="A65" s="86" t="s">
        <v>571</v>
      </c>
      <c r="B65" s="118">
        <v>16</v>
      </c>
      <c r="C65" s="119" t="s">
        <v>845</v>
      </c>
      <c r="D65" s="152">
        <v>60.573758949880663</v>
      </c>
      <c r="E65" s="152">
        <v>61.916069212410498</v>
      </c>
      <c r="F65" s="152">
        <v>61.916069212410498</v>
      </c>
      <c r="G65" s="152">
        <v>61.916069212410498</v>
      </c>
      <c r="H65" s="152">
        <v>61.916069212410498</v>
      </c>
      <c r="I65" s="152">
        <v>61.916069212410498</v>
      </c>
      <c r="J65" s="152">
        <v>61.916069212410498</v>
      </c>
      <c r="K65" s="119">
        <v>100</v>
      </c>
      <c r="L65" s="120" t="s">
        <v>171</v>
      </c>
      <c r="M65" s="121" t="s">
        <v>828</v>
      </c>
      <c r="N65" s="119" t="s">
        <v>152</v>
      </c>
      <c r="O65" s="119" t="s">
        <v>93</v>
      </c>
    </row>
    <row r="66" spans="1:15" s="1" customFormat="1">
      <c r="A66" s="86" t="s">
        <v>571</v>
      </c>
      <c r="B66" s="118">
        <v>16</v>
      </c>
      <c r="C66" s="119" t="s">
        <v>846</v>
      </c>
      <c r="D66" s="152">
        <v>16.232183770883054</v>
      </c>
      <c r="E66" s="152">
        <v>16.591887828162292</v>
      </c>
      <c r="F66" s="152">
        <v>16.591887828162292</v>
      </c>
      <c r="G66" s="152">
        <v>16.591887828162292</v>
      </c>
      <c r="H66" s="152">
        <v>16.591887828162292</v>
      </c>
      <c r="I66" s="152">
        <v>16.591887828162292</v>
      </c>
      <c r="J66" s="152">
        <v>16.591887828162292</v>
      </c>
      <c r="K66" s="119">
        <v>100</v>
      </c>
      <c r="L66" s="120" t="s">
        <v>164</v>
      </c>
      <c r="M66" s="121" t="s">
        <v>828</v>
      </c>
      <c r="N66" s="119" t="s">
        <v>152</v>
      </c>
      <c r="O66" s="119" t="s">
        <v>93</v>
      </c>
    </row>
    <row r="67" spans="1:15" s="1" customFormat="1">
      <c r="A67" s="86" t="s">
        <v>571</v>
      </c>
      <c r="B67" s="118">
        <v>16</v>
      </c>
      <c r="C67" s="119" t="s">
        <v>847</v>
      </c>
      <c r="D67" s="152">
        <v>27.555121718377087</v>
      </c>
      <c r="E67" s="152">
        <v>28.165741288782815</v>
      </c>
      <c r="F67" s="152">
        <v>28.165741288782815</v>
      </c>
      <c r="G67" s="152">
        <v>28.165741288782815</v>
      </c>
      <c r="H67" s="152">
        <v>28.165741288782815</v>
      </c>
      <c r="I67" s="152">
        <v>28.165741288782815</v>
      </c>
      <c r="J67" s="152">
        <v>28.165741288782815</v>
      </c>
      <c r="K67" s="119">
        <v>100</v>
      </c>
      <c r="L67" s="120" t="s">
        <v>541</v>
      </c>
      <c r="M67" s="121" t="s">
        <v>828</v>
      </c>
      <c r="N67" s="119" t="s">
        <v>152</v>
      </c>
      <c r="O67" s="119" t="s">
        <v>93</v>
      </c>
    </row>
    <row r="68" spans="1:15" s="1" customFormat="1">
      <c r="A68" s="86" t="s">
        <v>571</v>
      </c>
      <c r="B68" s="118">
        <v>16</v>
      </c>
      <c r="C68" s="119" t="s">
        <v>848</v>
      </c>
      <c r="D68" s="152">
        <v>38.416017900414282</v>
      </c>
      <c r="E68" s="152">
        <v>39.267314170733627</v>
      </c>
      <c r="F68" s="152">
        <v>39.267314170733627</v>
      </c>
      <c r="G68" s="152">
        <v>39.267314170733627</v>
      </c>
      <c r="H68" s="152">
        <v>39.267314170733627</v>
      </c>
      <c r="I68" s="152">
        <v>39.267314170733627</v>
      </c>
      <c r="J68" s="152">
        <v>39.267314170733627</v>
      </c>
      <c r="K68" s="119">
        <v>100</v>
      </c>
      <c r="L68" s="120" t="s">
        <v>146</v>
      </c>
      <c r="M68" s="121" t="s">
        <v>828</v>
      </c>
      <c r="N68" s="119" t="s">
        <v>152</v>
      </c>
      <c r="O68" s="119" t="s">
        <v>93</v>
      </c>
    </row>
    <row r="69" spans="1:15" s="1" customFormat="1">
      <c r="A69" s="86" t="s">
        <v>571</v>
      </c>
      <c r="B69" s="118">
        <v>16</v>
      </c>
      <c r="C69" s="119" t="s">
        <v>849</v>
      </c>
      <c r="D69" s="152">
        <v>23.107917660444897</v>
      </c>
      <c r="E69" s="152">
        <v>23.619987499910771</v>
      </c>
      <c r="F69" s="152">
        <v>23.619987499910771</v>
      </c>
      <c r="G69" s="152">
        <v>23.619987499910771</v>
      </c>
      <c r="H69" s="152">
        <v>23.619987499910771</v>
      </c>
      <c r="I69" s="152">
        <v>23.619987499910771</v>
      </c>
      <c r="J69" s="152">
        <v>23.619987499910771</v>
      </c>
      <c r="K69" s="119">
        <v>100</v>
      </c>
      <c r="L69" s="120" t="s">
        <v>810</v>
      </c>
      <c r="M69" s="121" t="s">
        <v>828</v>
      </c>
      <c r="N69" s="119" t="s">
        <v>152</v>
      </c>
      <c r="O69" s="119" t="s">
        <v>93</v>
      </c>
    </row>
    <row r="70" spans="1:15" s="1" customFormat="1">
      <c r="A70" s="4" t="s">
        <v>571</v>
      </c>
      <c r="B70" s="81">
        <v>16</v>
      </c>
      <c r="C70" s="82" t="s">
        <v>850</v>
      </c>
      <c r="D70" s="162">
        <v>8</v>
      </c>
      <c r="E70" s="162">
        <v>8.1769999999999996</v>
      </c>
      <c r="F70" s="162">
        <v>8.1769999999999996</v>
      </c>
      <c r="G70" s="162">
        <v>8.1769999999999996</v>
      </c>
      <c r="H70" s="162">
        <v>8.1769999999999996</v>
      </c>
      <c r="I70" s="162">
        <v>8.1769999999999996</v>
      </c>
      <c r="J70" s="162">
        <v>8.1769999999999996</v>
      </c>
      <c r="K70" s="82">
        <v>100</v>
      </c>
      <c r="L70" s="83" t="s">
        <v>164</v>
      </c>
      <c r="M70" s="72" t="s">
        <v>165</v>
      </c>
      <c r="N70" s="82" t="s">
        <v>166</v>
      </c>
      <c r="O70" s="82" t="s">
        <v>93</v>
      </c>
    </row>
    <row r="71" spans="1:15" s="1" customFormat="1">
      <c r="A71" s="149" t="s">
        <v>571</v>
      </c>
      <c r="B71" s="163">
        <v>16</v>
      </c>
      <c r="C71" s="164" t="s">
        <v>167</v>
      </c>
      <c r="D71" s="167">
        <v>55.38</v>
      </c>
      <c r="E71" s="167">
        <v>56.607999999999997</v>
      </c>
      <c r="F71" s="167">
        <v>56.607999999999997</v>
      </c>
      <c r="G71" s="167">
        <v>56.607999999999997</v>
      </c>
      <c r="H71" s="167">
        <v>56.607999999999997</v>
      </c>
      <c r="I71" s="167">
        <v>56.607999999999997</v>
      </c>
      <c r="J71" s="167">
        <v>56.607999999999997</v>
      </c>
      <c r="K71" s="164">
        <v>100</v>
      </c>
      <c r="L71" s="193" t="s">
        <v>851</v>
      </c>
      <c r="M71" s="166" t="s">
        <v>828</v>
      </c>
      <c r="N71" s="164" t="s">
        <v>152</v>
      </c>
      <c r="O71" s="164" t="s">
        <v>93</v>
      </c>
    </row>
    <row r="72" spans="1:15" s="1" customFormat="1">
      <c r="A72" s="4" t="s">
        <v>571</v>
      </c>
      <c r="B72" s="81">
        <v>16</v>
      </c>
      <c r="C72" s="82" t="s">
        <v>168</v>
      </c>
      <c r="D72" s="162">
        <v>33.869</v>
      </c>
      <c r="E72" s="162">
        <v>33.392000000000003</v>
      </c>
      <c r="F72" s="162">
        <v>30.834</v>
      </c>
      <c r="G72" s="162">
        <v>21.375</v>
      </c>
      <c r="H72" s="162">
        <v>20.353999999999999</v>
      </c>
      <c r="I72" s="162">
        <v>18.922000000000001</v>
      </c>
      <c r="J72" s="162">
        <v>16.439</v>
      </c>
      <c r="K72" s="82">
        <v>100</v>
      </c>
      <c r="L72" s="83">
        <v>9</v>
      </c>
      <c r="M72" s="72" t="s">
        <v>140</v>
      </c>
      <c r="N72" s="82" t="s">
        <v>152</v>
      </c>
      <c r="O72" s="82" t="s">
        <v>93</v>
      </c>
    </row>
    <row r="73" spans="1:15" s="1" customFormat="1">
      <c r="A73" s="4" t="s">
        <v>571</v>
      </c>
      <c r="B73" s="81">
        <v>16</v>
      </c>
      <c r="C73" s="82" t="s">
        <v>170</v>
      </c>
      <c r="D73" s="84">
        <v>6.1587299999999994</v>
      </c>
      <c r="E73" s="84">
        <v>6.2901000000000007</v>
      </c>
      <c r="F73" s="84">
        <v>6.2901000000000007</v>
      </c>
      <c r="G73" s="84">
        <v>6.2901000000000007</v>
      </c>
      <c r="H73" s="84">
        <v>6.2901000000000007</v>
      </c>
      <c r="I73" s="84">
        <v>6.2901000000000007</v>
      </c>
      <c r="J73" s="84">
        <v>6.2901000000000007</v>
      </c>
      <c r="K73" s="82">
        <v>87</v>
      </c>
      <c r="L73" s="83" t="s">
        <v>171</v>
      </c>
      <c r="M73" s="72" t="s">
        <v>179</v>
      </c>
      <c r="N73" s="82" t="s">
        <v>172</v>
      </c>
      <c r="O73" s="82" t="s">
        <v>98</v>
      </c>
    </row>
    <row r="74" spans="1:15" s="1" customFormat="1">
      <c r="A74" s="4" t="s">
        <v>571</v>
      </c>
      <c r="B74" s="81">
        <v>16</v>
      </c>
      <c r="C74" s="82" t="s">
        <v>173</v>
      </c>
      <c r="D74" s="84">
        <v>11.17788</v>
      </c>
      <c r="E74" s="84">
        <v>10.699639999999999</v>
      </c>
      <c r="F74" s="84">
        <v>10.699639999999999</v>
      </c>
      <c r="G74" s="84">
        <v>10.699639999999999</v>
      </c>
      <c r="H74" s="84">
        <v>10.699639999999999</v>
      </c>
      <c r="I74" s="84">
        <v>10.699639999999999</v>
      </c>
      <c r="J74" s="84">
        <v>10.699639999999999</v>
      </c>
      <c r="K74" s="82">
        <v>98</v>
      </c>
      <c r="L74" s="83">
        <v>7</v>
      </c>
      <c r="M74" s="72" t="s">
        <v>174</v>
      </c>
      <c r="N74" s="82" t="s">
        <v>97</v>
      </c>
      <c r="O74" s="82" t="s">
        <v>98</v>
      </c>
    </row>
    <row r="75" spans="1:15" s="1" customFormat="1">
      <c r="A75" s="4" t="s">
        <v>571</v>
      </c>
      <c r="B75" s="81">
        <v>16</v>
      </c>
      <c r="C75" s="82" t="s">
        <v>175</v>
      </c>
      <c r="D75" s="84">
        <v>0.221</v>
      </c>
      <c r="E75" s="84">
        <v>0.23100000000000001</v>
      </c>
      <c r="F75" s="84">
        <v>0.23100000000000001</v>
      </c>
      <c r="G75" s="84">
        <v>0.23100000000000001</v>
      </c>
      <c r="H75" s="84">
        <v>0.23100000000000001</v>
      </c>
      <c r="I75" s="84">
        <v>0.23100000000000001</v>
      </c>
      <c r="J75" s="84">
        <v>0.23100000000000001</v>
      </c>
      <c r="K75" s="82">
        <v>100</v>
      </c>
      <c r="L75" s="83" t="s">
        <v>164</v>
      </c>
      <c r="M75" s="72" t="s">
        <v>165</v>
      </c>
      <c r="N75" s="82" t="s">
        <v>97</v>
      </c>
      <c r="O75" s="82" t="s">
        <v>98</v>
      </c>
    </row>
    <row r="76" spans="1:15" s="1" customFormat="1">
      <c r="A76" s="4" t="s">
        <v>571</v>
      </c>
      <c r="B76" s="81">
        <v>16</v>
      </c>
      <c r="C76" s="82" t="s">
        <v>176</v>
      </c>
      <c r="D76" s="84">
        <v>2.5</v>
      </c>
      <c r="E76" s="84">
        <v>2.5550000000000002</v>
      </c>
      <c r="F76" s="84">
        <v>2.5550000000000002</v>
      </c>
      <c r="G76" s="84">
        <v>2.5550000000000002</v>
      </c>
      <c r="H76" s="84">
        <v>2.5550000000000002</v>
      </c>
      <c r="I76" s="84">
        <v>2.5550000000000002</v>
      </c>
      <c r="J76" s="84">
        <v>2.5550000000000002</v>
      </c>
      <c r="K76" s="82">
        <v>100</v>
      </c>
      <c r="L76" s="83">
        <v>1</v>
      </c>
      <c r="M76" s="72" t="s">
        <v>177</v>
      </c>
      <c r="N76" s="82" t="s">
        <v>152</v>
      </c>
      <c r="O76" s="82" t="s">
        <v>93</v>
      </c>
    </row>
    <row r="77" spans="1:15" s="1" customFormat="1">
      <c r="A77" s="4" t="s">
        <v>571</v>
      </c>
      <c r="B77" s="81">
        <v>16</v>
      </c>
      <c r="C77" s="82" t="s">
        <v>178</v>
      </c>
      <c r="D77" s="84">
        <v>3.1469999999999998</v>
      </c>
      <c r="E77" s="84">
        <v>3.2170000000000001</v>
      </c>
      <c r="F77" s="84">
        <v>3.181</v>
      </c>
      <c r="G77" s="84">
        <v>1.534</v>
      </c>
      <c r="H77" s="84">
        <v>1.534</v>
      </c>
      <c r="I77" s="84">
        <v>1.534</v>
      </c>
      <c r="J77" s="84">
        <v>1.534</v>
      </c>
      <c r="K77" s="82">
        <v>100</v>
      </c>
      <c r="L77" s="83" t="s">
        <v>171</v>
      </c>
      <c r="M77" s="72" t="s">
        <v>179</v>
      </c>
      <c r="N77" s="82" t="s">
        <v>152</v>
      </c>
      <c r="O77" s="82" t="s">
        <v>93</v>
      </c>
    </row>
    <row r="78" spans="1:15" s="1" customFormat="1">
      <c r="A78" s="149" t="s">
        <v>571</v>
      </c>
      <c r="B78" s="163">
        <v>16</v>
      </c>
      <c r="C78" s="164" t="s">
        <v>180</v>
      </c>
      <c r="D78" s="165">
        <v>0.1885</v>
      </c>
      <c r="E78" s="165">
        <v>1.9095</v>
      </c>
      <c r="F78" s="165">
        <v>2.3929999999999998</v>
      </c>
      <c r="G78" s="165">
        <v>2.5145</v>
      </c>
      <c r="H78" s="165">
        <v>2.5145</v>
      </c>
      <c r="I78" s="165">
        <v>2.4860000000000002</v>
      </c>
      <c r="J78" s="165">
        <v>2.7509999999999999</v>
      </c>
      <c r="K78" s="164">
        <v>50</v>
      </c>
      <c r="L78" s="193" t="s">
        <v>851</v>
      </c>
      <c r="M78" s="166" t="s">
        <v>828</v>
      </c>
      <c r="N78" s="164" t="s">
        <v>93</v>
      </c>
      <c r="O78" s="164" t="s">
        <v>93</v>
      </c>
    </row>
    <row r="79" spans="1:15" s="1" customFormat="1">
      <c r="A79" s="4" t="s">
        <v>571</v>
      </c>
      <c r="B79" s="81">
        <v>16</v>
      </c>
      <c r="C79" s="82" t="s">
        <v>181</v>
      </c>
      <c r="D79" s="84">
        <v>1.228</v>
      </c>
      <c r="E79" s="84">
        <v>1.357</v>
      </c>
      <c r="F79" s="84">
        <v>1.264</v>
      </c>
      <c r="G79" s="84">
        <v>1.2649999999999999</v>
      </c>
      <c r="H79" s="84">
        <v>1.3420000000000001</v>
      </c>
      <c r="I79" s="84">
        <v>0.95899999999999996</v>
      </c>
      <c r="J79" s="84">
        <v>0.95899999999999996</v>
      </c>
      <c r="K79" s="82">
        <v>100</v>
      </c>
      <c r="L79" s="83" t="s">
        <v>171</v>
      </c>
      <c r="M79" s="72" t="s">
        <v>179</v>
      </c>
      <c r="N79" s="82" t="s">
        <v>100</v>
      </c>
      <c r="O79" s="82" t="s">
        <v>98</v>
      </c>
    </row>
    <row r="80" spans="1:15" s="1" customFormat="1">
      <c r="A80" s="4" t="s">
        <v>571</v>
      </c>
      <c r="B80" s="81">
        <v>16</v>
      </c>
      <c r="C80" s="82" t="s">
        <v>182</v>
      </c>
      <c r="D80" s="84">
        <v>5.2409999999999997</v>
      </c>
      <c r="E80" s="84">
        <v>5.3289999999999997</v>
      </c>
      <c r="F80" s="84">
        <v>5.3289999999999997</v>
      </c>
      <c r="G80" s="84">
        <v>5.3289999999999997</v>
      </c>
      <c r="H80" s="84">
        <v>5.3289999999999997</v>
      </c>
      <c r="I80" s="84">
        <v>5.3289999999999997</v>
      </c>
      <c r="J80" s="84">
        <v>5.3289999999999997</v>
      </c>
      <c r="K80" s="82">
        <v>100</v>
      </c>
      <c r="L80" s="83" t="s">
        <v>171</v>
      </c>
      <c r="M80" s="72" t="s">
        <v>179</v>
      </c>
      <c r="N80" s="82" t="s">
        <v>100</v>
      </c>
      <c r="O80" s="82" t="s">
        <v>98</v>
      </c>
    </row>
    <row r="81" spans="1:15" s="1" customFormat="1">
      <c r="A81" s="4" t="s">
        <v>571</v>
      </c>
      <c r="B81" s="81">
        <v>16</v>
      </c>
      <c r="C81" s="82" t="s">
        <v>183</v>
      </c>
      <c r="D81" s="84">
        <v>31.146000000000001</v>
      </c>
      <c r="E81" s="84">
        <v>33.387</v>
      </c>
      <c r="F81" s="84">
        <v>33.387</v>
      </c>
      <c r="G81" s="84">
        <v>33.387</v>
      </c>
      <c r="H81" s="84">
        <v>33.387</v>
      </c>
      <c r="I81" s="84">
        <v>33.387</v>
      </c>
      <c r="J81" s="84">
        <v>33.387</v>
      </c>
      <c r="K81" s="82">
        <v>100</v>
      </c>
      <c r="L81" s="83">
        <v>3</v>
      </c>
      <c r="M81" s="72" t="s">
        <v>184</v>
      </c>
      <c r="N81" s="82" t="s">
        <v>100</v>
      </c>
      <c r="O81" s="82" t="s">
        <v>93</v>
      </c>
    </row>
    <row r="82" spans="1:15" s="1" customFormat="1">
      <c r="A82" s="4" t="s">
        <v>571</v>
      </c>
      <c r="B82" s="81">
        <v>16</v>
      </c>
      <c r="C82" s="82" t="s">
        <v>185</v>
      </c>
      <c r="D82" s="84">
        <v>50.530999999999999</v>
      </c>
      <c r="E82" s="84">
        <v>51.636000000000003</v>
      </c>
      <c r="F82" s="84">
        <v>51.417000000000002</v>
      </c>
      <c r="G82" s="84">
        <v>47.116</v>
      </c>
      <c r="H82" s="84">
        <v>47.072000000000003</v>
      </c>
      <c r="I82" s="84">
        <v>47.072000000000003</v>
      </c>
      <c r="J82" s="84">
        <v>47.072000000000003</v>
      </c>
      <c r="K82" s="82">
        <v>100</v>
      </c>
      <c r="L82" s="83" t="s">
        <v>171</v>
      </c>
      <c r="M82" s="72" t="s">
        <v>179</v>
      </c>
      <c r="N82" s="82" t="s">
        <v>100</v>
      </c>
      <c r="O82" s="82" t="s">
        <v>98</v>
      </c>
    </row>
    <row r="83" spans="1:15" s="1" customFormat="1">
      <c r="A83" s="4" t="s">
        <v>571</v>
      </c>
      <c r="B83" s="81">
        <v>16</v>
      </c>
      <c r="C83" s="82" t="s">
        <v>186</v>
      </c>
      <c r="D83" s="84">
        <v>9.0809999999999995</v>
      </c>
      <c r="E83" s="84">
        <v>9.4420000000000002</v>
      </c>
      <c r="F83" s="84">
        <v>15.869</v>
      </c>
      <c r="G83" s="84">
        <v>9.6310000000000002</v>
      </c>
      <c r="H83" s="84">
        <v>9.6310000000000002</v>
      </c>
      <c r="I83" s="84">
        <v>10.096</v>
      </c>
      <c r="J83" s="84">
        <v>10.096</v>
      </c>
      <c r="K83" s="82">
        <v>100</v>
      </c>
      <c r="L83" s="83" t="s">
        <v>171</v>
      </c>
      <c r="M83" s="72" t="s">
        <v>179</v>
      </c>
      <c r="N83" s="82" t="s">
        <v>100</v>
      </c>
      <c r="O83" s="82" t="s">
        <v>98</v>
      </c>
    </row>
    <row r="84" spans="1:15" s="1" customFormat="1">
      <c r="A84" s="4" t="s">
        <v>571</v>
      </c>
      <c r="B84" s="81" t="s">
        <v>194</v>
      </c>
      <c r="C84" s="82" t="s">
        <v>193</v>
      </c>
      <c r="D84" s="84">
        <v>11.27115</v>
      </c>
      <c r="E84" s="84">
        <v>10.103670000000001</v>
      </c>
      <c r="F84" s="84">
        <v>9.7216200000000015</v>
      </c>
      <c r="G84" s="84">
        <v>9.7119</v>
      </c>
      <c r="H84" s="84">
        <v>9.7075800000000001</v>
      </c>
      <c r="I84" s="84">
        <v>10.313460000000001</v>
      </c>
      <c r="J84" s="84">
        <v>10.308870000000001</v>
      </c>
      <c r="K84" s="82">
        <v>27</v>
      </c>
      <c r="L84" s="83">
        <v>10</v>
      </c>
      <c r="M84" s="72" t="s">
        <v>161</v>
      </c>
      <c r="N84" s="82" t="s">
        <v>92</v>
      </c>
      <c r="O84" s="82" t="s">
        <v>98</v>
      </c>
    </row>
    <row r="85" spans="1:15" s="1" customFormat="1">
      <c r="A85" s="4" t="s">
        <v>571</v>
      </c>
      <c r="B85" s="81" t="s">
        <v>194</v>
      </c>
      <c r="C85" s="82" t="s">
        <v>195</v>
      </c>
      <c r="D85" s="84">
        <v>0.35705999999999999</v>
      </c>
      <c r="E85" s="84">
        <v>0.36443999999999999</v>
      </c>
      <c r="F85" s="84">
        <v>0.36443999999999999</v>
      </c>
      <c r="G85" s="84">
        <v>0.36443999999999999</v>
      </c>
      <c r="H85" s="84">
        <v>0.36443999999999999</v>
      </c>
      <c r="I85" s="84">
        <v>0.36443999999999999</v>
      </c>
      <c r="J85" s="114">
        <v>0.36443999999999999</v>
      </c>
      <c r="K85" s="82">
        <v>6</v>
      </c>
      <c r="L85" s="83">
        <v>10</v>
      </c>
      <c r="M85" s="72" t="s">
        <v>161</v>
      </c>
      <c r="N85" s="82" t="s">
        <v>92</v>
      </c>
      <c r="O85" s="82" t="s">
        <v>98</v>
      </c>
    </row>
    <row r="86" spans="1:15" s="1" customFormat="1">
      <c r="A86" s="4" t="s">
        <v>571</v>
      </c>
      <c r="B86" s="81" t="s">
        <v>194</v>
      </c>
      <c r="C86" s="82" t="s">
        <v>196</v>
      </c>
      <c r="D86" s="84">
        <v>1.3420000000000001</v>
      </c>
      <c r="E86" s="84">
        <v>1.6339999999999999</v>
      </c>
      <c r="F86" s="84">
        <v>2.0680000000000001</v>
      </c>
      <c r="G86" s="84">
        <v>1.94</v>
      </c>
      <c r="H86" s="84">
        <v>1.94</v>
      </c>
      <c r="I86" s="84">
        <v>1.94</v>
      </c>
      <c r="J86" s="114">
        <v>1.94</v>
      </c>
      <c r="K86" s="82">
        <v>100</v>
      </c>
      <c r="L86" s="83">
        <v>10</v>
      </c>
      <c r="M86" s="72" t="s">
        <v>161</v>
      </c>
      <c r="N86" s="82" t="s">
        <v>93</v>
      </c>
      <c r="O86" s="82" t="s">
        <v>93</v>
      </c>
    </row>
    <row r="87" spans="1:15" s="1" customFormat="1">
      <c r="A87" s="4" t="s">
        <v>571</v>
      </c>
      <c r="B87" s="81" t="s">
        <v>194</v>
      </c>
      <c r="C87" s="82" t="s">
        <v>197</v>
      </c>
      <c r="D87" s="84">
        <v>0.80500000000000005</v>
      </c>
      <c r="E87" s="84">
        <v>1.361</v>
      </c>
      <c r="F87" s="84">
        <v>1.361</v>
      </c>
      <c r="G87" s="84">
        <v>1.361</v>
      </c>
      <c r="H87" s="84">
        <v>1.361</v>
      </c>
      <c r="I87" s="84">
        <v>1.361</v>
      </c>
      <c r="J87" s="84">
        <v>1.361</v>
      </c>
      <c r="K87" s="82">
        <v>100</v>
      </c>
      <c r="L87" s="83">
        <v>10</v>
      </c>
      <c r="M87" s="72" t="s">
        <v>161</v>
      </c>
      <c r="N87" s="82" t="s">
        <v>97</v>
      </c>
      <c r="O87" s="82" t="s">
        <v>98</v>
      </c>
    </row>
    <row r="88" spans="1:15" s="1" customFormat="1">
      <c r="A88" s="4" t="s">
        <v>571</v>
      </c>
      <c r="B88" s="81" t="s">
        <v>148</v>
      </c>
      <c r="C88" s="82" t="s">
        <v>149</v>
      </c>
      <c r="D88" s="84">
        <v>7.2</v>
      </c>
      <c r="E88" s="84">
        <v>7.4</v>
      </c>
      <c r="F88" s="84">
        <v>8.1</v>
      </c>
      <c r="G88" s="84">
        <v>7</v>
      </c>
      <c r="H88" s="84">
        <v>6.9</v>
      </c>
      <c r="I88" s="84">
        <v>5.2</v>
      </c>
      <c r="J88" s="84">
        <v>4.9000000000000004</v>
      </c>
      <c r="K88" s="82" t="s">
        <v>148</v>
      </c>
      <c r="L88" s="83">
        <v>9</v>
      </c>
      <c r="M88" s="72" t="s">
        <v>140</v>
      </c>
      <c r="N88" s="82" t="s">
        <v>150</v>
      </c>
      <c r="O88" s="82" t="s">
        <v>93</v>
      </c>
    </row>
    <row r="89" spans="1:15">
      <c r="A89" s="86" t="s">
        <v>573</v>
      </c>
      <c r="B89" s="121" t="s">
        <v>207</v>
      </c>
      <c r="C89" s="121" t="s">
        <v>852</v>
      </c>
      <c r="D89" s="121"/>
      <c r="E89" s="121"/>
      <c r="F89" s="121"/>
      <c r="G89" s="121"/>
      <c r="H89" s="121"/>
      <c r="I89" s="121"/>
      <c r="J89" s="121"/>
      <c r="K89" s="121">
        <v>100</v>
      </c>
      <c r="L89" s="121">
        <v>14</v>
      </c>
      <c r="M89" s="121" t="s">
        <v>205</v>
      </c>
      <c r="N89" s="121" t="s">
        <v>320</v>
      </c>
      <c r="O89" s="86" t="s">
        <v>98</v>
      </c>
    </row>
    <row r="90" spans="1:15">
      <c r="A90" s="4" t="s">
        <v>573</v>
      </c>
      <c r="B90" s="72" t="s">
        <v>207</v>
      </c>
      <c r="C90" s="72" t="s">
        <v>853</v>
      </c>
      <c r="D90" s="72">
        <v>0.53400000000000003</v>
      </c>
      <c r="E90" s="72">
        <v>0.6</v>
      </c>
      <c r="F90" s="72">
        <v>0.6</v>
      </c>
      <c r="G90" s="72">
        <v>0.6</v>
      </c>
      <c r="H90" s="72">
        <v>0.6</v>
      </c>
      <c r="I90" s="72">
        <v>0.6</v>
      </c>
      <c r="J90" s="72">
        <v>0.6</v>
      </c>
      <c r="K90" s="72">
        <v>100</v>
      </c>
      <c r="L90" s="72">
        <v>14</v>
      </c>
      <c r="M90" s="72" t="s">
        <v>205</v>
      </c>
      <c r="N90" s="72" t="s">
        <v>209</v>
      </c>
      <c r="O90" s="4" t="s">
        <v>98</v>
      </c>
    </row>
    <row r="91" spans="1:15">
      <c r="A91" s="4" t="s">
        <v>573</v>
      </c>
      <c r="B91" s="72" t="s">
        <v>207</v>
      </c>
      <c r="C91" s="72" t="s">
        <v>854</v>
      </c>
      <c r="D91" s="72">
        <v>1.9</v>
      </c>
      <c r="E91" s="72">
        <v>2</v>
      </c>
      <c r="F91" s="72">
        <v>2</v>
      </c>
      <c r="G91" s="72">
        <v>2</v>
      </c>
      <c r="H91" s="72">
        <v>2</v>
      </c>
      <c r="I91" s="72">
        <v>2</v>
      </c>
      <c r="J91" s="72">
        <v>2</v>
      </c>
      <c r="K91" s="72">
        <v>100</v>
      </c>
      <c r="L91" s="72">
        <v>14</v>
      </c>
      <c r="M91" s="72" t="s">
        <v>205</v>
      </c>
      <c r="N91" s="72" t="s">
        <v>209</v>
      </c>
      <c r="O91" s="4" t="s">
        <v>98</v>
      </c>
    </row>
    <row r="92" spans="1:15">
      <c r="A92" s="4" t="s">
        <v>573</v>
      </c>
      <c r="B92" s="72" t="s">
        <v>203</v>
      </c>
      <c r="C92" s="72" t="s">
        <v>855</v>
      </c>
      <c r="D92" s="72">
        <v>31.812000000000001</v>
      </c>
      <c r="E92" s="72">
        <v>25.349</v>
      </c>
      <c r="F92" s="72">
        <v>24.128</v>
      </c>
      <c r="G92" s="72">
        <v>24.128</v>
      </c>
      <c r="H92" s="72">
        <v>24.128</v>
      </c>
      <c r="I92" s="72">
        <v>24.128</v>
      </c>
      <c r="J92" s="72">
        <v>24.128</v>
      </c>
      <c r="K92" s="72">
        <v>100</v>
      </c>
      <c r="L92" s="72">
        <v>14</v>
      </c>
      <c r="M92" s="72" t="s">
        <v>205</v>
      </c>
      <c r="N92" s="72" t="s">
        <v>856</v>
      </c>
      <c r="O92" s="4" t="s">
        <v>93</v>
      </c>
    </row>
    <row r="93" spans="1:15">
      <c r="A93" s="4" t="s">
        <v>573</v>
      </c>
      <c r="B93" s="72" t="s">
        <v>203</v>
      </c>
      <c r="C93" s="72" t="s">
        <v>855</v>
      </c>
      <c r="D93" s="72">
        <v>0.37</v>
      </c>
      <c r="E93" s="72"/>
      <c r="F93" s="72"/>
      <c r="G93" s="72"/>
      <c r="H93" s="72"/>
      <c r="I93" s="72"/>
      <c r="J93" s="72"/>
      <c r="K93" s="72">
        <v>100</v>
      </c>
      <c r="L93" s="72">
        <v>14</v>
      </c>
      <c r="M93" s="72" t="s">
        <v>205</v>
      </c>
      <c r="N93" s="72" t="s">
        <v>107</v>
      </c>
      <c r="O93" s="4" t="s">
        <v>93</v>
      </c>
    </row>
    <row r="94" spans="1:15">
      <c r="A94" s="4" t="s">
        <v>573</v>
      </c>
      <c r="B94" s="72" t="s">
        <v>203</v>
      </c>
      <c r="C94" s="72" t="s">
        <v>857</v>
      </c>
      <c r="D94" s="72">
        <v>9.8780000000000001</v>
      </c>
      <c r="E94" s="72">
        <v>6.1070000000000002</v>
      </c>
      <c r="F94" s="72">
        <v>5.1820000000000004</v>
      </c>
      <c r="G94" s="72">
        <v>5.0970000000000004</v>
      </c>
      <c r="H94" s="72">
        <v>5.1230000000000002</v>
      </c>
      <c r="I94" s="72">
        <v>5.22</v>
      </c>
      <c r="J94" s="72">
        <v>5.2220000000000004</v>
      </c>
      <c r="K94" s="72">
        <v>100</v>
      </c>
      <c r="L94" s="72">
        <v>14</v>
      </c>
      <c r="M94" s="72" t="s">
        <v>205</v>
      </c>
      <c r="N94" s="72" t="s">
        <v>121</v>
      </c>
      <c r="O94" s="4" t="s">
        <v>93</v>
      </c>
    </row>
    <row r="95" spans="1:15" s="3" customFormat="1" ht="14.4">
      <c r="A95" s="4" t="s">
        <v>574</v>
      </c>
      <c r="B95" s="72" t="s">
        <v>858</v>
      </c>
      <c r="C95" s="72" t="s">
        <v>859</v>
      </c>
      <c r="D95" s="77">
        <v>3.3000000000000002E-2</v>
      </c>
      <c r="E95" s="77">
        <v>0</v>
      </c>
      <c r="F95" s="77">
        <v>0</v>
      </c>
      <c r="G95" s="77">
        <v>0</v>
      </c>
      <c r="H95" s="77">
        <v>0</v>
      </c>
      <c r="I95" s="77">
        <v>0</v>
      </c>
      <c r="J95" s="77">
        <v>0</v>
      </c>
      <c r="K95" s="78">
        <v>4.7715787418937403E-3</v>
      </c>
      <c r="L95" s="72">
        <v>4</v>
      </c>
      <c r="M95" s="72" t="s">
        <v>860</v>
      </c>
      <c r="N95" s="72" t="s">
        <v>227</v>
      </c>
      <c r="O95" s="72" t="s">
        <v>98</v>
      </c>
    </row>
    <row r="96" spans="1:15" s="3" customFormat="1" ht="14.4">
      <c r="A96" s="4" t="s">
        <v>574</v>
      </c>
      <c r="B96" s="72" t="s">
        <v>858</v>
      </c>
      <c r="C96" s="72" t="s">
        <v>228</v>
      </c>
      <c r="D96" s="77">
        <v>0.09</v>
      </c>
      <c r="E96" s="77">
        <v>0.09</v>
      </c>
      <c r="F96" s="77">
        <v>0.09</v>
      </c>
      <c r="G96" s="77">
        <v>0.09</v>
      </c>
      <c r="H96" s="77">
        <v>0.09</v>
      </c>
      <c r="I96" s="77">
        <v>0.09</v>
      </c>
      <c r="J96" s="77">
        <v>0.09</v>
      </c>
      <c r="K96" s="78">
        <v>1.30133965688011E-2</v>
      </c>
      <c r="L96" s="72">
        <v>4</v>
      </c>
      <c r="M96" s="72" t="s">
        <v>860</v>
      </c>
      <c r="N96" s="72" t="s">
        <v>229</v>
      </c>
      <c r="O96" s="72" t="s">
        <v>98</v>
      </c>
    </row>
    <row r="97" spans="1:15" s="3" customFormat="1" ht="14.4">
      <c r="A97" s="4" t="s">
        <v>574</v>
      </c>
      <c r="B97" s="72" t="s">
        <v>858</v>
      </c>
      <c r="C97" s="72" t="s">
        <v>230</v>
      </c>
      <c r="D97" s="77">
        <v>0.45</v>
      </c>
      <c r="E97" s="77">
        <v>0.45</v>
      </c>
      <c r="F97" s="77">
        <v>0.45</v>
      </c>
      <c r="G97" s="77">
        <v>0.45</v>
      </c>
      <c r="H97" s="77">
        <v>0.45</v>
      </c>
      <c r="I97" s="77">
        <v>0.45</v>
      </c>
      <c r="J97" s="77">
        <v>0.45</v>
      </c>
      <c r="K97" s="78">
        <v>6.5066982844005528E-2</v>
      </c>
      <c r="L97" s="72">
        <v>4</v>
      </c>
      <c r="M97" s="72" t="s">
        <v>860</v>
      </c>
      <c r="N97" s="72" t="s">
        <v>231</v>
      </c>
      <c r="O97" s="72" t="s">
        <v>98</v>
      </c>
    </row>
    <row r="98" spans="1:15" s="3" customFormat="1" ht="14.4">
      <c r="A98" s="4" t="s">
        <v>574</v>
      </c>
      <c r="B98" s="72" t="s">
        <v>858</v>
      </c>
      <c r="C98" s="72" t="s">
        <v>861</v>
      </c>
      <c r="D98" s="77">
        <v>0.36299999999999999</v>
      </c>
      <c r="E98" s="77">
        <v>0.36299999999999999</v>
      </c>
      <c r="F98" s="77">
        <v>0.36299999999999999</v>
      </c>
      <c r="G98" s="77">
        <v>0.36299999999999999</v>
      </c>
      <c r="H98" s="116">
        <v>0.36299999999999999</v>
      </c>
      <c r="I98" s="116">
        <v>0.36299999999999999</v>
      </c>
      <c r="J98" s="116">
        <v>0.36299999999999999</v>
      </c>
      <c r="K98" s="78">
        <v>5.2487366160831113E-2</v>
      </c>
      <c r="L98" s="72">
        <v>4</v>
      </c>
      <c r="M98" s="72" t="s">
        <v>860</v>
      </c>
      <c r="N98" s="72" t="s">
        <v>862</v>
      </c>
      <c r="O98" s="72" t="s">
        <v>98</v>
      </c>
    </row>
    <row r="99" spans="1:15" s="3" customFormat="1" ht="14.4">
      <c r="A99" s="4" t="s">
        <v>574</v>
      </c>
      <c r="B99" s="72" t="s">
        <v>858</v>
      </c>
      <c r="C99" s="72" t="s">
        <v>237</v>
      </c>
      <c r="D99" s="77">
        <v>0.13</v>
      </c>
      <c r="E99" s="77">
        <v>0.06</v>
      </c>
      <c r="F99" s="77">
        <v>2.3E-2</v>
      </c>
      <c r="G99" s="77">
        <v>0</v>
      </c>
      <c r="H99" s="77">
        <v>0</v>
      </c>
      <c r="I99" s="77">
        <v>0</v>
      </c>
      <c r="J99" s="77">
        <v>0</v>
      </c>
      <c r="K99" s="78">
        <v>1.8797128377157149E-2</v>
      </c>
      <c r="L99" s="72">
        <v>4</v>
      </c>
      <c r="M99" s="72" t="s">
        <v>860</v>
      </c>
      <c r="N99" s="72" t="s">
        <v>237</v>
      </c>
      <c r="O99" s="72" t="s">
        <v>98</v>
      </c>
    </row>
    <row r="100" spans="1:15" s="3" customFormat="1" ht="14.4">
      <c r="A100" s="4" t="s">
        <v>574</v>
      </c>
      <c r="B100" s="72" t="s">
        <v>858</v>
      </c>
      <c r="C100" s="72" t="s">
        <v>863</v>
      </c>
      <c r="D100" s="77">
        <v>0.45</v>
      </c>
      <c r="E100" s="77">
        <v>0.45</v>
      </c>
      <c r="F100" s="77">
        <v>0.45</v>
      </c>
      <c r="G100" s="77">
        <v>0.45</v>
      </c>
      <c r="H100" s="77">
        <v>0.6</v>
      </c>
      <c r="I100" s="77">
        <v>0.2</v>
      </c>
      <c r="J100" s="77">
        <v>0.2</v>
      </c>
      <c r="K100" s="78">
        <v>6.5066982844005528E-2</v>
      </c>
      <c r="L100" s="72">
        <v>4</v>
      </c>
      <c r="M100" s="72" t="s">
        <v>860</v>
      </c>
      <c r="N100" s="72" t="s">
        <v>239</v>
      </c>
      <c r="O100" s="72" t="s">
        <v>98</v>
      </c>
    </row>
    <row r="101" spans="1:15" s="3" customFormat="1" ht="14.4">
      <c r="A101" s="4" t="s">
        <v>574</v>
      </c>
      <c r="B101" s="72" t="s">
        <v>858</v>
      </c>
      <c r="C101" s="72" t="s">
        <v>864</v>
      </c>
      <c r="D101" s="77">
        <v>0.7</v>
      </c>
      <c r="E101" s="77">
        <v>0.69</v>
      </c>
      <c r="F101" s="77">
        <v>0.67500000000000004</v>
      </c>
      <c r="G101" s="77">
        <v>0.7</v>
      </c>
      <c r="H101" s="77">
        <v>0</v>
      </c>
      <c r="I101" s="77">
        <v>0</v>
      </c>
      <c r="J101" s="77">
        <v>0</v>
      </c>
      <c r="K101" s="78">
        <v>0.10121530664623081</v>
      </c>
      <c r="L101" s="72">
        <v>4</v>
      </c>
      <c r="M101" s="72" t="s">
        <v>860</v>
      </c>
      <c r="N101" s="72" t="s">
        <v>241</v>
      </c>
      <c r="O101" s="72" t="s">
        <v>98</v>
      </c>
    </row>
    <row r="102" spans="1:15" s="3" customFormat="1" ht="14.4">
      <c r="A102" s="4" t="s">
        <v>574</v>
      </c>
      <c r="B102" s="72" t="s">
        <v>858</v>
      </c>
      <c r="C102" s="72" t="s">
        <v>242</v>
      </c>
      <c r="D102" s="77">
        <v>1.1639999999999999</v>
      </c>
      <c r="E102" s="77">
        <v>0.96399999999999997</v>
      </c>
      <c r="F102" s="77">
        <v>1.1659999999999999</v>
      </c>
      <c r="G102" s="77">
        <v>1.1659999999999999</v>
      </c>
      <c r="H102" s="77">
        <v>0</v>
      </c>
      <c r="I102" s="77">
        <v>0</v>
      </c>
      <c r="J102" s="77">
        <v>0</v>
      </c>
      <c r="K102" s="78">
        <v>0.16859578221357874</v>
      </c>
      <c r="L102" s="72">
        <v>4</v>
      </c>
      <c r="M102" s="72" t="s">
        <v>860</v>
      </c>
      <c r="N102" s="72" t="s">
        <v>243</v>
      </c>
      <c r="O102" s="72" t="s">
        <v>98</v>
      </c>
    </row>
    <row r="103" spans="1:15" s="3" customFormat="1" ht="14.4">
      <c r="A103" s="4" t="s">
        <v>574</v>
      </c>
      <c r="B103" s="72" t="s">
        <v>865</v>
      </c>
      <c r="C103" s="72" t="s">
        <v>245</v>
      </c>
      <c r="D103" s="77">
        <v>0.35</v>
      </c>
      <c r="E103" s="77">
        <v>0.35</v>
      </c>
      <c r="F103" s="77">
        <v>0.35</v>
      </c>
      <c r="G103" s="77">
        <v>0.35</v>
      </c>
      <c r="H103" s="77">
        <v>0</v>
      </c>
      <c r="I103" s="77">
        <v>0</v>
      </c>
      <c r="J103" s="77">
        <v>0</v>
      </c>
      <c r="K103" s="78">
        <v>0.13542218834517952</v>
      </c>
      <c r="L103" s="72">
        <v>4</v>
      </c>
      <c r="M103" s="72" t="s">
        <v>860</v>
      </c>
      <c r="N103" s="72" t="s">
        <v>243</v>
      </c>
      <c r="O103" s="72" t="s">
        <v>98</v>
      </c>
    </row>
    <row r="104" spans="1:15" s="3" customFormat="1" ht="14.4">
      <c r="A104" s="4" t="s">
        <v>574</v>
      </c>
      <c r="B104" s="72" t="s">
        <v>866</v>
      </c>
      <c r="C104" s="72" t="s">
        <v>257</v>
      </c>
      <c r="D104" s="77">
        <v>30.574999999999999</v>
      </c>
      <c r="E104" s="77">
        <v>31.266999999999999</v>
      </c>
      <c r="F104" s="77">
        <v>27.088000000000001</v>
      </c>
      <c r="G104" s="77">
        <v>27.585000000000001</v>
      </c>
      <c r="H104" s="77">
        <v>25.773</v>
      </c>
      <c r="I104" s="77">
        <v>25.776</v>
      </c>
      <c r="J104" s="77">
        <v>25.776</v>
      </c>
      <c r="K104" s="78">
        <v>30.2</v>
      </c>
      <c r="L104" s="72">
        <v>2</v>
      </c>
      <c r="M104" s="72" t="s">
        <v>158</v>
      </c>
      <c r="N104" s="72" t="s">
        <v>258</v>
      </c>
      <c r="O104" s="72" t="s">
        <v>98</v>
      </c>
    </row>
    <row r="105" spans="1:15" s="3" customFormat="1" ht="14.4">
      <c r="A105" s="4" t="s">
        <v>574</v>
      </c>
      <c r="B105" s="72" t="s">
        <v>867</v>
      </c>
      <c r="C105" s="72" t="s">
        <v>644</v>
      </c>
      <c r="D105" s="77">
        <v>5.008</v>
      </c>
      <c r="E105" s="77">
        <v>8.1050210000000007</v>
      </c>
      <c r="F105" s="77">
        <v>29.852</v>
      </c>
      <c r="G105" s="77">
        <v>28.635999999999999</v>
      </c>
      <c r="H105" s="77">
        <v>28.861000000000001</v>
      </c>
      <c r="I105" s="77">
        <v>28.949000000000002</v>
      </c>
      <c r="J105" s="77">
        <v>28.023</v>
      </c>
      <c r="K105" s="78">
        <v>70.900000000000006</v>
      </c>
      <c r="L105" s="72">
        <v>1</v>
      </c>
      <c r="M105" s="72" t="s">
        <v>177</v>
      </c>
      <c r="N105" s="72" t="s">
        <v>256</v>
      </c>
      <c r="O105" s="72" t="s">
        <v>98</v>
      </c>
    </row>
    <row r="106" spans="1:15" s="3" customFormat="1" ht="14.4">
      <c r="A106" s="4" t="s">
        <v>574</v>
      </c>
      <c r="B106" s="72" t="s">
        <v>868</v>
      </c>
      <c r="C106" s="72" t="s">
        <v>869</v>
      </c>
      <c r="D106" s="77">
        <v>6.1180000000000003</v>
      </c>
      <c r="E106" s="77">
        <v>6.7380000000000004</v>
      </c>
      <c r="F106" s="77">
        <v>2.488</v>
      </c>
      <c r="G106" s="77">
        <v>2.4260000000000002</v>
      </c>
      <c r="H106" s="77">
        <v>2.4009999999999998</v>
      </c>
      <c r="I106" s="77">
        <v>2.4009999999999998</v>
      </c>
      <c r="J106" s="77">
        <v>2.4009999999999998</v>
      </c>
      <c r="K106" s="78">
        <v>5.5</v>
      </c>
      <c r="L106" s="72">
        <v>2</v>
      </c>
      <c r="M106" s="72" t="s">
        <v>158</v>
      </c>
      <c r="N106" s="72" t="s">
        <v>258</v>
      </c>
      <c r="O106" s="72" t="s">
        <v>98</v>
      </c>
    </row>
    <row r="107" spans="1:15" s="3" customFormat="1" ht="14.4">
      <c r="A107" s="4" t="s">
        <v>574</v>
      </c>
      <c r="B107" s="72" t="s">
        <v>870</v>
      </c>
      <c r="C107" s="72" t="s">
        <v>871</v>
      </c>
      <c r="D107" s="77">
        <v>0.4</v>
      </c>
      <c r="E107" s="77">
        <v>0.4</v>
      </c>
      <c r="F107" s="77">
        <v>0.4</v>
      </c>
      <c r="G107" s="77">
        <v>0.4</v>
      </c>
      <c r="H107" s="77">
        <v>0.4</v>
      </c>
      <c r="I107" s="77">
        <v>0.4</v>
      </c>
      <c r="J107" s="77">
        <v>0.4</v>
      </c>
      <c r="K107" s="78">
        <v>0.9</v>
      </c>
      <c r="L107" s="72">
        <v>4</v>
      </c>
      <c r="M107" s="72" t="s">
        <v>860</v>
      </c>
      <c r="N107" s="72" t="s">
        <v>722</v>
      </c>
      <c r="O107" s="72" t="s">
        <v>98</v>
      </c>
    </row>
    <row r="108" spans="1:15" s="3" customFormat="1" ht="14.4">
      <c r="A108" s="4" t="s">
        <v>574</v>
      </c>
      <c r="B108" s="72" t="s">
        <v>872</v>
      </c>
      <c r="C108" s="72" t="s">
        <v>873</v>
      </c>
      <c r="D108" s="77">
        <v>0.77700000000000002</v>
      </c>
      <c r="E108" s="77">
        <v>1.7</v>
      </c>
      <c r="F108" s="77">
        <v>1.4590000000000001</v>
      </c>
      <c r="G108" s="77">
        <v>1.679</v>
      </c>
      <c r="H108" s="77">
        <v>1.6839999999999999</v>
      </c>
      <c r="I108" s="77">
        <v>1.6910000000000001</v>
      </c>
      <c r="J108" s="77">
        <v>1.6919999999999999</v>
      </c>
      <c r="K108" s="78">
        <v>3.2</v>
      </c>
      <c r="L108" s="72">
        <v>4</v>
      </c>
      <c r="M108" s="72" t="s">
        <v>860</v>
      </c>
      <c r="N108" s="72" t="s">
        <v>874</v>
      </c>
      <c r="O108" s="72" t="s">
        <v>98</v>
      </c>
    </row>
    <row r="109" spans="1:15" s="3" customFormat="1" ht="14.4">
      <c r="A109" s="4" t="s">
        <v>574</v>
      </c>
      <c r="B109" s="72" t="s">
        <v>221</v>
      </c>
      <c r="C109" s="72" t="s">
        <v>875</v>
      </c>
      <c r="D109" s="77">
        <v>4.0339999999999998</v>
      </c>
      <c r="E109" s="77">
        <v>4.1769999999999996</v>
      </c>
      <c r="F109" s="77">
        <v>4.1310000000000002</v>
      </c>
      <c r="G109" s="77">
        <v>4.1310000000000002</v>
      </c>
      <c r="H109" s="77">
        <v>4.1310000000000002</v>
      </c>
      <c r="I109" s="77">
        <v>4.1319999999999997</v>
      </c>
      <c r="J109" s="77">
        <v>4.3650000000000002</v>
      </c>
      <c r="K109" s="78">
        <v>25.178915925073124</v>
      </c>
      <c r="L109" s="72">
        <v>4</v>
      </c>
      <c r="M109" s="72" t="s">
        <v>860</v>
      </c>
      <c r="N109" s="72" t="s">
        <v>224</v>
      </c>
      <c r="O109" s="72" t="s">
        <v>98</v>
      </c>
    </row>
    <row r="110" spans="1:15" s="3" customFormat="1" ht="14.4">
      <c r="A110" s="4" t="s">
        <v>574</v>
      </c>
      <c r="B110" s="72" t="s">
        <v>876</v>
      </c>
      <c r="C110" s="72" t="s">
        <v>877</v>
      </c>
      <c r="D110" s="77">
        <v>0.35199999999999998</v>
      </c>
      <c r="E110" s="77">
        <v>0.45700000000000002</v>
      </c>
      <c r="F110" s="77">
        <v>0.46100000000000002</v>
      </c>
      <c r="G110" s="77">
        <v>0.46300000000000002</v>
      </c>
      <c r="H110" s="77">
        <v>0.46300000000000002</v>
      </c>
      <c r="I110" s="77">
        <v>0.46300000000000002</v>
      </c>
      <c r="J110" s="77">
        <v>0.46300000000000002</v>
      </c>
      <c r="K110" s="78">
        <v>1.6</v>
      </c>
      <c r="L110" s="72">
        <v>2</v>
      </c>
      <c r="M110" s="72" t="s">
        <v>158</v>
      </c>
      <c r="N110" s="72" t="s">
        <v>273</v>
      </c>
      <c r="O110" s="72" t="s">
        <v>98</v>
      </c>
    </row>
    <row r="111" spans="1:15" s="3" customFormat="1" ht="14.4">
      <c r="A111" s="4" t="s">
        <v>574</v>
      </c>
      <c r="B111" s="72" t="s">
        <v>878</v>
      </c>
      <c r="C111" s="72" t="s">
        <v>879</v>
      </c>
      <c r="D111" s="77">
        <v>1</v>
      </c>
      <c r="E111" s="77">
        <v>0.26200000000000001</v>
      </c>
      <c r="F111" s="77">
        <v>0.39500000000000002</v>
      </c>
      <c r="G111" s="77">
        <v>0.39500000000000002</v>
      </c>
      <c r="H111" s="77">
        <v>0.377</v>
      </c>
      <c r="I111" s="77">
        <v>0.377</v>
      </c>
      <c r="J111" s="77">
        <v>0.377</v>
      </c>
      <c r="K111" s="78">
        <v>0.9</v>
      </c>
      <c r="L111" s="72">
        <v>4</v>
      </c>
      <c r="M111" s="72" t="s">
        <v>860</v>
      </c>
      <c r="N111" s="72" t="s">
        <v>152</v>
      </c>
      <c r="O111" s="72" t="s">
        <v>98</v>
      </c>
    </row>
    <row r="112" spans="1:15" s="3" customFormat="1" ht="14.4">
      <c r="A112" s="4" t="s">
        <v>574</v>
      </c>
      <c r="B112" s="91" t="s">
        <v>880</v>
      </c>
      <c r="C112" s="72" t="s">
        <v>881</v>
      </c>
      <c r="D112" s="77">
        <v>0.6</v>
      </c>
      <c r="E112" s="77">
        <v>0.6</v>
      </c>
      <c r="F112" s="77">
        <v>0.6</v>
      </c>
      <c r="G112" s="77">
        <v>0.6</v>
      </c>
      <c r="H112" s="77">
        <v>0.6</v>
      </c>
      <c r="I112" s="77">
        <v>0.6</v>
      </c>
      <c r="J112" s="77">
        <v>0.6</v>
      </c>
      <c r="K112" s="78">
        <v>1.3</v>
      </c>
      <c r="L112" s="72">
        <v>2</v>
      </c>
      <c r="M112" s="72" t="s">
        <v>158</v>
      </c>
      <c r="N112" s="72" t="s">
        <v>274</v>
      </c>
      <c r="O112" s="72" t="s">
        <v>98</v>
      </c>
    </row>
    <row r="113" spans="1:15" s="3" customFormat="1" ht="14.4">
      <c r="A113" s="4" t="s">
        <v>574</v>
      </c>
      <c r="B113" s="72" t="s">
        <v>220</v>
      </c>
      <c r="C113" s="72" t="s">
        <v>882</v>
      </c>
      <c r="D113" s="77">
        <v>3.6999999999999998E-2</v>
      </c>
      <c r="E113" s="77">
        <v>3.9E-2</v>
      </c>
      <c r="F113" s="77">
        <v>0.04</v>
      </c>
      <c r="G113" s="77">
        <v>0.04</v>
      </c>
      <c r="H113" s="77">
        <v>0.04</v>
      </c>
      <c r="I113" s="77">
        <v>0.04</v>
      </c>
      <c r="J113" s="77">
        <v>0.04</v>
      </c>
      <c r="K113" s="78">
        <v>0.14031978139655107</v>
      </c>
      <c r="L113" s="72">
        <v>4</v>
      </c>
      <c r="M113" s="72" t="s">
        <v>860</v>
      </c>
      <c r="N113" s="72" t="s">
        <v>883</v>
      </c>
      <c r="O113" s="72" t="s">
        <v>98</v>
      </c>
    </row>
    <row r="114" spans="1:15" s="3" customFormat="1" ht="14.4">
      <c r="A114" s="4" t="s">
        <v>574</v>
      </c>
      <c r="B114" s="85" t="s">
        <v>872</v>
      </c>
      <c r="C114" s="72" t="s">
        <v>884</v>
      </c>
      <c r="D114" s="77">
        <v>0.1</v>
      </c>
      <c r="E114" s="77">
        <v>0.1</v>
      </c>
      <c r="F114" s="77">
        <v>0.1</v>
      </c>
      <c r="G114" s="77">
        <v>0.1</v>
      </c>
      <c r="H114" s="77">
        <v>0.1</v>
      </c>
      <c r="I114" s="77">
        <v>0.1</v>
      </c>
      <c r="J114" s="77">
        <v>0</v>
      </c>
      <c r="K114" s="78">
        <v>0.17560804284836246</v>
      </c>
      <c r="L114" s="72">
        <v>4</v>
      </c>
      <c r="M114" s="72" t="s">
        <v>860</v>
      </c>
      <c r="N114" s="72" t="s">
        <v>722</v>
      </c>
      <c r="O114" s="72" t="s">
        <v>98</v>
      </c>
    </row>
    <row r="115" spans="1:15" s="3" customFormat="1" ht="14.4">
      <c r="A115" s="4" t="s">
        <v>574</v>
      </c>
      <c r="B115" s="91" t="s">
        <v>885</v>
      </c>
      <c r="C115" s="72" t="s">
        <v>886</v>
      </c>
      <c r="D115" s="77">
        <v>0</v>
      </c>
      <c r="E115" s="77">
        <v>0</v>
      </c>
      <c r="F115" s="77">
        <v>0</v>
      </c>
      <c r="G115" s="77">
        <v>0</v>
      </c>
      <c r="H115" s="77">
        <v>0</v>
      </c>
      <c r="I115" s="77">
        <v>0</v>
      </c>
      <c r="J115" s="77">
        <v>0</v>
      </c>
      <c r="K115" s="78">
        <v>0</v>
      </c>
      <c r="L115" s="72">
        <v>4</v>
      </c>
      <c r="M115" s="72" t="s">
        <v>860</v>
      </c>
      <c r="N115" s="72" t="s">
        <v>107</v>
      </c>
      <c r="O115" s="72" t="s">
        <v>98</v>
      </c>
    </row>
    <row r="116" spans="1:15" s="3" customFormat="1" ht="14.4">
      <c r="A116" s="4" t="s">
        <v>574</v>
      </c>
      <c r="B116" s="72" t="s">
        <v>858</v>
      </c>
      <c r="C116" s="72" t="s">
        <v>887</v>
      </c>
      <c r="D116" s="77">
        <v>0.22500000000000001</v>
      </c>
      <c r="E116" s="77">
        <v>0</v>
      </c>
      <c r="F116" s="77">
        <v>0</v>
      </c>
      <c r="G116" s="77">
        <v>0</v>
      </c>
      <c r="H116" s="77">
        <v>0</v>
      </c>
      <c r="I116" s="77">
        <v>0</v>
      </c>
      <c r="J116" s="77">
        <v>0</v>
      </c>
      <c r="K116" s="78">
        <v>3.2533491422002764E-2</v>
      </c>
      <c r="L116" s="72">
        <v>4</v>
      </c>
      <c r="M116" s="72" t="s">
        <v>860</v>
      </c>
      <c r="N116" s="72" t="s">
        <v>97</v>
      </c>
      <c r="O116" s="72" t="s">
        <v>93</v>
      </c>
    </row>
    <row r="117" spans="1:15" s="3" customFormat="1" ht="14.4">
      <c r="A117" s="4" t="s">
        <v>574</v>
      </c>
      <c r="B117" s="72" t="s">
        <v>858</v>
      </c>
      <c r="C117" s="72" t="s">
        <v>888</v>
      </c>
      <c r="D117" s="77">
        <v>0</v>
      </c>
      <c r="E117" s="77">
        <v>1.3</v>
      </c>
      <c r="F117" s="77">
        <v>1.5</v>
      </c>
      <c r="G117" s="77">
        <v>1.5</v>
      </c>
      <c r="H117" s="77">
        <v>1.5</v>
      </c>
      <c r="I117" s="77">
        <v>1.5</v>
      </c>
      <c r="J117" s="77">
        <v>1.5</v>
      </c>
      <c r="K117" s="78">
        <v>0.2</v>
      </c>
      <c r="L117" s="72">
        <v>4</v>
      </c>
      <c r="M117" s="72" t="s">
        <v>860</v>
      </c>
      <c r="N117" s="72" t="s">
        <v>227</v>
      </c>
      <c r="O117" s="72" t="s">
        <v>93</v>
      </c>
    </row>
    <row r="118" spans="1:15" s="3" customFormat="1" ht="14.4">
      <c r="A118" s="4" t="s">
        <v>574</v>
      </c>
      <c r="B118" s="72" t="s">
        <v>889</v>
      </c>
      <c r="C118" s="72" t="s">
        <v>890</v>
      </c>
      <c r="D118" s="77">
        <v>7.9180000000000001</v>
      </c>
      <c r="E118" s="77">
        <v>16.353000000000002</v>
      </c>
      <c r="F118" s="77">
        <v>15.63</v>
      </c>
      <c r="G118" s="77">
        <v>12.268000000000001</v>
      </c>
      <c r="H118" s="77">
        <v>12.189</v>
      </c>
      <c r="I118" s="77">
        <v>11.855</v>
      </c>
      <c r="J118" s="77">
        <v>9.84</v>
      </c>
      <c r="K118" s="78">
        <v>2.4</v>
      </c>
      <c r="L118" s="72">
        <v>4</v>
      </c>
      <c r="M118" s="72" t="s">
        <v>860</v>
      </c>
      <c r="N118" s="72" t="s">
        <v>891</v>
      </c>
      <c r="O118" s="72" t="s">
        <v>93</v>
      </c>
    </row>
    <row r="119" spans="1:15" s="3" customFormat="1" ht="14.4">
      <c r="A119" s="4" t="s">
        <v>574</v>
      </c>
      <c r="B119" s="72" t="s">
        <v>892</v>
      </c>
      <c r="C119" s="72" t="s">
        <v>893</v>
      </c>
      <c r="D119" s="77">
        <v>2.3010000000000002</v>
      </c>
      <c r="E119" s="77">
        <v>3.3780000000000001</v>
      </c>
      <c r="F119" s="77">
        <v>3.1890000000000001</v>
      </c>
      <c r="G119" s="77">
        <v>1.137</v>
      </c>
      <c r="H119" s="77">
        <v>1.133</v>
      </c>
      <c r="I119" s="77">
        <v>1.133</v>
      </c>
      <c r="J119" s="77">
        <v>1.133</v>
      </c>
      <c r="K119" s="78">
        <v>2.4</v>
      </c>
      <c r="L119" s="72">
        <v>4</v>
      </c>
      <c r="M119" s="72" t="s">
        <v>860</v>
      </c>
      <c r="N119" s="72" t="s">
        <v>247</v>
      </c>
      <c r="O119" s="72" t="s">
        <v>93</v>
      </c>
    </row>
    <row r="120" spans="1:15" s="3" customFormat="1" ht="14.4">
      <c r="A120" s="4" t="s">
        <v>574</v>
      </c>
      <c r="B120" s="72" t="s">
        <v>894</v>
      </c>
      <c r="C120" s="72" t="s">
        <v>895</v>
      </c>
      <c r="D120" s="77">
        <v>1.288</v>
      </c>
      <c r="E120" s="77">
        <v>3.5419999999999998</v>
      </c>
      <c r="F120" s="77">
        <v>2.0310000000000001</v>
      </c>
      <c r="G120" s="77">
        <v>2.39</v>
      </c>
      <c r="H120" s="77">
        <v>2.1139999999999999</v>
      </c>
      <c r="I120" s="77">
        <v>1.9370000000000001</v>
      </c>
      <c r="J120" s="77">
        <v>1.651</v>
      </c>
      <c r="K120" s="78">
        <v>19</v>
      </c>
      <c r="L120" s="72">
        <v>4</v>
      </c>
      <c r="M120" s="72" t="s">
        <v>860</v>
      </c>
      <c r="N120" s="72" t="s">
        <v>93</v>
      </c>
      <c r="O120" s="72" t="s">
        <v>93</v>
      </c>
    </row>
    <row r="121" spans="1:15">
      <c r="A121" s="4" t="s">
        <v>574</v>
      </c>
      <c r="B121" s="4" t="s">
        <v>896</v>
      </c>
      <c r="C121" s="4" t="s">
        <v>897</v>
      </c>
      <c r="D121" s="5">
        <v>0.53800000000000003</v>
      </c>
      <c r="E121" s="4">
        <v>1.776</v>
      </c>
      <c r="F121" s="4">
        <v>1.774</v>
      </c>
      <c r="G121" s="5">
        <v>1.9570000000000001</v>
      </c>
      <c r="H121" s="5">
        <v>1.82</v>
      </c>
      <c r="I121" s="5">
        <v>1.3819999999999999</v>
      </c>
      <c r="J121" s="4">
        <v>0.83599999999999997</v>
      </c>
      <c r="K121" s="78">
        <v>38</v>
      </c>
      <c r="L121" s="4">
        <v>4</v>
      </c>
      <c r="M121" s="72" t="s">
        <v>860</v>
      </c>
      <c r="N121" s="72" t="s">
        <v>93</v>
      </c>
      <c r="O121" s="72" t="s">
        <v>93</v>
      </c>
    </row>
    <row r="122" spans="1:15">
      <c r="A122" s="4" t="s">
        <v>574</v>
      </c>
      <c r="B122" s="4" t="s">
        <v>898</v>
      </c>
      <c r="C122" s="4" t="s">
        <v>899</v>
      </c>
      <c r="D122" s="5">
        <v>3.0979999999999999</v>
      </c>
      <c r="E122" s="4">
        <v>7.8410000000000002</v>
      </c>
      <c r="F122" s="4">
        <v>3.5979999999999999</v>
      </c>
      <c r="G122" s="4">
        <v>2.7029999999999998</v>
      </c>
      <c r="H122" s="5">
        <v>4.8079999999999998</v>
      </c>
      <c r="I122" s="5">
        <v>4.2190000000000003</v>
      </c>
      <c r="J122" s="5">
        <v>0</v>
      </c>
      <c r="K122" s="78">
        <v>3.5</v>
      </c>
      <c r="L122" s="4">
        <v>4</v>
      </c>
      <c r="M122" s="72" t="s">
        <v>860</v>
      </c>
      <c r="N122" s="72" t="s">
        <v>247</v>
      </c>
      <c r="O122" s="72" t="s">
        <v>93</v>
      </c>
    </row>
    <row r="123" spans="1:15">
      <c r="A123" s="4" t="s">
        <v>576</v>
      </c>
      <c r="B123" s="7" t="s">
        <v>900</v>
      </c>
      <c r="C123" s="4" t="s">
        <v>280</v>
      </c>
      <c r="D123" s="5">
        <v>1.681</v>
      </c>
      <c r="E123" s="5">
        <v>1.9259999999999999</v>
      </c>
      <c r="F123" s="5">
        <v>2.1219999999999999</v>
      </c>
      <c r="G123" s="5">
        <v>2.0539999999999998</v>
      </c>
      <c r="H123" s="5">
        <v>2.0979999999999999</v>
      </c>
      <c r="I123" s="5">
        <v>1.5349999999999999</v>
      </c>
      <c r="J123" s="5">
        <v>1.5349999999999999</v>
      </c>
      <c r="K123" s="4">
        <v>100</v>
      </c>
      <c r="L123" s="4">
        <v>6</v>
      </c>
      <c r="M123" s="4" t="s">
        <v>189</v>
      </c>
      <c r="N123" s="4" t="s">
        <v>281</v>
      </c>
      <c r="O123" s="4" t="s">
        <v>93</v>
      </c>
    </row>
    <row r="124" spans="1:15" ht="15" customHeight="1">
      <c r="A124" s="4" t="s">
        <v>576</v>
      </c>
      <c r="B124" s="7" t="s">
        <v>900</v>
      </c>
      <c r="C124" s="4" t="s">
        <v>282</v>
      </c>
      <c r="D124" s="5">
        <v>1.5056</v>
      </c>
      <c r="E124" s="5">
        <v>1.1552</v>
      </c>
      <c r="F124" s="5">
        <v>0.88160000000000005</v>
      </c>
      <c r="G124" s="5">
        <v>0.85260000000000014</v>
      </c>
      <c r="H124" s="5">
        <v>0.90680000000000005</v>
      </c>
      <c r="I124" s="5">
        <v>0.88880000000000003</v>
      </c>
      <c r="J124" s="5">
        <v>0.90100000000000013</v>
      </c>
      <c r="K124" s="4">
        <v>20</v>
      </c>
      <c r="L124" s="4">
        <v>4</v>
      </c>
      <c r="M124" s="72" t="s">
        <v>860</v>
      </c>
      <c r="N124" s="4" t="s">
        <v>283</v>
      </c>
      <c r="O124" s="4" t="s">
        <v>98</v>
      </c>
    </row>
    <row r="125" spans="1:15" ht="15" customHeight="1">
      <c r="A125" s="4" t="s">
        <v>576</v>
      </c>
      <c r="B125" s="7" t="s">
        <v>900</v>
      </c>
      <c r="C125" s="4" t="s">
        <v>901</v>
      </c>
      <c r="D125" s="5">
        <v>1.3176499999999998</v>
      </c>
      <c r="E125" s="5">
        <v>3.7344499999999998</v>
      </c>
      <c r="F125" s="5">
        <v>5.4539499999999999</v>
      </c>
      <c r="G125" s="5">
        <v>7.4489499999999991</v>
      </c>
      <c r="H125" s="5">
        <v>7.4726999999999988</v>
      </c>
      <c r="I125" s="5">
        <v>7.8051999999999992</v>
      </c>
      <c r="J125" s="5">
        <v>7.9144499999999987</v>
      </c>
      <c r="K125" s="159">
        <v>95</v>
      </c>
      <c r="L125" s="4">
        <v>14</v>
      </c>
      <c r="M125" s="72" t="s">
        <v>205</v>
      </c>
      <c r="N125" s="4" t="s">
        <v>286</v>
      </c>
      <c r="O125" s="4" t="s">
        <v>93</v>
      </c>
    </row>
    <row r="126" spans="1:15">
      <c r="A126" s="4" t="s">
        <v>576</v>
      </c>
      <c r="B126" s="7" t="s">
        <v>902</v>
      </c>
      <c r="C126" s="4" t="s">
        <v>287</v>
      </c>
      <c r="D126" s="5">
        <v>2.6764999999999999</v>
      </c>
      <c r="E126" s="5">
        <v>4.0365000000000002</v>
      </c>
      <c r="F126" s="5">
        <v>2.7865000000000002</v>
      </c>
      <c r="G126" s="5">
        <v>2.7865000000000002</v>
      </c>
      <c r="H126" s="5">
        <v>2.7865000000000002</v>
      </c>
      <c r="I126" s="5">
        <v>2.7865000000000002</v>
      </c>
      <c r="J126" s="5">
        <v>2.7865000000000002</v>
      </c>
      <c r="K126" s="4">
        <v>25</v>
      </c>
      <c r="L126" s="4">
        <v>6</v>
      </c>
      <c r="M126" s="4" t="s">
        <v>189</v>
      </c>
      <c r="N126" s="4" t="s">
        <v>97</v>
      </c>
      <c r="O126" s="4" t="s">
        <v>98</v>
      </c>
    </row>
    <row r="127" spans="1:15">
      <c r="A127" s="4" t="s">
        <v>576</v>
      </c>
      <c r="B127" s="7" t="s">
        <v>902</v>
      </c>
      <c r="C127" s="4" t="s">
        <v>288</v>
      </c>
      <c r="D127" s="5">
        <v>5.3649050000000003</v>
      </c>
      <c r="E127" s="5">
        <v>5.5674500000000009</v>
      </c>
      <c r="F127" s="5">
        <v>5.5496350000000003</v>
      </c>
      <c r="G127" s="5">
        <v>5.5430200000000003</v>
      </c>
      <c r="H127" s="5">
        <v>5.5592600000000001</v>
      </c>
      <c r="I127" s="5">
        <v>5.5441750000000001</v>
      </c>
      <c r="J127" s="5">
        <v>5.5441750000000001</v>
      </c>
      <c r="K127" s="4">
        <v>3.5</v>
      </c>
      <c r="L127" s="4">
        <v>11</v>
      </c>
      <c r="M127" s="72" t="s">
        <v>91</v>
      </c>
      <c r="N127" s="4" t="s">
        <v>92</v>
      </c>
      <c r="O127" s="4" t="s">
        <v>98</v>
      </c>
    </row>
    <row r="128" spans="1:15">
      <c r="A128" s="4" t="s">
        <v>576</v>
      </c>
      <c r="B128" s="7" t="s">
        <v>903</v>
      </c>
      <c r="C128" s="4" t="s">
        <v>290</v>
      </c>
      <c r="D128" s="5">
        <v>1.8888</v>
      </c>
      <c r="E128" s="5">
        <v>2.0726999999999998</v>
      </c>
      <c r="F128" s="5">
        <v>2.2134</v>
      </c>
      <c r="G128" s="5">
        <v>2.4443999999999999</v>
      </c>
      <c r="H128" s="5">
        <v>2.4443999999999999</v>
      </c>
      <c r="I128" s="5">
        <v>2.4594</v>
      </c>
      <c r="J128" s="5">
        <v>2.4594</v>
      </c>
      <c r="K128" s="4">
        <v>30</v>
      </c>
      <c r="L128" s="4">
        <v>4</v>
      </c>
      <c r="M128" s="72" t="s">
        <v>860</v>
      </c>
      <c r="N128" s="4" t="s">
        <v>291</v>
      </c>
      <c r="O128" s="4" t="s">
        <v>93</v>
      </c>
    </row>
    <row r="129" spans="1:15">
      <c r="A129" s="4" t="s">
        <v>576</v>
      </c>
      <c r="B129" s="4" t="s">
        <v>904</v>
      </c>
      <c r="C129" s="4" t="s">
        <v>905</v>
      </c>
      <c r="D129" s="49">
        <v>0</v>
      </c>
      <c r="E129" s="49">
        <v>0</v>
      </c>
      <c r="F129" s="49">
        <v>0</v>
      </c>
      <c r="G129" s="49">
        <v>0</v>
      </c>
      <c r="H129" s="49">
        <v>0</v>
      </c>
      <c r="I129" s="49">
        <v>0</v>
      </c>
      <c r="J129" s="49">
        <v>0</v>
      </c>
      <c r="K129" s="4">
        <v>100</v>
      </c>
      <c r="L129" s="4">
        <v>3</v>
      </c>
      <c r="N129" s="4" t="s">
        <v>906</v>
      </c>
      <c r="O129" s="4" t="s">
        <v>93</v>
      </c>
    </row>
    <row r="130" spans="1:15">
      <c r="A130" s="4" t="s">
        <v>576</v>
      </c>
      <c r="B130" s="4" t="s">
        <v>907</v>
      </c>
      <c r="C130" s="4" t="s">
        <v>908</v>
      </c>
      <c r="D130" s="49">
        <v>14.820300000000001</v>
      </c>
      <c r="E130" s="49">
        <v>16.999200000000002</v>
      </c>
      <c r="F130" s="49">
        <v>23.3172</v>
      </c>
      <c r="G130" s="49">
        <v>27.355499999999999</v>
      </c>
      <c r="H130" s="49">
        <v>37.009800000000006</v>
      </c>
      <c r="I130" s="49">
        <v>37.009800000000006</v>
      </c>
      <c r="J130" s="49">
        <v>37.009800000000006</v>
      </c>
      <c r="K130" s="4">
        <v>90</v>
      </c>
      <c r="L130" s="4">
        <v>6</v>
      </c>
      <c r="M130" s="4" t="s">
        <v>189</v>
      </c>
      <c r="N130" s="4" t="s">
        <v>326</v>
      </c>
      <c r="O130" s="4" t="s">
        <v>93</v>
      </c>
    </row>
    <row r="131" spans="1:15" ht="13.5" customHeight="1">
      <c r="A131" s="4" t="s">
        <v>576</v>
      </c>
      <c r="B131" s="4" t="s">
        <v>909</v>
      </c>
      <c r="C131" s="4" t="s">
        <v>310</v>
      </c>
      <c r="D131" s="49">
        <v>16.960999999999999</v>
      </c>
      <c r="E131" s="49">
        <v>18.734000000000002</v>
      </c>
      <c r="F131" s="49">
        <v>19.582999999999998</v>
      </c>
      <c r="G131" s="49">
        <v>19.048999999999999</v>
      </c>
      <c r="H131" s="49">
        <v>18.649000000000001</v>
      </c>
      <c r="I131" s="49">
        <v>18.382000000000001</v>
      </c>
      <c r="J131" s="49">
        <v>18.132000000000001</v>
      </c>
      <c r="K131" s="4">
        <v>100</v>
      </c>
      <c r="L131" s="4">
        <v>6</v>
      </c>
      <c r="M131" s="4" t="s">
        <v>189</v>
      </c>
      <c r="N131" s="4" t="s">
        <v>326</v>
      </c>
      <c r="O131" s="4" t="s">
        <v>93</v>
      </c>
    </row>
    <row r="132" spans="1:15">
      <c r="A132" s="4" t="s">
        <v>576</v>
      </c>
      <c r="B132" s="4" t="s">
        <v>910</v>
      </c>
      <c r="C132" s="4" t="s">
        <v>317</v>
      </c>
      <c r="D132" s="49">
        <v>0.25</v>
      </c>
      <c r="E132" s="49">
        <v>0.26200000000000001</v>
      </c>
      <c r="F132" s="49">
        <v>0.26200000000000001</v>
      </c>
      <c r="G132" s="49">
        <v>0.26200000000000001</v>
      </c>
      <c r="H132" s="49">
        <v>0.26200000000000001</v>
      </c>
      <c r="I132" s="49">
        <v>0.26200000000000001</v>
      </c>
      <c r="J132" s="49">
        <v>0.26200000000000001</v>
      </c>
      <c r="K132" s="4">
        <v>100</v>
      </c>
      <c r="L132" s="4">
        <v>4</v>
      </c>
      <c r="M132" s="72" t="s">
        <v>860</v>
      </c>
      <c r="N132" s="4" t="s">
        <v>97</v>
      </c>
      <c r="O132" s="4" t="s">
        <v>98</v>
      </c>
    </row>
    <row r="133" spans="1:15">
      <c r="A133" s="4" t="s">
        <v>576</v>
      </c>
      <c r="B133" s="4" t="s">
        <v>910</v>
      </c>
      <c r="C133" s="4" t="s">
        <v>911</v>
      </c>
      <c r="D133" s="49">
        <v>0</v>
      </c>
      <c r="E133" s="49">
        <v>0</v>
      </c>
      <c r="F133" s="49">
        <v>0</v>
      </c>
      <c r="G133" s="49">
        <v>0</v>
      </c>
      <c r="H133" s="49">
        <v>0</v>
      </c>
      <c r="I133" s="49">
        <v>0</v>
      </c>
      <c r="J133" s="49">
        <v>0</v>
      </c>
      <c r="K133" s="4">
        <v>100</v>
      </c>
      <c r="L133" s="4">
        <v>6</v>
      </c>
      <c r="M133" s="4" t="s">
        <v>189</v>
      </c>
      <c r="N133" s="4" t="s">
        <v>291</v>
      </c>
      <c r="O133" s="4" t="s">
        <v>93</v>
      </c>
    </row>
    <row r="134" spans="1:15">
      <c r="A134" s="4" t="s">
        <v>576</v>
      </c>
      <c r="B134" s="4" t="s">
        <v>910</v>
      </c>
      <c r="C134" s="4" t="s">
        <v>912</v>
      </c>
      <c r="D134" s="49">
        <v>0.16300000000000001</v>
      </c>
      <c r="E134" s="49">
        <v>0.16300000000000001</v>
      </c>
      <c r="F134" s="49">
        <v>0.16300000000000001</v>
      </c>
      <c r="G134" s="49">
        <v>0.16300000000000001</v>
      </c>
      <c r="H134" s="49">
        <v>0.16300000000000001</v>
      </c>
      <c r="I134" s="49">
        <v>0.16300000000000001</v>
      </c>
      <c r="J134" s="49">
        <v>0.16300000000000001</v>
      </c>
      <c r="K134" s="4">
        <v>100</v>
      </c>
      <c r="L134" s="4">
        <v>11</v>
      </c>
      <c r="M134" s="72" t="s">
        <v>91</v>
      </c>
      <c r="N134" s="4" t="s">
        <v>97</v>
      </c>
      <c r="O134" s="4" t="s">
        <v>98</v>
      </c>
    </row>
    <row r="135" spans="1:15">
      <c r="A135" s="86" t="s">
        <v>576</v>
      </c>
      <c r="B135" s="86" t="s">
        <v>910</v>
      </c>
      <c r="C135" s="86" t="s">
        <v>913</v>
      </c>
      <c r="D135" s="150">
        <v>29.935345188126739</v>
      </c>
      <c r="E135" s="150">
        <v>29.003645082793135</v>
      </c>
      <c r="F135" s="150">
        <v>26.642019715268479</v>
      </c>
      <c r="G135" s="150">
        <v>26.476102477517436</v>
      </c>
      <c r="H135" s="150">
        <v>26.483894091535895</v>
      </c>
      <c r="I135" s="150">
        <v>26.598222444104398</v>
      </c>
      <c r="J135" s="150">
        <v>26.547463499121886</v>
      </c>
      <c r="K135" s="86">
        <v>100</v>
      </c>
      <c r="L135" s="86">
        <v>1</v>
      </c>
      <c r="M135" s="86"/>
      <c r="N135" s="86" t="s">
        <v>320</v>
      </c>
      <c r="O135" s="86" t="s">
        <v>98</v>
      </c>
    </row>
    <row r="136" spans="1:15">
      <c r="A136" s="86" t="s">
        <v>576</v>
      </c>
      <c r="B136" s="86" t="s">
        <v>910</v>
      </c>
      <c r="C136" s="86" t="s">
        <v>914</v>
      </c>
      <c r="D136" s="150">
        <v>6.304855049096731</v>
      </c>
      <c r="E136" s="150">
        <v>6.1086243366582975</v>
      </c>
      <c r="F136" s="150">
        <v>5.6112288488515141</v>
      </c>
      <c r="G136" s="150">
        <v>5.5762840661007953</v>
      </c>
      <c r="H136" s="150">
        <v>5.5779251026973729</v>
      </c>
      <c r="I136" s="150">
        <v>5.6020044539263791</v>
      </c>
      <c r="J136" s="150">
        <v>5.5913138208787689</v>
      </c>
      <c r="K136" s="86">
        <v>100</v>
      </c>
      <c r="L136" s="86">
        <v>2</v>
      </c>
      <c r="M136" s="86"/>
      <c r="N136" s="86" t="s">
        <v>320</v>
      </c>
      <c r="O136" s="86" t="s">
        <v>98</v>
      </c>
    </row>
    <row r="137" spans="1:15">
      <c r="A137" s="86" t="s">
        <v>576</v>
      </c>
      <c r="B137" s="86" t="s">
        <v>910</v>
      </c>
      <c r="C137" s="86" t="s">
        <v>915</v>
      </c>
      <c r="D137" s="150">
        <v>6.5349322693101719</v>
      </c>
      <c r="E137" s="150">
        <v>6.331540691715162</v>
      </c>
      <c r="F137" s="150">
        <v>5.8159942122852346</v>
      </c>
      <c r="G137" s="150">
        <v>5.7797742220295634</v>
      </c>
      <c r="H137" s="150">
        <v>5.7814751434506881</v>
      </c>
      <c r="I137" s="150">
        <v>5.8064332000824619</v>
      </c>
      <c r="J137" s="150">
        <v>5.795352443691054</v>
      </c>
      <c r="K137" s="86">
        <v>100</v>
      </c>
      <c r="L137" s="86">
        <v>3</v>
      </c>
      <c r="M137" s="86"/>
      <c r="N137" s="86" t="s">
        <v>320</v>
      </c>
      <c r="O137" s="86" t="s">
        <v>98</v>
      </c>
    </row>
    <row r="138" spans="1:15">
      <c r="A138" s="86" t="s">
        <v>576</v>
      </c>
      <c r="B138" s="86" t="s">
        <v>910</v>
      </c>
      <c r="C138" s="86" t="s">
        <v>916</v>
      </c>
      <c r="D138" s="150">
        <v>25.644708515328208</v>
      </c>
      <c r="E138" s="150">
        <v>24.846549099599887</v>
      </c>
      <c r="F138" s="150">
        <v>22.8234157837163</v>
      </c>
      <c r="G138" s="150">
        <v>22.681279483865595</v>
      </c>
      <c r="H138" s="150">
        <v>22.687954324897547</v>
      </c>
      <c r="I138" s="150">
        <v>22.785895980763929</v>
      </c>
      <c r="J138" s="150">
        <v>22.742412321549658</v>
      </c>
      <c r="K138" s="86">
        <v>100</v>
      </c>
      <c r="L138" s="86">
        <v>4</v>
      </c>
      <c r="M138" s="86"/>
      <c r="N138" s="86" t="s">
        <v>320</v>
      </c>
      <c r="O138" s="86" t="s">
        <v>98</v>
      </c>
    </row>
    <row r="139" spans="1:15">
      <c r="A139" s="86" t="s">
        <v>576</v>
      </c>
      <c r="B139" s="86" t="s">
        <v>910</v>
      </c>
      <c r="C139" s="86" t="s">
        <v>917</v>
      </c>
      <c r="D139" s="150">
        <v>40.679422712291057</v>
      </c>
      <c r="E139" s="150">
        <v>39.413326658019251</v>
      </c>
      <c r="F139" s="150">
        <v>36.204091688124556</v>
      </c>
      <c r="G139" s="150">
        <v>35.978625189999541</v>
      </c>
      <c r="H139" s="150">
        <v>35.98921328772402</v>
      </c>
      <c r="I139" s="150">
        <v>36.144575163556958</v>
      </c>
      <c r="J139" s="150">
        <v>36.07559835482477</v>
      </c>
      <c r="K139" s="86">
        <v>100</v>
      </c>
      <c r="L139" s="86">
        <v>5</v>
      </c>
      <c r="M139" s="86"/>
      <c r="N139" s="86" t="s">
        <v>320</v>
      </c>
      <c r="O139" s="86" t="s">
        <v>98</v>
      </c>
    </row>
    <row r="140" spans="1:15">
      <c r="A140" s="86" t="s">
        <v>576</v>
      </c>
      <c r="B140" s="86" t="s">
        <v>910</v>
      </c>
      <c r="C140" s="86" t="s">
        <v>918</v>
      </c>
      <c r="D140" s="150">
        <v>46.797825473339913</v>
      </c>
      <c r="E140" s="150">
        <v>45.341301800441421</v>
      </c>
      <c r="F140" s="150">
        <v>41.649380725595549</v>
      </c>
      <c r="G140" s="150">
        <v>41.39000286018274</v>
      </c>
      <c r="H140" s="150">
        <v>41.402183464438345</v>
      </c>
      <c r="I140" s="150">
        <v>41.580912597392434</v>
      </c>
      <c r="J140" s="150">
        <v>41.501561307685421</v>
      </c>
      <c r="K140" s="86">
        <v>100</v>
      </c>
      <c r="L140" s="86">
        <v>6</v>
      </c>
      <c r="M140" s="86"/>
      <c r="N140" s="86" t="s">
        <v>320</v>
      </c>
      <c r="O140" s="86" t="s">
        <v>98</v>
      </c>
    </row>
    <row r="141" spans="1:15">
      <c r="A141" s="86" t="s">
        <v>576</v>
      </c>
      <c r="B141" s="86" t="s">
        <v>910</v>
      </c>
      <c r="C141" s="86" t="s">
        <v>919</v>
      </c>
      <c r="D141" s="150">
        <v>28.889598833289831</v>
      </c>
      <c r="E141" s="150">
        <v>27.990446272767578</v>
      </c>
      <c r="F141" s="150">
        <v>25.711320742945105</v>
      </c>
      <c r="G141" s="150">
        <v>25.551199574873309</v>
      </c>
      <c r="H141" s="150">
        <v>25.558719000550298</v>
      </c>
      <c r="I141" s="150">
        <v>25.669053463714764</v>
      </c>
      <c r="J141" s="150">
        <v>25.620067706292218</v>
      </c>
      <c r="K141" s="86">
        <v>100</v>
      </c>
      <c r="L141" s="86">
        <v>7</v>
      </c>
      <c r="M141" s="86"/>
      <c r="N141" s="86" t="s">
        <v>320</v>
      </c>
      <c r="O141" s="86" t="s">
        <v>98</v>
      </c>
    </row>
    <row r="142" spans="1:15">
      <c r="A142" s="149" t="s">
        <v>576</v>
      </c>
      <c r="B142" s="149" t="s">
        <v>910</v>
      </c>
      <c r="C142" s="149" t="s">
        <v>920</v>
      </c>
      <c r="D142" s="100">
        <v>25.873524039352301</v>
      </c>
      <c r="E142" s="100">
        <v>25.068243027180191</v>
      </c>
      <c r="F142" s="100">
        <v>23.027058255981064</v>
      </c>
      <c r="G142" s="100">
        <v>22.883653741601279</v>
      </c>
      <c r="H142" s="100">
        <v>22.890388139061709</v>
      </c>
      <c r="I142" s="100">
        <v>22.989203681691027</v>
      </c>
      <c r="J142" s="100">
        <v>22.945332038489195</v>
      </c>
      <c r="K142" s="149">
        <v>100</v>
      </c>
      <c r="L142" s="149" t="s">
        <v>851</v>
      </c>
      <c r="M142" s="149"/>
      <c r="N142" s="149" t="s">
        <v>320</v>
      </c>
      <c r="O142" s="149" t="s">
        <v>98</v>
      </c>
    </row>
    <row r="143" spans="1:15">
      <c r="A143" s="86" t="s">
        <v>576</v>
      </c>
      <c r="B143" s="86" t="s">
        <v>910</v>
      </c>
      <c r="C143" s="86" t="s">
        <v>921</v>
      </c>
      <c r="D143" s="150">
        <v>71.337787919865136</v>
      </c>
      <c r="E143" s="150">
        <v>69.117488668211038</v>
      </c>
      <c r="F143" s="150">
        <v>63.489588653833756</v>
      </c>
      <c r="G143" s="150">
        <v>63.094197565321167</v>
      </c>
      <c r="H143" s="150">
        <v>63.112765465738185</v>
      </c>
      <c r="I143" s="150">
        <v>63.385217034861704</v>
      </c>
      <c r="J143" s="150">
        <v>63.264255314546055</v>
      </c>
      <c r="K143" s="86">
        <v>100</v>
      </c>
      <c r="L143" s="86">
        <v>14</v>
      </c>
      <c r="M143" s="86"/>
      <c r="N143" s="86" t="s">
        <v>320</v>
      </c>
      <c r="O143" s="86" t="s">
        <v>98</v>
      </c>
    </row>
    <row r="144" spans="1:15">
      <c r="A144" s="4" t="s">
        <v>576</v>
      </c>
      <c r="B144" s="4" t="s">
        <v>922</v>
      </c>
      <c r="C144" s="4" t="s">
        <v>923</v>
      </c>
      <c r="D144" s="49">
        <v>36.289000000000001</v>
      </c>
      <c r="E144" s="49">
        <v>42.904000000000003</v>
      </c>
      <c r="F144" s="49">
        <v>52.765999999999998</v>
      </c>
      <c r="G144" s="49">
        <v>43.332000000000001</v>
      </c>
      <c r="H144" s="49">
        <v>39.378999999999998</v>
      </c>
      <c r="I144" s="49">
        <v>39.856999999999999</v>
      </c>
      <c r="J144" s="49">
        <v>39.856999999999999</v>
      </c>
      <c r="K144" s="4">
        <v>100</v>
      </c>
      <c r="L144" s="4">
        <v>6</v>
      </c>
      <c r="M144" s="4" t="s">
        <v>189</v>
      </c>
      <c r="N144" s="4" t="s">
        <v>326</v>
      </c>
      <c r="O144" s="4" t="s">
        <v>93</v>
      </c>
    </row>
    <row r="145" spans="1:15">
      <c r="A145" s="86" t="s">
        <v>576</v>
      </c>
      <c r="B145" s="86" t="s">
        <v>922</v>
      </c>
      <c r="C145" s="86" t="s">
        <v>924</v>
      </c>
      <c r="D145" s="150">
        <v>11.248500927599409</v>
      </c>
      <c r="E145" s="150">
        <v>16.03771145523708</v>
      </c>
      <c r="F145" s="150">
        <v>18.433103793735157</v>
      </c>
      <c r="G145" s="150">
        <v>19.298515552813704</v>
      </c>
      <c r="H145" s="150">
        <v>18.062900903429565</v>
      </c>
      <c r="I145" s="150">
        <v>16.857472882919765</v>
      </c>
      <c r="J145" s="150">
        <v>16.857472882919765</v>
      </c>
      <c r="K145" s="86">
        <v>100</v>
      </c>
      <c r="L145" s="87">
        <v>1</v>
      </c>
      <c r="M145" s="86" t="s">
        <v>177</v>
      </c>
      <c r="N145" s="86" t="s">
        <v>326</v>
      </c>
      <c r="O145" s="86" t="s">
        <v>93</v>
      </c>
    </row>
    <row r="146" spans="1:15">
      <c r="A146" s="86" t="s">
        <v>576</v>
      </c>
      <c r="B146" s="86" t="s">
        <v>922</v>
      </c>
      <c r="C146" s="86" t="s">
        <v>925</v>
      </c>
      <c r="D146" s="150">
        <v>1.5632855027655042</v>
      </c>
      <c r="E146" s="150">
        <v>2.2288767167181098</v>
      </c>
      <c r="F146" s="150">
        <v>2.5617817091532902</v>
      </c>
      <c r="G146" s="150">
        <v>2.6820542384083517</v>
      </c>
      <c r="H146" s="150">
        <v>2.5103319368483747</v>
      </c>
      <c r="I146" s="150">
        <v>2.3428048893582831</v>
      </c>
      <c r="J146" s="150">
        <v>2.3428048893582831</v>
      </c>
      <c r="K146" s="86">
        <v>100</v>
      </c>
      <c r="L146" s="87">
        <v>4</v>
      </c>
      <c r="M146" s="86" t="s">
        <v>223</v>
      </c>
      <c r="N146" s="86" t="s">
        <v>326</v>
      </c>
      <c r="O146" s="86" t="s">
        <v>93</v>
      </c>
    </row>
    <row r="147" spans="1:15">
      <c r="A147" s="86" t="s">
        <v>576</v>
      </c>
      <c r="B147" s="86" t="s">
        <v>922</v>
      </c>
      <c r="C147" s="86" t="s">
        <v>926</v>
      </c>
      <c r="D147" s="150">
        <v>14.412785039449002</v>
      </c>
      <c r="E147" s="150">
        <v>20.549234890659442</v>
      </c>
      <c r="F147" s="150">
        <v>23.618468300704933</v>
      </c>
      <c r="G147" s="150">
        <v>24.727326604090653</v>
      </c>
      <c r="H147" s="150">
        <v>23.144124678092467</v>
      </c>
      <c r="I147" s="150">
        <v>21.599601096509403</v>
      </c>
      <c r="J147" s="150">
        <v>21.599601096509403</v>
      </c>
      <c r="K147" s="86">
        <v>100</v>
      </c>
      <c r="L147" s="87">
        <v>5</v>
      </c>
      <c r="M147" s="86" t="s">
        <v>398</v>
      </c>
      <c r="N147" s="86" t="s">
        <v>326</v>
      </c>
      <c r="O147" s="86" t="s">
        <v>93</v>
      </c>
    </row>
    <row r="148" spans="1:15">
      <c r="A148" s="86" t="s">
        <v>576</v>
      </c>
      <c r="B148" s="86" t="s">
        <v>922</v>
      </c>
      <c r="C148" s="86" t="s">
        <v>927</v>
      </c>
      <c r="D148" s="150">
        <v>46.295813880303456</v>
      </c>
      <c r="E148" s="150">
        <v>66.006920333349896</v>
      </c>
      <c r="F148" s="150">
        <v>75.86571294822312</v>
      </c>
      <c r="G148" s="150">
        <v>79.427515715187653</v>
      </c>
      <c r="H148" s="150">
        <v>74.342057110182864</v>
      </c>
      <c r="I148" s="150">
        <v>69.380838576013801</v>
      </c>
      <c r="J148" s="150">
        <v>69.380838576013801</v>
      </c>
      <c r="K148" s="86">
        <v>100</v>
      </c>
      <c r="L148" s="87">
        <v>6</v>
      </c>
      <c r="M148" s="86" t="s">
        <v>189</v>
      </c>
      <c r="N148" s="86" t="s">
        <v>326</v>
      </c>
      <c r="O148" s="86" t="s">
        <v>93</v>
      </c>
    </row>
    <row r="149" spans="1:15">
      <c r="A149" s="86" t="s">
        <v>576</v>
      </c>
      <c r="B149" s="86" t="s">
        <v>922</v>
      </c>
      <c r="C149" s="86" t="s">
        <v>928</v>
      </c>
      <c r="D149" s="150">
        <v>30.474004723389086</v>
      </c>
      <c r="E149" s="150">
        <v>43.448749107544302</v>
      </c>
      <c r="F149" s="150">
        <v>49.938253611975981</v>
      </c>
      <c r="G149" s="150">
        <v>52.282793760355069</v>
      </c>
      <c r="H149" s="150">
        <v>48.935314224728003</v>
      </c>
      <c r="I149" s="150">
        <v>45.669615139386799</v>
      </c>
      <c r="J149" s="150">
        <v>45.669615139386799</v>
      </c>
      <c r="K149" s="86">
        <v>100</v>
      </c>
      <c r="L149" s="87">
        <v>7</v>
      </c>
      <c r="M149" s="86" t="s">
        <v>174</v>
      </c>
      <c r="N149" s="86" t="s">
        <v>326</v>
      </c>
      <c r="O149" s="86" t="s">
        <v>93</v>
      </c>
    </row>
    <row r="150" spans="1:15">
      <c r="A150" s="86" t="s">
        <v>576</v>
      </c>
      <c r="B150" s="86" t="s">
        <v>922</v>
      </c>
      <c r="C150" s="86" t="s">
        <v>929</v>
      </c>
      <c r="D150" s="150">
        <v>17.483610112247689</v>
      </c>
      <c r="E150" s="150">
        <v>24.927507761332812</v>
      </c>
      <c r="F150" s="150">
        <v>28.650679940605894</v>
      </c>
      <c r="G150" s="150">
        <v>29.99579444783409</v>
      </c>
      <c r="H150" s="150">
        <v>28.075271445003672</v>
      </c>
      <c r="I150" s="150">
        <v>26.201667694190846</v>
      </c>
      <c r="J150" s="150">
        <v>26.201667694190846</v>
      </c>
      <c r="K150" s="86">
        <v>100</v>
      </c>
      <c r="L150" s="87">
        <v>8</v>
      </c>
      <c r="M150" s="86" t="s">
        <v>248</v>
      </c>
      <c r="N150" s="86" t="s">
        <v>326</v>
      </c>
      <c r="O150" s="86" t="s">
        <v>93</v>
      </c>
    </row>
    <row r="151" spans="1:15">
      <c r="A151" s="4" t="s">
        <v>576</v>
      </c>
      <c r="B151" s="4" t="s">
        <v>930</v>
      </c>
      <c r="C151" s="4" t="s">
        <v>931</v>
      </c>
      <c r="D151" s="49">
        <v>7.2430000000000003</v>
      </c>
      <c r="E151" s="49">
        <v>14.318</v>
      </c>
      <c r="F151" s="49">
        <v>8.2810000000000006</v>
      </c>
      <c r="G151" s="49">
        <v>7.2809999999999997</v>
      </c>
      <c r="H151" s="49">
        <v>7.2809999999999997</v>
      </c>
      <c r="I151" s="49">
        <v>6.7809999999999997</v>
      </c>
      <c r="J151" s="49">
        <v>6.7809999999999997</v>
      </c>
      <c r="K151" s="4">
        <v>100</v>
      </c>
      <c r="L151" s="4">
        <v>4</v>
      </c>
      <c r="M151" s="72" t="s">
        <v>860</v>
      </c>
      <c r="N151" s="4" t="s">
        <v>97</v>
      </c>
      <c r="O151" s="4" t="s">
        <v>98</v>
      </c>
    </row>
    <row r="152" spans="1:15">
      <c r="A152" s="4" t="s">
        <v>576</v>
      </c>
      <c r="B152" s="4" t="s">
        <v>930</v>
      </c>
      <c r="C152" s="4" t="s">
        <v>932</v>
      </c>
      <c r="D152" s="49">
        <v>20.065000000000001</v>
      </c>
      <c r="E152" s="49">
        <v>20.643999999999998</v>
      </c>
      <c r="F152" s="49">
        <v>20.643999999999998</v>
      </c>
      <c r="G152" s="49">
        <v>20.193000000000001</v>
      </c>
      <c r="H152" s="49">
        <v>20.193000000000001</v>
      </c>
      <c r="I152" s="49">
        <v>20.193000000000001</v>
      </c>
      <c r="J152" s="49">
        <v>20.193000000000001</v>
      </c>
      <c r="K152" s="4">
        <v>100</v>
      </c>
      <c r="L152" s="4">
        <v>4</v>
      </c>
      <c r="M152" s="72" t="s">
        <v>860</v>
      </c>
      <c r="N152" s="4" t="s">
        <v>97</v>
      </c>
      <c r="O152" s="4" t="s">
        <v>98</v>
      </c>
    </row>
    <row r="153" spans="1:15">
      <c r="A153" s="4" t="s">
        <v>576</v>
      </c>
      <c r="B153" s="4" t="s">
        <v>930</v>
      </c>
      <c r="C153" s="4" t="s">
        <v>933</v>
      </c>
      <c r="D153" s="49">
        <v>35.79</v>
      </c>
      <c r="E153" s="49">
        <v>26.954999999999998</v>
      </c>
      <c r="F153" s="49">
        <v>26.954999999999998</v>
      </c>
      <c r="G153" s="49">
        <v>26.954999999999998</v>
      </c>
      <c r="H153" s="49">
        <v>26.445</v>
      </c>
      <c r="I153" s="49">
        <v>26.445</v>
      </c>
      <c r="J153" s="49">
        <v>26.445</v>
      </c>
      <c r="K153" s="4">
        <v>100</v>
      </c>
      <c r="L153" s="4">
        <v>3</v>
      </c>
      <c r="M153" s="4" t="s">
        <v>184</v>
      </c>
      <c r="N153" s="4" t="s">
        <v>97</v>
      </c>
      <c r="O153" s="4" t="s">
        <v>98</v>
      </c>
    </row>
    <row r="154" spans="1:15">
      <c r="A154" s="4" t="s">
        <v>576</v>
      </c>
      <c r="C154" s="4" t="s">
        <v>934</v>
      </c>
      <c r="D154" s="49">
        <v>0</v>
      </c>
      <c r="E154" s="49">
        <v>8.0500000000000007</v>
      </c>
      <c r="F154" s="49">
        <v>10</v>
      </c>
      <c r="G154" s="49">
        <v>8.3000000000000007</v>
      </c>
      <c r="H154" s="49">
        <v>10</v>
      </c>
      <c r="I154" s="49">
        <v>10</v>
      </c>
      <c r="J154" s="49">
        <v>10</v>
      </c>
      <c r="K154" s="4">
        <v>100</v>
      </c>
      <c r="L154" s="4">
        <v>6</v>
      </c>
      <c r="N154" s="4" t="s">
        <v>326</v>
      </c>
      <c r="O154" s="4" t="s">
        <v>93</v>
      </c>
    </row>
    <row r="155" spans="1:15">
      <c r="A155" s="4" t="s">
        <v>576</v>
      </c>
      <c r="B155" s="4" t="s">
        <v>935</v>
      </c>
      <c r="C155" s="4" t="s">
        <v>936</v>
      </c>
      <c r="D155" s="49">
        <v>28.536000000000001</v>
      </c>
      <c r="E155" s="49">
        <v>26.004999999999999</v>
      </c>
      <c r="F155" s="49">
        <v>25.465</v>
      </c>
      <c r="G155" s="49">
        <v>25.48</v>
      </c>
      <c r="H155" s="49">
        <v>25.48</v>
      </c>
      <c r="I155" s="49">
        <v>25.48</v>
      </c>
      <c r="J155" s="49">
        <v>25.48</v>
      </c>
      <c r="K155" s="4">
        <v>100</v>
      </c>
      <c r="L155" s="4">
        <v>6</v>
      </c>
      <c r="M155" s="4" t="s">
        <v>189</v>
      </c>
      <c r="N155" s="4" t="s">
        <v>152</v>
      </c>
      <c r="O155" s="4" t="s">
        <v>98</v>
      </c>
    </row>
    <row r="156" spans="1:15">
      <c r="A156" s="149" t="s">
        <v>576</v>
      </c>
      <c r="B156" s="149" t="s">
        <v>935</v>
      </c>
      <c r="C156" s="149" t="s">
        <v>328</v>
      </c>
      <c r="D156" s="100">
        <v>0</v>
      </c>
      <c r="E156" s="100">
        <v>5.7869999999999999</v>
      </c>
      <c r="F156" s="100">
        <v>4.3339999999999996</v>
      </c>
      <c r="G156" s="100">
        <v>4.3170000000000002</v>
      </c>
      <c r="H156" s="100">
        <v>5.0789999999999997</v>
      </c>
      <c r="I156" s="100">
        <v>5.1760000000000002</v>
      </c>
      <c r="J156" s="100">
        <v>8.0549999999999997</v>
      </c>
      <c r="K156" s="149">
        <v>100</v>
      </c>
      <c r="L156" s="149" t="s">
        <v>851</v>
      </c>
      <c r="M156" s="166" t="s">
        <v>860</v>
      </c>
      <c r="N156" s="149" t="s">
        <v>937</v>
      </c>
      <c r="O156" s="149" t="s">
        <v>98</v>
      </c>
    </row>
    <row r="157" spans="1:15">
      <c r="A157" s="4" t="s">
        <v>576</v>
      </c>
      <c r="B157" s="4" t="s">
        <v>935</v>
      </c>
      <c r="C157" s="4" t="s">
        <v>938</v>
      </c>
      <c r="D157" s="49">
        <v>0</v>
      </c>
      <c r="E157" s="49">
        <v>1.71</v>
      </c>
      <c r="F157" s="49">
        <v>1.71</v>
      </c>
      <c r="G157" s="49">
        <v>0.38</v>
      </c>
      <c r="H157" s="49">
        <v>0</v>
      </c>
      <c r="I157" s="49">
        <v>0</v>
      </c>
      <c r="J157" s="49">
        <v>0</v>
      </c>
      <c r="K157" s="4">
        <v>100</v>
      </c>
      <c r="L157" s="4">
        <v>6</v>
      </c>
      <c r="M157" s="4" t="s">
        <v>189</v>
      </c>
      <c r="N157" s="4" t="s">
        <v>97</v>
      </c>
      <c r="O157" s="4" t="s">
        <v>93</v>
      </c>
    </row>
    <row r="158" spans="1:15">
      <c r="A158" s="4" t="s">
        <v>576</v>
      </c>
      <c r="B158" s="4" t="s">
        <v>935</v>
      </c>
      <c r="C158" s="4" t="s">
        <v>939</v>
      </c>
      <c r="D158" s="49">
        <v>3.6579999999999999</v>
      </c>
      <c r="E158" s="49">
        <v>3.6579999999999999</v>
      </c>
      <c r="F158" s="49">
        <v>0.40699999999999997</v>
      </c>
      <c r="G158" s="49">
        <v>0</v>
      </c>
      <c r="H158" s="49">
        <v>0</v>
      </c>
      <c r="I158" s="49">
        <v>0</v>
      </c>
      <c r="J158" s="49">
        <v>0</v>
      </c>
      <c r="K158" s="4">
        <v>100</v>
      </c>
      <c r="L158" s="4">
        <v>6</v>
      </c>
      <c r="M158" s="4" t="s">
        <v>189</v>
      </c>
      <c r="N158" s="4" t="s">
        <v>97</v>
      </c>
      <c r="O158" s="4" t="s">
        <v>93</v>
      </c>
    </row>
    <row r="159" spans="1:15">
      <c r="A159" s="4" t="s">
        <v>576</v>
      </c>
      <c r="B159" s="4" t="s">
        <v>935</v>
      </c>
      <c r="C159" s="4" t="s">
        <v>940</v>
      </c>
      <c r="D159" s="49">
        <v>0</v>
      </c>
      <c r="E159" s="49">
        <v>0</v>
      </c>
      <c r="F159" s="49">
        <v>0</v>
      </c>
      <c r="G159" s="49">
        <v>0</v>
      </c>
      <c r="H159" s="49">
        <v>0</v>
      </c>
      <c r="I159" s="49">
        <v>0</v>
      </c>
      <c r="J159" s="49">
        <v>0</v>
      </c>
      <c r="K159" s="4">
        <v>100</v>
      </c>
      <c r="L159" s="4">
        <v>6</v>
      </c>
      <c r="M159" s="4" t="s">
        <v>189</v>
      </c>
      <c r="N159" s="4" t="s">
        <v>941</v>
      </c>
      <c r="O159" s="4" t="s">
        <v>93</v>
      </c>
    </row>
    <row r="160" spans="1:15">
      <c r="A160" s="4" t="s">
        <v>576</v>
      </c>
      <c r="B160" s="4" t="s">
        <v>935</v>
      </c>
      <c r="C160" s="4" t="s">
        <v>942</v>
      </c>
      <c r="D160" s="49">
        <v>0.106</v>
      </c>
      <c r="E160" s="49">
        <v>0</v>
      </c>
      <c r="F160" s="49">
        <v>0</v>
      </c>
      <c r="G160" s="49">
        <v>0</v>
      </c>
      <c r="H160" s="49">
        <v>0</v>
      </c>
      <c r="I160" s="49">
        <v>0</v>
      </c>
      <c r="J160" s="49">
        <v>0</v>
      </c>
      <c r="K160" s="4">
        <v>100</v>
      </c>
      <c r="L160" s="4">
        <v>6</v>
      </c>
      <c r="M160" s="4" t="s">
        <v>189</v>
      </c>
      <c r="N160" s="4" t="s">
        <v>941</v>
      </c>
      <c r="O160" s="4" t="s">
        <v>93</v>
      </c>
    </row>
    <row r="161" spans="1:15">
      <c r="A161" s="4" t="s">
        <v>576</v>
      </c>
      <c r="B161" s="4" t="s">
        <v>935</v>
      </c>
      <c r="C161" s="4" t="s">
        <v>943</v>
      </c>
      <c r="D161" s="49">
        <v>0</v>
      </c>
      <c r="E161" s="49">
        <v>0</v>
      </c>
      <c r="F161" s="49">
        <v>0</v>
      </c>
      <c r="G161" s="49">
        <v>0.01</v>
      </c>
      <c r="H161" s="49">
        <v>0.01</v>
      </c>
      <c r="I161" s="49">
        <v>0.01</v>
      </c>
      <c r="J161" s="49">
        <v>0.01</v>
      </c>
      <c r="K161" s="4">
        <v>100</v>
      </c>
      <c r="L161" s="4">
        <v>6</v>
      </c>
      <c r="M161" s="4" t="s">
        <v>189</v>
      </c>
      <c r="N161" s="4" t="s">
        <v>944</v>
      </c>
      <c r="O161" s="4" t="s">
        <v>93</v>
      </c>
    </row>
    <row r="162" spans="1:15">
      <c r="A162" s="4" t="s">
        <v>576</v>
      </c>
      <c r="B162" s="4" t="s">
        <v>935</v>
      </c>
      <c r="C162" s="4" t="s">
        <v>329</v>
      </c>
      <c r="D162" s="49">
        <v>0.79</v>
      </c>
      <c r="E162" s="49">
        <v>1.044</v>
      </c>
      <c r="F162" s="49">
        <v>0.32600000000000001</v>
      </c>
      <c r="G162" s="49">
        <v>0.495</v>
      </c>
      <c r="H162" s="49">
        <v>0.495</v>
      </c>
      <c r="I162" s="49">
        <v>0.495</v>
      </c>
      <c r="J162" s="49">
        <v>0.495</v>
      </c>
      <c r="K162" s="4">
        <v>100</v>
      </c>
      <c r="L162" s="10">
        <v>6</v>
      </c>
      <c r="M162" s="72"/>
      <c r="N162" s="4" t="s">
        <v>152</v>
      </c>
      <c r="O162" s="4" t="s">
        <v>93</v>
      </c>
    </row>
    <row r="163" spans="1:15">
      <c r="A163" s="4" t="s">
        <v>576</v>
      </c>
      <c r="B163" s="4" t="s">
        <v>935</v>
      </c>
      <c r="C163" s="4" t="s">
        <v>945</v>
      </c>
      <c r="D163" s="49">
        <v>0</v>
      </c>
      <c r="E163" s="49">
        <v>0.95550000000000002</v>
      </c>
      <c r="F163" s="49">
        <v>1.1910000000000001</v>
      </c>
      <c r="G163" s="49">
        <v>1.266</v>
      </c>
      <c r="H163" s="49">
        <v>0</v>
      </c>
      <c r="I163" s="49">
        <v>0</v>
      </c>
      <c r="J163" s="49">
        <v>0</v>
      </c>
      <c r="K163" s="4">
        <v>75</v>
      </c>
      <c r="L163" s="10">
        <v>4</v>
      </c>
      <c r="M163" s="72"/>
      <c r="N163" s="4" t="s">
        <v>121</v>
      </c>
      <c r="O163" s="4" t="s">
        <v>93</v>
      </c>
    </row>
    <row r="164" spans="1:15">
      <c r="A164" s="4" t="s">
        <v>576</v>
      </c>
      <c r="B164" s="4" t="s">
        <v>946</v>
      </c>
      <c r="C164" s="4" t="s">
        <v>330</v>
      </c>
      <c r="D164" s="49">
        <v>99.159000000000006</v>
      </c>
      <c r="E164" s="49">
        <v>73.748999999999995</v>
      </c>
      <c r="F164" s="49">
        <v>72.725999999999999</v>
      </c>
      <c r="G164" s="49">
        <v>72.528999999999996</v>
      </c>
      <c r="H164" s="49">
        <v>73.426000000000002</v>
      </c>
      <c r="I164" s="49">
        <v>73.426000000000002</v>
      </c>
      <c r="J164" s="49">
        <v>73.426000000000002</v>
      </c>
      <c r="K164" s="4">
        <v>100</v>
      </c>
      <c r="L164" s="4">
        <v>3</v>
      </c>
      <c r="M164" s="4" t="s">
        <v>184</v>
      </c>
      <c r="N164" s="4" t="s">
        <v>100</v>
      </c>
      <c r="O164" s="4" t="s">
        <v>93</v>
      </c>
    </row>
    <row r="165" spans="1:15">
      <c r="A165" s="4" t="s">
        <v>576</v>
      </c>
      <c r="B165" s="4" t="s">
        <v>947</v>
      </c>
      <c r="C165" s="4" t="s">
        <v>948</v>
      </c>
      <c r="D165" s="49">
        <v>3.5009999999999999</v>
      </c>
      <c r="E165" s="49">
        <v>3.524</v>
      </c>
      <c r="F165" s="49">
        <v>3.552</v>
      </c>
      <c r="G165" s="49">
        <v>3.552</v>
      </c>
      <c r="H165" s="49">
        <v>3.552</v>
      </c>
      <c r="I165" s="49">
        <v>3.552</v>
      </c>
      <c r="J165" s="49">
        <v>3.552</v>
      </c>
      <c r="K165" s="4">
        <v>100</v>
      </c>
      <c r="L165" s="4">
        <v>6</v>
      </c>
      <c r="M165" s="4" t="s">
        <v>189</v>
      </c>
      <c r="N165" s="4" t="s">
        <v>331</v>
      </c>
      <c r="O165" s="4" t="s">
        <v>93</v>
      </c>
    </row>
    <row r="166" spans="1:15">
      <c r="A166" s="4" t="s">
        <v>576</v>
      </c>
      <c r="B166" s="4" t="s">
        <v>947</v>
      </c>
      <c r="C166" s="4" t="s">
        <v>949</v>
      </c>
      <c r="D166" s="49">
        <v>2.706</v>
      </c>
      <c r="E166" s="49">
        <v>2.992</v>
      </c>
      <c r="F166" s="49">
        <v>3.4</v>
      </c>
      <c r="G166" s="49">
        <v>1.345</v>
      </c>
      <c r="H166" s="49">
        <v>0.15</v>
      </c>
      <c r="I166" s="49">
        <v>0</v>
      </c>
      <c r="J166" s="49">
        <v>0</v>
      </c>
      <c r="K166" s="4">
        <v>100</v>
      </c>
      <c r="L166" s="4">
        <v>6</v>
      </c>
      <c r="M166" s="72"/>
      <c r="N166" s="4" t="s">
        <v>121</v>
      </c>
      <c r="O166" s="4" t="s">
        <v>93</v>
      </c>
    </row>
    <row r="167" spans="1:15">
      <c r="A167" s="4" t="s">
        <v>576</v>
      </c>
      <c r="B167" s="4" t="s">
        <v>950</v>
      </c>
      <c r="C167" s="4" t="s">
        <v>951</v>
      </c>
      <c r="D167" s="49">
        <v>0</v>
      </c>
      <c r="E167" s="49">
        <v>0</v>
      </c>
      <c r="F167" s="49">
        <v>0</v>
      </c>
      <c r="G167" s="49">
        <v>0</v>
      </c>
      <c r="H167" s="49">
        <v>0</v>
      </c>
      <c r="I167" s="49">
        <v>0</v>
      </c>
      <c r="J167" s="49">
        <v>0</v>
      </c>
      <c r="K167" s="4">
        <v>95</v>
      </c>
      <c r="L167" s="4">
        <v>6</v>
      </c>
      <c r="M167" s="72"/>
      <c r="N167" s="4" t="s">
        <v>952</v>
      </c>
      <c r="O167" s="4" t="s">
        <v>93</v>
      </c>
    </row>
    <row r="168" spans="1:15">
      <c r="A168" s="4" t="s">
        <v>576</v>
      </c>
      <c r="B168" s="7" t="s">
        <v>953</v>
      </c>
      <c r="C168" s="88" t="s">
        <v>954</v>
      </c>
      <c r="D168" s="89">
        <v>4.0073999999999996</v>
      </c>
      <c r="E168" s="89">
        <v>7.6688999999999998</v>
      </c>
      <c r="F168" s="89">
        <v>11.500500000000001</v>
      </c>
      <c r="G168" s="89">
        <v>7.9430999999999994</v>
      </c>
      <c r="H168" s="89">
        <v>9.5930999999999997</v>
      </c>
      <c r="I168" s="89">
        <v>9.6231000000000009</v>
      </c>
      <c r="J168" s="89">
        <v>7.2230999999999996</v>
      </c>
      <c r="K168" s="10">
        <v>30</v>
      </c>
      <c r="L168" s="8">
        <v>5</v>
      </c>
      <c r="N168" s="7" t="s">
        <v>121</v>
      </c>
      <c r="O168" s="4" t="s">
        <v>93</v>
      </c>
    </row>
    <row r="169" spans="1:15">
      <c r="A169" s="4" t="s">
        <v>576</v>
      </c>
      <c r="B169" s="7">
        <v>20</v>
      </c>
      <c r="C169" s="4" t="s">
        <v>358</v>
      </c>
      <c r="D169" s="89">
        <v>0</v>
      </c>
      <c r="E169" s="89">
        <f>7.322/3</f>
        <v>2.4406666666666665</v>
      </c>
      <c r="F169" s="89">
        <f>9.45/3</f>
        <v>3.15</v>
      </c>
      <c r="G169" s="89">
        <f>9.45/3</f>
        <v>3.15</v>
      </c>
      <c r="H169" s="89">
        <f>9.45/3</f>
        <v>3.15</v>
      </c>
      <c r="I169" s="89">
        <f>9.45/3</f>
        <v>3.15</v>
      </c>
      <c r="J169" s="89">
        <v>0</v>
      </c>
      <c r="K169" s="10">
        <v>70</v>
      </c>
      <c r="L169" s="8">
        <v>2</v>
      </c>
      <c r="N169" s="7" t="s">
        <v>121</v>
      </c>
      <c r="O169" s="4" t="s">
        <v>93</v>
      </c>
    </row>
    <row r="170" spans="1:15">
      <c r="A170" s="4" t="s">
        <v>576</v>
      </c>
      <c r="B170" s="7">
        <v>20</v>
      </c>
      <c r="C170" s="4" t="s">
        <v>358</v>
      </c>
      <c r="D170" s="89">
        <v>0</v>
      </c>
      <c r="E170" s="89">
        <f t="shared" ref="E170:E171" si="18">7.322/3</f>
        <v>2.4406666666666665</v>
      </c>
      <c r="F170" s="89">
        <f t="shared" ref="F170:I171" si="19">9.45/3</f>
        <v>3.15</v>
      </c>
      <c r="G170" s="89">
        <f t="shared" si="19"/>
        <v>3.15</v>
      </c>
      <c r="H170" s="89">
        <f t="shared" si="19"/>
        <v>3.15</v>
      </c>
      <c r="I170" s="89">
        <f t="shared" si="19"/>
        <v>3.15</v>
      </c>
      <c r="J170" s="89">
        <v>0</v>
      </c>
      <c r="K170" s="10">
        <v>70</v>
      </c>
      <c r="L170" s="8">
        <v>5</v>
      </c>
      <c r="N170" s="7" t="s">
        <v>121</v>
      </c>
      <c r="O170" s="4" t="s">
        <v>93</v>
      </c>
    </row>
    <row r="171" spans="1:15">
      <c r="A171" s="4" t="s">
        <v>576</v>
      </c>
      <c r="B171" s="7">
        <v>20</v>
      </c>
      <c r="C171" s="4" t="s">
        <v>358</v>
      </c>
      <c r="D171" s="89">
        <v>0</v>
      </c>
      <c r="E171" s="89">
        <f t="shared" si="18"/>
        <v>2.4406666666666665</v>
      </c>
      <c r="F171" s="89">
        <f t="shared" si="19"/>
        <v>3.15</v>
      </c>
      <c r="G171" s="89">
        <f t="shared" si="19"/>
        <v>3.15</v>
      </c>
      <c r="H171" s="89">
        <f t="shared" si="19"/>
        <v>3.15</v>
      </c>
      <c r="I171" s="89">
        <f t="shared" si="19"/>
        <v>3.15</v>
      </c>
      <c r="J171" s="89">
        <v>0</v>
      </c>
      <c r="K171" s="10">
        <v>70</v>
      </c>
      <c r="L171" s="8">
        <v>6</v>
      </c>
      <c r="N171" s="7" t="s">
        <v>121</v>
      </c>
      <c r="O171" s="4" t="s">
        <v>93</v>
      </c>
    </row>
    <row r="172" spans="1:15">
      <c r="A172" s="4" t="s">
        <v>576</v>
      </c>
      <c r="B172" s="7" t="s">
        <v>955</v>
      </c>
      <c r="C172" s="4" t="s">
        <v>956</v>
      </c>
      <c r="D172" s="89">
        <f>0.1026/2</f>
        <v>5.1299999999999998E-2</v>
      </c>
      <c r="E172" s="89">
        <f>1.664/2</f>
        <v>0.83199999999999996</v>
      </c>
      <c r="F172" s="89">
        <f>1.0708/2</f>
        <v>0.53539999999999999</v>
      </c>
      <c r="G172" s="89">
        <f>1.3424/2</f>
        <v>0.67120000000000002</v>
      </c>
      <c r="H172" s="89">
        <f>1.5142/2</f>
        <v>0.7571</v>
      </c>
      <c r="I172" s="89">
        <f>2/2</f>
        <v>1</v>
      </c>
      <c r="J172" s="89">
        <f>2.1/2</f>
        <v>1.05</v>
      </c>
      <c r="K172" s="10">
        <v>20</v>
      </c>
      <c r="L172" s="8">
        <v>2</v>
      </c>
      <c r="N172" s="7" t="s">
        <v>121</v>
      </c>
      <c r="O172" s="4" t="s">
        <v>93</v>
      </c>
    </row>
    <row r="173" spans="1:15">
      <c r="A173" s="4" t="s">
        <v>576</v>
      </c>
      <c r="B173" s="7" t="s">
        <v>955</v>
      </c>
      <c r="C173" s="4" t="s">
        <v>956</v>
      </c>
      <c r="D173" s="89">
        <f>0.1026/2</f>
        <v>5.1299999999999998E-2</v>
      </c>
      <c r="E173" s="89">
        <f>1.664/2</f>
        <v>0.83199999999999996</v>
      </c>
      <c r="F173" s="89">
        <f>1.0708/2</f>
        <v>0.53539999999999999</v>
      </c>
      <c r="G173" s="89">
        <f>1.3424/2</f>
        <v>0.67120000000000002</v>
      </c>
      <c r="H173" s="89">
        <f>1.5142/2</f>
        <v>0.7571</v>
      </c>
      <c r="I173" s="89">
        <f>2/2</f>
        <v>1</v>
      </c>
      <c r="J173" s="89">
        <f>2.1/2</f>
        <v>1.05</v>
      </c>
      <c r="K173" s="10">
        <v>20</v>
      </c>
      <c r="L173" s="8">
        <v>6</v>
      </c>
      <c r="N173" s="7" t="s">
        <v>121</v>
      </c>
      <c r="O173" s="4" t="s">
        <v>93</v>
      </c>
    </row>
    <row r="174" spans="1:15">
      <c r="A174" s="4" t="s">
        <v>576</v>
      </c>
      <c r="B174" s="7" t="s">
        <v>955</v>
      </c>
      <c r="C174" s="4" t="s">
        <v>957</v>
      </c>
      <c r="D174" s="89">
        <f>0.0178/2</f>
        <v>8.8999999999999999E-3</v>
      </c>
      <c r="E174" s="89">
        <f>0.0024/2</f>
        <v>1.1999999999999999E-3</v>
      </c>
      <c r="F174" s="89">
        <f>2.1164/2</f>
        <v>1.0582</v>
      </c>
      <c r="G174" s="89">
        <f>4.9264/2</f>
        <v>2.4632000000000001</v>
      </c>
      <c r="H174" s="89">
        <f>7.6116/2</f>
        <v>3.8058000000000001</v>
      </c>
      <c r="I174" s="89">
        <f>9.545/2</f>
        <v>4.7725</v>
      </c>
      <c r="J174" s="89">
        <f>10.64/2</f>
        <v>5.32</v>
      </c>
      <c r="K174" s="10">
        <v>20</v>
      </c>
      <c r="L174" s="8">
        <v>2</v>
      </c>
      <c r="N174" s="7" t="s">
        <v>121</v>
      </c>
      <c r="O174" s="4" t="s">
        <v>93</v>
      </c>
    </row>
    <row r="175" spans="1:15">
      <c r="A175" s="4" t="s">
        <v>576</v>
      </c>
      <c r="B175" s="7" t="s">
        <v>955</v>
      </c>
      <c r="C175" s="4" t="s">
        <v>957</v>
      </c>
      <c r="D175" s="89">
        <f>0.0178/2</f>
        <v>8.8999999999999999E-3</v>
      </c>
      <c r="E175" s="89">
        <f>0.0024/2</f>
        <v>1.1999999999999999E-3</v>
      </c>
      <c r="F175" s="89">
        <f>2.1164/2</f>
        <v>1.0582</v>
      </c>
      <c r="G175" s="89">
        <f>4.9264/2</f>
        <v>2.4632000000000001</v>
      </c>
      <c r="H175" s="89">
        <f>7.6116/2</f>
        <v>3.8058000000000001</v>
      </c>
      <c r="I175" s="89">
        <f>9.545/2</f>
        <v>4.7725</v>
      </c>
      <c r="J175" s="89">
        <f>10.64/2</f>
        <v>5.32</v>
      </c>
      <c r="K175" s="10">
        <v>20</v>
      </c>
      <c r="L175" s="8">
        <v>6</v>
      </c>
      <c r="N175" s="7" t="s">
        <v>121</v>
      </c>
      <c r="O175" s="4" t="s">
        <v>93</v>
      </c>
    </row>
    <row r="176" spans="1:15">
      <c r="A176" s="4" t="s">
        <v>576</v>
      </c>
      <c r="B176" s="7">
        <v>22</v>
      </c>
      <c r="C176" s="4" t="s">
        <v>958</v>
      </c>
      <c r="D176" s="89">
        <v>0</v>
      </c>
      <c r="E176" s="89">
        <f>10/3</f>
        <v>3.3333333333333335</v>
      </c>
      <c r="F176" s="89">
        <f>37.5/3</f>
        <v>12.5</v>
      </c>
      <c r="G176" s="89">
        <f>37.5/3</f>
        <v>12.5</v>
      </c>
      <c r="H176" s="89">
        <f>37.5/3</f>
        <v>12.5</v>
      </c>
      <c r="I176" s="89">
        <f>12.5/3</f>
        <v>4.166666666666667</v>
      </c>
      <c r="J176" s="89">
        <f>15/3</f>
        <v>5</v>
      </c>
      <c r="K176" s="10">
        <v>100</v>
      </c>
      <c r="L176" s="8">
        <v>4</v>
      </c>
      <c r="N176" s="7" t="s">
        <v>294</v>
      </c>
      <c r="O176" s="4" t="s">
        <v>93</v>
      </c>
    </row>
    <row r="177" spans="1:15">
      <c r="A177" s="4" t="s">
        <v>576</v>
      </c>
      <c r="B177" s="7">
        <v>22</v>
      </c>
      <c r="C177" s="4" t="s">
        <v>958</v>
      </c>
      <c r="D177" s="89">
        <v>0</v>
      </c>
      <c r="E177" s="89">
        <f t="shared" ref="E177:E178" si="20">10/3</f>
        <v>3.3333333333333335</v>
      </c>
      <c r="F177" s="89">
        <f t="shared" ref="F177:H178" si="21">37.5/3</f>
        <v>12.5</v>
      </c>
      <c r="G177" s="89">
        <f t="shared" si="21"/>
        <v>12.5</v>
      </c>
      <c r="H177" s="89">
        <f t="shared" si="21"/>
        <v>12.5</v>
      </c>
      <c r="I177" s="89">
        <f t="shared" ref="I177:I178" si="22">12.5/3</f>
        <v>4.166666666666667</v>
      </c>
      <c r="J177" s="89">
        <f t="shared" ref="J177:J178" si="23">15/3</f>
        <v>5</v>
      </c>
      <c r="K177" s="10">
        <v>100</v>
      </c>
      <c r="L177" s="8">
        <v>5</v>
      </c>
      <c r="N177" s="7" t="s">
        <v>294</v>
      </c>
      <c r="O177" s="4" t="s">
        <v>93</v>
      </c>
    </row>
    <row r="178" spans="1:15">
      <c r="A178" s="4" t="s">
        <v>576</v>
      </c>
      <c r="B178" s="7">
        <v>22</v>
      </c>
      <c r="C178" s="4" t="s">
        <v>958</v>
      </c>
      <c r="D178" s="89">
        <v>0</v>
      </c>
      <c r="E178" s="89">
        <f t="shared" si="20"/>
        <v>3.3333333333333335</v>
      </c>
      <c r="F178" s="89">
        <f t="shared" si="21"/>
        <v>12.5</v>
      </c>
      <c r="G178" s="89">
        <f t="shared" si="21"/>
        <v>12.5</v>
      </c>
      <c r="H178" s="89">
        <f t="shared" si="21"/>
        <v>12.5</v>
      </c>
      <c r="I178" s="89">
        <f t="shared" si="22"/>
        <v>4.166666666666667</v>
      </c>
      <c r="J178" s="89">
        <f t="shared" si="23"/>
        <v>5</v>
      </c>
      <c r="K178" s="10">
        <v>100</v>
      </c>
      <c r="L178" s="8">
        <v>6</v>
      </c>
      <c r="N178" s="7" t="s">
        <v>294</v>
      </c>
      <c r="O178" s="4" t="s">
        <v>93</v>
      </c>
    </row>
    <row r="179" spans="1:15">
      <c r="A179" s="4" t="s">
        <v>576</v>
      </c>
      <c r="B179" s="7">
        <v>17</v>
      </c>
      <c r="C179" s="4" t="s">
        <v>336</v>
      </c>
      <c r="D179" s="89">
        <v>0</v>
      </c>
      <c r="E179" s="89">
        <v>0</v>
      </c>
      <c r="F179" s="89">
        <v>4.5</v>
      </c>
      <c r="G179" s="89">
        <v>9</v>
      </c>
      <c r="H179" s="89">
        <v>4.5</v>
      </c>
      <c r="I179" s="89">
        <v>0</v>
      </c>
      <c r="J179" s="89">
        <v>0</v>
      </c>
      <c r="K179" s="10">
        <v>90</v>
      </c>
      <c r="L179" s="8">
        <v>14</v>
      </c>
      <c r="N179" s="7" t="s">
        <v>959</v>
      </c>
      <c r="O179" s="4" t="s">
        <v>93</v>
      </c>
    </row>
    <row r="180" spans="1:15">
      <c r="A180" s="86" t="s">
        <v>576</v>
      </c>
      <c r="B180" s="197">
        <v>24</v>
      </c>
      <c r="C180" s="86" t="s">
        <v>960</v>
      </c>
      <c r="D180" s="198">
        <v>0</v>
      </c>
      <c r="E180" s="198">
        <f>3.96/2</f>
        <v>1.98</v>
      </c>
      <c r="F180" s="198">
        <f>7.92/2</f>
        <v>3.96</v>
      </c>
      <c r="G180" s="198">
        <f>11.88/2</f>
        <v>5.94</v>
      </c>
      <c r="H180" s="198">
        <f>11.88/2</f>
        <v>5.94</v>
      </c>
      <c r="I180" s="198">
        <f>3.96/2</f>
        <v>1.98</v>
      </c>
      <c r="J180" s="198">
        <v>0</v>
      </c>
      <c r="K180" s="87">
        <v>90</v>
      </c>
      <c r="L180" s="196">
        <v>9</v>
      </c>
      <c r="M180" s="86"/>
      <c r="N180" s="197" t="s">
        <v>294</v>
      </c>
      <c r="O180" s="86" t="s">
        <v>93</v>
      </c>
    </row>
    <row r="181" spans="1:15">
      <c r="A181" s="86" t="s">
        <v>576</v>
      </c>
      <c r="B181" s="197">
        <v>24</v>
      </c>
      <c r="C181" s="86" t="s">
        <v>960</v>
      </c>
      <c r="D181" s="198">
        <v>0</v>
      </c>
      <c r="E181" s="198">
        <f>3.96/2</f>
        <v>1.98</v>
      </c>
      <c r="F181" s="198">
        <f>7.92/2</f>
        <v>3.96</v>
      </c>
      <c r="G181" s="198">
        <f>11.88/2</f>
        <v>5.94</v>
      </c>
      <c r="H181" s="198">
        <f>11.88/2</f>
        <v>5.94</v>
      </c>
      <c r="I181" s="198">
        <f>3.96/2</f>
        <v>1.98</v>
      </c>
      <c r="J181" s="198">
        <v>0</v>
      </c>
      <c r="K181" s="87">
        <v>90</v>
      </c>
      <c r="L181" s="196" t="s">
        <v>146</v>
      </c>
      <c r="M181" s="86"/>
      <c r="N181" s="197" t="s">
        <v>294</v>
      </c>
      <c r="O181" s="86" t="s">
        <v>93</v>
      </c>
    </row>
    <row r="182" spans="1:15">
      <c r="A182" s="86" t="s">
        <v>576</v>
      </c>
      <c r="B182" s="197">
        <v>25</v>
      </c>
      <c r="C182" s="86" t="s">
        <v>961</v>
      </c>
      <c r="D182" s="198">
        <v>0</v>
      </c>
      <c r="E182" s="198">
        <f>0.4/3</f>
        <v>0.13333333333333333</v>
      </c>
      <c r="F182" s="198">
        <f>10.765/3</f>
        <v>3.5883333333333334</v>
      </c>
      <c r="G182" s="198">
        <f>16.67/3</f>
        <v>5.5566666666666675</v>
      </c>
      <c r="H182" s="198">
        <f>5.295/3</f>
        <v>1.7649999999999999</v>
      </c>
      <c r="I182" s="198">
        <f>3.37/3</f>
        <v>1.1233333333333333</v>
      </c>
      <c r="J182" s="198">
        <v>0</v>
      </c>
      <c r="K182" s="87">
        <v>50</v>
      </c>
      <c r="L182" s="196">
        <v>5</v>
      </c>
      <c r="M182" s="86"/>
      <c r="N182" s="197" t="s">
        <v>294</v>
      </c>
      <c r="O182" s="86" t="s">
        <v>93</v>
      </c>
    </row>
    <row r="183" spans="1:15">
      <c r="A183" s="86" t="s">
        <v>576</v>
      </c>
      <c r="B183" s="197">
        <v>25</v>
      </c>
      <c r="C183" s="86" t="s">
        <v>961</v>
      </c>
      <c r="D183" s="198">
        <v>0</v>
      </c>
      <c r="E183" s="198">
        <f t="shared" ref="E183:E184" si="24">0.4/3</f>
        <v>0.13333333333333333</v>
      </c>
      <c r="F183" s="198">
        <f t="shared" ref="F183:F184" si="25">10.765/3</f>
        <v>3.5883333333333334</v>
      </c>
      <c r="G183" s="198">
        <f t="shared" ref="G183:G184" si="26">16.67/3</f>
        <v>5.5566666666666675</v>
      </c>
      <c r="H183" s="198">
        <f t="shared" ref="H183:H184" si="27">5.295/3</f>
        <v>1.7649999999999999</v>
      </c>
      <c r="I183" s="198">
        <f t="shared" ref="I183:I184" si="28">3.37/3</f>
        <v>1.1233333333333333</v>
      </c>
      <c r="J183" s="198">
        <v>0</v>
      </c>
      <c r="K183" s="87">
        <v>50</v>
      </c>
      <c r="L183" s="196">
        <v>6</v>
      </c>
      <c r="M183" s="86"/>
      <c r="N183" s="197" t="s">
        <v>294</v>
      </c>
      <c r="O183" s="86" t="s">
        <v>93</v>
      </c>
    </row>
    <row r="184" spans="1:15">
      <c r="A184" s="86" t="s">
        <v>576</v>
      </c>
      <c r="B184" s="197">
        <v>25</v>
      </c>
      <c r="C184" s="86" t="s">
        <v>961</v>
      </c>
      <c r="D184" s="198">
        <v>0</v>
      </c>
      <c r="E184" s="198">
        <f t="shared" si="24"/>
        <v>0.13333333333333333</v>
      </c>
      <c r="F184" s="198">
        <f t="shared" si="25"/>
        <v>3.5883333333333334</v>
      </c>
      <c r="G184" s="198">
        <f t="shared" si="26"/>
        <v>5.5566666666666675</v>
      </c>
      <c r="H184" s="198">
        <f t="shared" si="27"/>
        <v>1.7649999999999999</v>
      </c>
      <c r="I184" s="198">
        <f t="shared" si="28"/>
        <v>1.1233333333333333</v>
      </c>
      <c r="J184" s="198">
        <v>0</v>
      </c>
      <c r="K184" s="87">
        <v>50</v>
      </c>
      <c r="L184" s="196" t="s">
        <v>164</v>
      </c>
      <c r="M184" s="86"/>
      <c r="N184" s="197" t="s">
        <v>294</v>
      </c>
      <c r="O184" s="86" t="s">
        <v>93</v>
      </c>
    </row>
    <row r="185" spans="1:15">
      <c r="A185" s="86" t="s">
        <v>576</v>
      </c>
      <c r="B185" s="197">
        <v>26</v>
      </c>
      <c r="C185" s="86" t="s">
        <v>962</v>
      </c>
      <c r="D185" s="198">
        <v>0</v>
      </c>
      <c r="E185" s="198">
        <v>0</v>
      </c>
      <c r="F185" s="198">
        <v>0</v>
      </c>
      <c r="G185" s="198">
        <v>0</v>
      </c>
      <c r="H185" s="198">
        <v>0</v>
      </c>
      <c r="I185" s="198">
        <v>0</v>
      </c>
      <c r="J185" s="198">
        <v>0</v>
      </c>
      <c r="K185" s="87">
        <v>0</v>
      </c>
      <c r="L185" s="196">
        <v>7</v>
      </c>
      <c r="M185" s="86"/>
      <c r="N185" s="197" t="s">
        <v>294</v>
      </c>
      <c r="O185" s="86" t="s">
        <v>93</v>
      </c>
    </row>
    <row r="186" spans="1:15">
      <c r="A186" s="86" t="s">
        <v>576</v>
      </c>
      <c r="B186" s="197">
        <v>26</v>
      </c>
      <c r="C186" s="86" t="s">
        <v>962</v>
      </c>
      <c r="D186" s="198">
        <v>0</v>
      </c>
      <c r="E186" s="198">
        <v>0</v>
      </c>
      <c r="F186" s="198">
        <v>0</v>
      </c>
      <c r="G186" s="198">
        <v>0</v>
      </c>
      <c r="H186" s="198">
        <v>0</v>
      </c>
      <c r="I186" s="198">
        <v>0</v>
      </c>
      <c r="J186" s="198">
        <v>0</v>
      </c>
      <c r="K186" s="87">
        <v>0</v>
      </c>
      <c r="L186" s="196" t="s">
        <v>541</v>
      </c>
      <c r="M186" s="86"/>
      <c r="N186" s="197" t="s">
        <v>294</v>
      </c>
      <c r="O186" s="86" t="s">
        <v>93</v>
      </c>
    </row>
    <row r="187" spans="1:15">
      <c r="A187" s="86" t="s">
        <v>576</v>
      </c>
      <c r="B187" s="197">
        <v>27</v>
      </c>
      <c r="C187" s="86" t="s">
        <v>963</v>
      </c>
      <c r="D187" s="198">
        <v>0</v>
      </c>
      <c r="E187" s="198">
        <f>5.1/2</f>
        <v>2.5499999999999998</v>
      </c>
      <c r="F187" s="198">
        <f>6.4/2</f>
        <v>3.2</v>
      </c>
      <c r="G187" s="198">
        <v>0</v>
      </c>
      <c r="H187" s="198">
        <v>0</v>
      </c>
      <c r="I187" s="198">
        <v>0</v>
      </c>
      <c r="J187" s="198">
        <v>0</v>
      </c>
      <c r="K187" s="87">
        <v>50</v>
      </c>
      <c r="L187" s="196">
        <v>7</v>
      </c>
      <c r="M187" s="86"/>
      <c r="N187" s="197" t="s">
        <v>964</v>
      </c>
      <c r="O187" s="86" t="s">
        <v>93</v>
      </c>
    </row>
    <row r="188" spans="1:15">
      <c r="A188" s="86" t="s">
        <v>576</v>
      </c>
      <c r="B188" s="197">
        <v>27</v>
      </c>
      <c r="C188" s="86" t="s">
        <v>963</v>
      </c>
      <c r="D188" s="198">
        <v>0</v>
      </c>
      <c r="E188" s="198">
        <f>5.1/2</f>
        <v>2.5499999999999998</v>
      </c>
      <c r="F188" s="198">
        <f>6.4/2</f>
        <v>3.2</v>
      </c>
      <c r="G188" s="198">
        <v>0</v>
      </c>
      <c r="H188" s="198">
        <v>0</v>
      </c>
      <c r="I188" s="198">
        <v>0</v>
      </c>
      <c r="J188" s="198">
        <v>0</v>
      </c>
      <c r="K188" s="87">
        <v>50</v>
      </c>
      <c r="L188" s="196" t="s">
        <v>541</v>
      </c>
      <c r="M188" s="86"/>
      <c r="N188" s="197" t="s">
        <v>964</v>
      </c>
      <c r="O188" s="86" t="s">
        <v>93</v>
      </c>
    </row>
    <row r="189" spans="1:15">
      <c r="A189" s="86" t="s">
        <v>576</v>
      </c>
      <c r="B189" s="197">
        <v>28</v>
      </c>
      <c r="C189" s="86" t="s">
        <v>965</v>
      </c>
      <c r="D189" s="198">
        <v>0</v>
      </c>
      <c r="E189" s="198">
        <f>7.1/2</f>
        <v>3.55</v>
      </c>
      <c r="F189" s="198">
        <f>16.55/2</f>
        <v>8.2750000000000004</v>
      </c>
      <c r="G189" s="198">
        <f>1.55/2</f>
        <v>0.77500000000000002</v>
      </c>
      <c r="H189" s="198">
        <f>1.8/2</f>
        <v>0.9</v>
      </c>
      <c r="I189" s="198">
        <v>0</v>
      </c>
      <c r="J189" s="198">
        <v>0</v>
      </c>
      <c r="K189" s="87">
        <v>50</v>
      </c>
      <c r="L189" s="196">
        <v>4</v>
      </c>
      <c r="M189" s="86"/>
      <c r="N189" s="197" t="s">
        <v>294</v>
      </c>
      <c r="O189" s="86" t="s">
        <v>93</v>
      </c>
    </row>
    <row r="190" spans="1:15">
      <c r="A190" s="86" t="s">
        <v>576</v>
      </c>
      <c r="B190" s="197">
        <v>28</v>
      </c>
      <c r="C190" s="86" t="s">
        <v>965</v>
      </c>
      <c r="D190" s="198">
        <v>0</v>
      </c>
      <c r="E190" s="198">
        <f>7.1/2</f>
        <v>3.55</v>
      </c>
      <c r="F190" s="198">
        <f>16.55/2</f>
        <v>8.2750000000000004</v>
      </c>
      <c r="G190" s="198">
        <f>1.55/2</f>
        <v>0.77500000000000002</v>
      </c>
      <c r="H190" s="198">
        <f>1.8/2</f>
        <v>0.9</v>
      </c>
      <c r="I190" s="198">
        <v>0</v>
      </c>
      <c r="J190" s="198">
        <v>0</v>
      </c>
      <c r="K190" s="87">
        <v>50</v>
      </c>
      <c r="L190" s="196" t="s">
        <v>164</v>
      </c>
      <c r="M190" s="86"/>
      <c r="N190" s="197" t="s">
        <v>294</v>
      </c>
      <c r="O190" s="86" t="s">
        <v>93</v>
      </c>
    </row>
    <row r="191" spans="1:15">
      <c r="A191" s="4" t="s">
        <v>576</v>
      </c>
      <c r="B191" s="7"/>
      <c r="C191" s="4" t="s">
        <v>966</v>
      </c>
      <c r="D191" s="89">
        <v>0</v>
      </c>
      <c r="E191" s="89">
        <v>2.444</v>
      </c>
      <c r="F191" s="89">
        <v>4.444</v>
      </c>
      <c r="G191" s="89">
        <v>2.222</v>
      </c>
      <c r="H191" s="89">
        <v>0.89</v>
      </c>
      <c r="I191" s="89">
        <v>0</v>
      </c>
      <c r="J191" s="89">
        <v>0</v>
      </c>
      <c r="K191" s="10">
        <v>100</v>
      </c>
      <c r="L191" s="8">
        <v>6</v>
      </c>
      <c r="N191" s="7" t="s">
        <v>294</v>
      </c>
      <c r="O191" s="4" t="s">
        <v>93</v>
      </c>
    </row>
    <row r="192" spans="1:15">
      <c r="A192" s="4" t="s">
        <v>576</v>
      </c>
      <c r="B192" s="7">
        <v>11</v>
      </c>
      <c r="C192" s="4" t="s">
        <v>338</v>
      </c>
      <c r="D192" s="89">
        <v>0</v>
      </c>
      <c r="E192" s="89">
        <v>0</v>
      </c>
      <c r="F192" s="89">
        <v>4</v>
      </c>
      <c r="G192" s="89">
        <v>4</v>
      </c>
      <c r="H192" s="89">
        <v>4</v>
      </c>
      <c r="I192" s="89">
        <v>1</v>
      </c>
      <c r="J192" s="89">
        <v>1</v>
      </c>
      <c r="K192" s="10">
        <v>25</v>
      </c>
      <c r="L192" s="8">
        <v>6</v>
      </c>
      <c r="N192" s="7" t="s">
        <v>121</v>
      </c>
      <c r="O192" s="4" t="s">
        <v>93</v>
      </c>
    </row>
    <row r="193" spans="1:15">
      <c r="A193" s="4" t="s">
        <v>576</v>
      </c>
      <c r="B193" s="4" t="s">
        <v>907</v>
      </c>
      <c r="C193" s="4" t="s">
        <v>366</v>
      </c>
      <c r="D193" s="49">
        <v>50.838000000000001</v>
      </c>
      <c r="E193" s="49">
        <v>44.761000000000003</v>
      </c>
      <c r="F193" s="49">
        <v>56.999000000000002</v>
      </c>
      <c r="G193" s="49">
        <v>56.933</v>
      </c>
      <c r="H193" s="49">
        <v>58.689</v>
      </c>
      <c r="I193" s="49">
        <v>57.689</v>
      </c>
      <c r="J193" s="49">
        <v>57.689</v>
      </c>
      <c r="K193" s="4">
        <v>100</v>
      </c>
      <c r="L193" s="4">
        <v>6</v>
      </c>
      <c r="M193" s="4" t="s">
        <v>189</v>
      </c>
      <c r="N193" s="4" t="s">
        <v>121</v>
      </c>
      <c r="O193" s="4" t="s">
        <v>93</v>
      </c>
    </row>
    <row r="194" spans="1:15">
      <c r="A194" s="4" t="s">
        <v>576</v>
      </c>
      <c r="B194" s="4" t="s">
        <v>967</v>
      </c>
      <c r="C194" s="4" t="s">
        <v>368</v>
      </c>
      <c r="D194" s="49">
        <v>18.841199999999997</v>
      </c>
      <c r="E194" s="49">
        <v>26.643399999999996</v>
      </c>
      <c r="F194" s="49">
        <v>37.491299999999995</v>
      </c>
      <c r="G194" s="49">
        <v>42.879899999999992</v>
      </c>
      <c r="H194" s="49">
        <v>42.877099999999999</v>
      </c>
      <c r="I194" s="49">
        <v>39.260199999999998</v>
      </c>
      <c r="J194" s="49">
        <v>39.260199999999998</v>
      </c>
      <c r="K194" s="4">
        <v>70</v>
      </c>
      <c r="L194" s="4">
        <v>6</v>
      </c>
      <c r="M194" s="4" t="s">
        <v>189</v>
      </c>
      <c r="N194" s="4" t="s">
        <v>121</v>
      </c>
      <c r="O194" s="4" t="s">
        <v>93</v>
      </c>
    </row>
    <row r="195" spans="1:15">
      <c r="A195" s="4" t="s">
        <v>576</v>
      </c>
      <c r="B195" s="4" t="s">
        <v>968</v>
      </c>
      <c r="C195" s="88" t="s">
        <v>370</v>
      </c>
      <c r="D195" s="49">
        <v>8.25</v>
      </c>
      <c r="E195" s="49">
        <v>26.384</v>
      </c>
      <c r="F195" s="49">
        <v>13.646000000000001</v>
      </c>
      <c r="G195" s="49">
        <v>5.633</v>
      </c>
      <c r="H195" s="49">
        <v>6.5505000000000004</v>
      </c>
      <c r="I195" s="49">
        <v>7.9</v>
      </c>
      <c r="J195" s="49">
        <v>5.4</v>
      </c>
      <c r="K195" s="4">
        <v>50</v>
      </c>
      <c r="L195" s="4">
        <v>6</v>
      </c>
      <c r="M195" s="4" t="s">
        <v>189</v>
      </c>
      <c r="N195" s="4" t="s">
        <v>121</v>
      </c>
      <c r="O195" s="4" t="s">
        <v>93</v>
      </c>
    </row>
    <row r="196" spans="1:15" ht="27.6">
      <c r="A196" s="149" t="s">
        <v>576</v>
      </c>
      <c r="B196" s="168">
        <v>19</v>
      </c>
      <c r="C196" s="169" t="s">
        <v>371</v>
      </c>
      <c r="D196" s="170">
        <v>0.497</v>
      </c>
      <c r="E196" s="170">
        <v>16.978999999999999</v>
      </c>
      <c r="F196" s="170">
        <v>2.5</v>
      </c>
      <c r="G196" s="170">
        <v>0</v>
      </c>
      <c r="H196" s="170">
        <v>0</v>
      </c>
      <c r="I196" s="170">
        <v>2.5</v>
      </c>
      <c r="J196" s="170">
        <v>2.5</v>
      </c>
      <c r="K196" s="171">
        <v>100</v>
      </c>
      <c r="L196" s="194" t="s">
        <v>851</v>
      </c>
      <c r="M196" s="149"/>
      <c r="N196" s="168" t="s">
        <v>969</v>
      </c>
      <c r="O196" s="149" t="s">
        <v>108</v>
      </c>
    </row>
    <row r="197" spans="1:15">
      <c r="A197" s="4" t="s">
        <v>576</v>
      </c>
      <c r="B197" s="7">
        <v>19</v>
      </c>
      <c r="C197" s="88" t="s">
        <v>970</v>
      </c>
      <c r="D197" s="89">
        <v>1.11504</v>
      </c>
      <c r="E197" s="89">
        <v>2.35392</v>
      </c>
      <c r="F197" s="89">
        <v>1.1668799999999999</v>
      </c>
      <c r="G197" s="89">
        <v>0.56159999999999999</v>
      </c>
      <c r="H197" s="89">
        <v>0.3024</v>
      </c>
      <c r="I197" s="89">
        <v>0.17279999999999998</v>
      </c>
      <c r="J197" s="89">
        <v>0</v>
      </c>
      <c r="K197" s="10">
        <v>48</v>
      </c>
      <c r="L197" s="8" t="s">
        <v>541</v>
      </c>
      <c r="N197" s="7" t="s">
        <v>374</v>
      </c>
      <c r="O197" s="4" t="s">
        <v>93</v>
      </c>
    </row>
    <row r="198" spans="1:15">
      <c r="A198" s="4" t="s">
        <v>576</v>
      </c>
      <c r="B198" s="7"/>
      <c r="C198" s="88" t="s">
        <v>375</v>
      </c>
      <c r="D198" s="89">
        <v>0</v>
      </c>
      <c r="E198" s="89">
        <v>0.75</v>
      </c>
      <c r="F198" s="89">
        <v>2.25</v>
      </c>
      <c r="G198" s="89">
        <v>3.5</v>
      </c>
      <c r="H198" s="89">
        <v>4</v>
      </c>
      <c r="I198" s="89">
        <v>0.75</v>
      </c>
      <c r="J198" s="89">
        <v>0.75</v>
      </c>
      <c r="K198" s="10">
        <v>50</v>
      </c>
      <c r="L198" s="8">
        <v>7</v>
      </c>
      <c r="N198" s="7" t="s">
        <v>971</v>
      </c>
      <c r="O198" s="4" t="s">
        <v>93</v>
      </c>
    </row>
    <row r="199" spans="1:15">
      <c r="A199" s="4" t="s">
        <v>576</v>
      </c>
      <c r="B199" s="4" t="s">
        <v>972</v>
      </c>
      <c r="C199" s="4" t="s">
        <v>973</v>
      </c>
      <c r="D199" s="49">
        <v>3.8105000000000002</v>
      </c>
      <c r="E199" s="49">
        <v>5.7060000000000004</v>
      </c>
      <c r="F199" s="49">
        <v>7.532</v>
      </c>
      <c r="G199" s="49">
        <v>7.5235000000000003</v>
      </c>
      <c r="H199" s="49">
        <v>8.5734999999999992</v>
      </c>
      <c r="I199" s="49">
        <v>4.5735000000000001</v>
      </c>
      <c r="J199" s="49">
        <v>4.5735000000000001</v>
      </c>
      <c r="K199" s="4">
        <v>50</v>
      </c>
      <c r="L199" s="10">
        <v>6</v>
      </c>
      <c r="M199" s="4" t="s">
        <v>189</v>
      </c>
      <c r="N199" s="4" t="s">
        <v>121</v>
      </c>
      <c r="O199" s="4" t="s">
        <v>93</v>
      </c>
    </row>
    <row r="200" spans="1:15">
      <c r="A200" s="4" t="s">
        <v>576</v>
      </c>
      <c r="B200" s="4" t="s">
        <v>972</v>
      </c>
      <c r="C200" s="4" t="s">
        <v>974</v>
      </c>
      <c r="D200" s="49">
        <v>2.5179999999999998</v>
      </c>
      <c r="E200" s="49">
        <v>2.9904999999999999</v>
      </c>
      <c r="F200" s="49">
        <v>2.7250000000000001</v>
      </c>
      <c r="G200" s="49">
        <v>2.7250000000000001</v>
      </c>
      <c r="H200" s="49">
        <v>2.7250000000000001</v>
      </c>
      <c r="I200" s="49">
        <v>2.7250000000000001</v>
      </c>
      <c r="J200" s="49">
        <v>2.7250000000000001</v>
      </c>
      <c r="K200" s="4">
        <v>50</v>
      </c>
      <c r="L200" s="10">
        <v>6</v>
      </c>
      <c r="M200" s="4" t="s">
        <v>189</v>
      </c>
      <c r="N200" s="4" t="s">
        <v>121</v>
      </c>
      <c r="O200" s="4" t="s">
        <v>93</v>
      </c>
    </row>
    <row r="201" spans="1:15">
      <c r="A201" s="4" t="s">
        <v>576</v>
      </c>
      <c r="B201" s="4" t="s">
        <v>972</v>
      </c>
      <c r="C201" s="4" t="s">
        <v>975</v>
      </c>
      <c r="D201" s="49">
        <v>0.39800000000000002</v>
      </c>
      <c r="E201" s="49">
        <v>0.40749999999999997</v>
      </c>
      <c r="F201" s="49">
        <v>0</v>
      </c>
      <c r="G201" s="49">
        <v>0</v>
      </c>
      <c r="H201" s="49">
        <v>0</v>
      </c>
      <c r="I201" s="49">
        <v>0</v>
      </c>
      <c r="J201" s="49">
        <v>0</v>
      </c>
      <c r="K201" s="4">
        <v>50</v>
      </c>
      <c r="L201" s="10">
        <v>6</v>
      </c>
      <c r="M201" s="4" t="s">
        <v>189</v>
      </c>
      <c r="N201" s="4" t="s">
        <v>121</v>
      </c>
      <c r="O201" s="4" t="s">
        <v>93</v>
      </c>
    </row>
    <row r="202" spans="1:15">
      <c r="A202" s="4" t="s">
        <v>576</v>
      </c>
      <c r="C202" s="4" t="s">
        <v>378</v>
      </c>
      <c r="D202" s="49">
        <v>0.505</v>
      </c>
      <c r="E202" s="49">
        <v>1.0169999999999999</v>
      </c>
      <c r="F202" s="49">
        <v>0.499</v>
      </c>
      <c r="G202" s="49">
        <v>0.158</v>
      </c>
      <c r="H202" s="49">
        <v>0</v>
      </c>
      <c r="I202" s="49">
        <v>0</v>
      </c>
      <c r="J202" s="49">
        <v>0</v>
      </c>
      <c r="K202" s="4">
        <v>100</v>
      </c>
      <c r="L202" s="10">
        <v>6</v>
      </c>
      <c r="M202" s="4" t="s">
        <v>189</v>
      </c>
      <c r="N202" s="4" t="s">
        <v>121</v>
      </c>
      <c r="O202" s="4" t="s">
        <v>93</v>
      </c>
    </row>
    <row r="203" spans="1:15">
      <c r="A203" s="4" t="s">
        <v>576</v>
      </c>
      <c r="B203" s="4" t="s">
        <v>976</v>
      </c>
      <c r="C203" s="4" t="s">
        <v>382</v>
      </c>
      <c r="D203" s="49">
        <v>0</v>
      </c>
      <c r="E203" s="49">
        <f>0.8/4</f>
        <v>0.2</v>
      </c>
      <c r="F203" s="49">
        <f>1.2/4</f>
        <v>0.3</v>
      </c>
      <c r="G203" s="49">
        <f>1.4/4</f>
        <v>0.35</v>
      </c>
      <c r="H203" s="49">
        <f>1.2/4</f>
        <v>0.3</v>
      </c>
      <c r="I203" s="49">
        <f>0.4/4</f>
        <v>0.1</v>
      </c>
      <c r="J203" s="49">
        <v>0</v>
      </c>
      <c r="K203" s="4">
        <v>20</v>
      </c>
      <c r="L203" s="10">
        <v>4</v>
      </c>
      <c r="N203" s="4" t="s">
        <v>121</v>
      </c>
      <c r="O203" s="4" t="s">
        <v>93</v>
      </c>
    </row>
    <row r="204" spans="1:15">
      <c r="A204" s="4" t="s">
        <v>576</v>
      </c>
      <c r="B204" s="4" t="s">
        <v>976</v>
      </c>
      <c r="C204" s="4" t="s">
        <v>382</v>
      </c>
      <c r="D204" s="49">
        <v>0</v>
      </c>
      <c r="E204" s="49">
        <f t="shared" ref="E204:E206" si="29">0.8/4</f>
        <v>0.2</v>
      </c>
      <c r="F204" s="49">
        <f t="shared" ref="F204:F206" si="30">1.2/4</f>
        <v>0.3</v>
      </c>
      <c r="G204" s="49">
        <f t="shared" ref="G204:G206" si="31">1.4/4</f>
        <v>0.35</v>
      </c>
      <c r="H204" s="49">
        <f t="shared" ref="H204:H206" si="32">1.2/4</f>
        <v>0.3</v>
      </c>
      <c r="I204" s="49">
        <f t="shared" ref="I204:I206" si="33">0.4/4</f>
        <v>0.1</v>
      </c>
      <c r="J204" s="49">
        <v>0</v>
      </c>
      <c r="K204" s="4">
        <v>20</v>
      </c>
      <c r="L204" s="10">
        <v>5</v>
      </c>
      <c r="N204" s="4" t="s">
        <v>121</v>
      </c>
      <c r="O204" s="4" t="s">
        <v>93</v>
      </c>
    </row>
    <row r="205" spans="1:15">
      <c r="A205" s="4" t="s">
        <v>576</v>
      </c>
      <c r="B205" s="4" t="s">
        <v>976</v>
      </c>
      <c r="C205" s="4" t="s">
        <v>382</v>
      </c>
      <c r="D205" s="49">
        <v>0</v>
      </c>
      <c r="E205" s="49">
        <f t="shared" si="29"/>
        <v>0.2</v>
      </c>
      <c r="F205" s="49">
        <f t="shared" si="30"/>
        <v>0.3</v>
      </c>
      <c r="G205" s="49">
        <f t="shared" si="31"/>
        <v>0.35</v>
      </c>
      <c r="H205" s="49">
        <f t="shared" si="32"/>
        <v>0.3</v>
      </c>
      <c r="I205" s="49">
        <f t="shared" si="33"/>
        <v>0.1</v>
      </c>
      <c r="J205" s="49">
        <v>0</v>
      </c>
      <c r="K205" s="4">
        <v>20</v>
      </c>
      <c r="L205" s="10">
        <v>6</v>
      </c>
      <c r="N205" s="4" t="s">
        <v>121</v>
      </c>
      <c r="O205" s="4" t="s">
        <v>93</v>
      </c>
    </row>
    <row r="206" spans="1:15">
      <c r="A206" s="4" t="s">
        <v>576</v>
      </c>
      <c r="B206" s="4" t="s">
        <v>976</v>
      </c>
      <c r="C206" s="4" t="s">
        <v>382</v>
      </c>
      <c r="D206" s="49">
        <v>0</v>
      </c>
      <c r="E206" s="49">
        <f t="shared" si="29"/>
        <v>0.2</v>
      </c>
      <c r="F206" s="49">
        <f t="shared" si="30"/>
        <v>0.3</v>
      </c>
      <c r="G206" s="49">
        <f t="shared" si="31"/>
        <v>0.35</v>
      </c>
      <c r="H206" s="49">
        <f t="shared" si="32"/>
        <v>0.3</v>
      </c>
      <c r="I206" s="49">
        <f t="shared" si="33"/>
        <v>0.1</v>
      </c>
      <c r="J206" s="49">
        <v>0</v>
      </c>
      <c r="K206" s="4">
        <v>20</v>
      </c>
      <c r="L206" s="10">
        <v>7</v>
      </c>
      <c r="N206" s="4" t="s">
        <v>121</v>
      </c>
      <c r="O206" s="4" t="s">
        <v>93</v>
      </c>
    </row>
    <row r="207" spans="1:15">
      <c r="A207" s="4" t="s">
        <v>576</v>
      </c>
      <c r="B207" s="4" t="s">
        <v>977</v>
      </c>
      <c r="C207" s="4" t="s">
        <v>383</v>
      </c>
      <c r="D207" s="49">
        <v>0</v>
      </c>
      <c r="E207" s="49">
        <v>3</v>
      </c>
      <c r="F207" s="49">
        <v>7.5</v>
      </c>
      <c r="G207" s="49">
        <v>7.5</v>
      </c>
      <c r="H207" s="49">
        <v>7.5</v>
      </c>
      <c r="I207" s="49">
        <v>7.5</v>
      </c>
      <c r="J207" s="49">
        <v>19.5</v>
      </c>
      <c r="K207" s="4">
        <v>30</v>
      </c>
      <c r="L207" s="10">
        <v>6</v>
      </c>
      <c r="N207" s="4" t="s">
        <v>121</v>
      </c>
      <c r="O207" s="4" t="s">
        <v>93</v>
      </c>
    </row>
    <row r="208" spans="1:15">
      <c r="A208" s="4" t="s">
        <v>576</v>
      </c>
      <c r="B208" s="4" t="s">
        <v>978</v>
      </c>
      <c r="C208" s="4" t="s">
        <v>384</v>
      </c>
      <c r="D208" s="49">
        <v>0</v>
      </c>
      <c r="E208" s="49">
        <f>1/4</f>
        <v>0.25</v>
      </c>
      <c r="F208" s="49">
        <f t="shared" ref="F208:I211" si="34">1/4</f>
        <v>0.25</v>
      </c>
      <c r="G208" s="49">
        <f t="shared" si="34"/>
        <v>0.25</v>
      </c>
      <c r="H208" s="49">
        <f t="shared" si="34"/>
        <v>0.25</v>
      </c>
      <c r="I208" s="49">
        <f t="shared" si="34"/>
        <v>0.25</v>
      </c>
      <c r="J208" s="49">
        <v>0</v>
      </c>
      <c r="K208" s="4">
        <v>10</v>
      </c>
      <c r="L208" s="10">
        <v>4</v>
      </c>
      <c r="N208" s="4" t="s">
        <v>121</v>
      </c>
      <c r="O208" s="4" t="s">
        <v>93</v>
      </c>
    </row>
    <row r="209" spans="1:15">
      <c r="A209" s="4" t="s">
        <v>576</v>
      </c>
      <c r="B209" s="4" t="s">
        <v>978</v>
      </c>
      <c r="C209" s="4" t="s">
        <v>384</v>
      </c>
      <c r="D209" s="49">
        <v>0</v>
      </c>
      <c r="E209" s="49">
        <f t="shared" ref="E209:E211" si="35">1/4</f>
        <v>0.25</v>
      </c>
      <c r="F209" s="49">
        <f t="shared" si="34"/>
        <v>0.25</v>
      </c>
      <c r="G209" s="49">
        <f t="shared" si="34"/>
        <v>0.25</v>
      </c>
      <c r="H209" s="49">
        <f t="shared" si="34"/>
        <v>0.25</v>
      </c>
      <c r="I209" s="49">
        <f t="shared" si="34"/>
        <v>0.25</v>
      </c>
      <c r="J209" s="49">
        <v>0</v>
      </c>
      <c r="K209" s="4">
        <v>10</v>
      </c>
      <c r="L209" s="10">
        <v>5</v>
      </c>
      <c r="N209" s="4" t="s">
        <v>121</v>
      </c>
      <c r="O209" s="4" t="s">
        <v>93</v>
      </c>
    </row>
    <row r="210" spans="1:15">
      <c r="A210" s="4" t="s">
        <v>576</v>
      </c>
      <c r="B210" s="4" t="s">
        <v>978</v>
      </c>
      <c r="C210" s="4" t="s">
        <v>384</v>
      </c>
      <c r="D210" s="49">
        <v>0</v>
      </c>
      <c r="E210" s="49">
        <f t="shared" si="35"/>
        <v>0.25</v>
      </c>
      <c r="F210" s="49">
        <f t="shared" si="34"/>
        <v>0.25</v>
      </c>
      <c r="G210" s="49">
        <f t="shared" si="34"/>
        <v>0.25</v>
      </c>
      <c r="H210" s="49">
        <f t="shared" si="34"/>
        <v>0.25</v>
      </c>
      <c r="I210" s="49">
        <f t="shared" si="34"/>
        <v>0.25</v>
      </c>
      <c r="J210" s="49">
        <v>0</v>
      </c>
      <c r="K210" s="4">
        <v>10</v>
      </c>
      <c r="L210" s="10">
        <v>6</v>
      </c>
      <c r="N210" s="4" t="s">
        <v>121</v>
      </c>
      <c r="O210" s="4" t="s">
        <v>93</v>
      </c>
    </row>
    <row r="211" spans="1:15">
      <c r="A211" s="4" t="s">
        <v>576</v>
      </c>
      <c r="B211" s="4" t="s">
        <v>978</v>
      </c>
      <c r="C211" s="4" t="s">
        <v>384</v>
      </c>
      <c r="D211" s="49">
        <v>0</v>
      </c>
      <c r="E211" s="49">
        <f t="shared" si="35"/>
        <v>0.25</v>
      </c>
      <c r="F211" s="49">
        <f t="shared" si="34"/>
        <v>0.25</v>
      </c>
      <c r="G211" s="49">
        <f t="shared" si="34"/>
        <v>0.25</v>
      </c>
      <c r="H211" s="49">
        <f t="shared" si="34"/>
        <v>0.25</v>
      </c>
      <c r="I211" s="49">
        <f t="shared" si="34"/>
        <v>0.25</v>
      </c>
      <c r="J211" s="49">
        <v>0</v>
      </c>
      <c r="K211" s="4">
        <v>10</v>
      </c>
      <c r="L211" s="10">
        <v>7</v>
      </c>
      <c r="N211" s="4" t="s">
        <v>121</v>
      </c>
      <c r="O211" s="4" t="s">
        <v>93</v>
      </c>
    </row>
    <row r="212" spans="1:15">
      <c r="A212" s="4" t="s">
        <v>576</v>
      </c>
      <c r="C212" s="4" t="s">
        <v>979</v>
      </c>
      <c r="D212" s="49">
        <v>0.36460000000000004</v>
      </c>
      <c r="E212" s="49">
        <v>0.67</v>
      </c>
      <c r="F212" s="49">
        <v>0.59560000000000002</v>
      </c>
      <c r="G212" s="49">
        <v>0.59560000000000002</v>
      </c>
      <c r="H212" s="49">
        <v>0.59560000000000002</v>
      </c>
      <c r="I212" s="49">
        <v>0.47960000000000003</v>
      </c>
      <c r="J212" s="49">
        <v>0</v>
      </c>
      <c r="K212" s="4">
        <v>20</v>
      </c>
      <c r="L212" s="10">
        <v>6</v>
      </c>
      <c r="N212" s="4" t="s">
        <v>980</v>
      </c>
      <c r="O212" s="4" t="s">
        <v>93</v>
      </c>
    </row>
    <row r="213" spans="1:15">
      <c r="A213" s="4" t="s">
        <v>576</v>
      </c>
      <c r="B213" s="7" t="s">
        <v>981</v>
      </c>
      <c r="C213" s="4" t="s">
        <v>982</v>
      </c>
      <c r="D213" s="49">
        <v>19.775500000000001</v>
      </c>
      <c r="E213" s="49">
        <v>21.96575</v>
      </c>
      <c r="F213" s="49">
        <v>25.568750000000001</v>
      </c>
      <c r="G213" s="49">
        <v>26.015999999999998</v>
      </c>
      <c r="H213" s="49">
        <v>24.00375</v>
      </c>
      <c r="I213" s="49">
        <v>18.568750000000001</v>
      </c>
      <c r="J213" s="49">
        <v>10.925000000000001</v>
      </c>
      <c r="K213" s="4">
        <v>25</v>
      </c>
      <c r="L213" s="4">
        <v>5</v>
      </c>
      <c r="M213" s="4" t="s">
        <v>398</v>
      </c>
      <c r="N213" s="4" t="s">
        <v>121</v>
      </c>
      <c r="O213" s="4" t="s">
        <v>93</v>
      </c>
    </row>
    <row r="214" spans="1:15">
      <c r="A214" s="4" t="s">
        <v>576</v>
      </c>
      <c r="B214" s="7" t="s">
        <v>981</v>
      </c>
      <c r="C214" s="4" t="s">
        <v>983</v>
      </c>
      <c r="D214" s="49">
        <v>10.931700000000001</v>
      </c>
      <c r="E214" s="49">
        <v>16.8261</v>
      </c>
      <c r="F214" s="49">
        <v>24.911399999999997</v>
      </c>
      <c r="G214" s="49">
        <v>18.131699999999999</v>
      </c>
      <c r="H214" s="49">
        <v>15.319499999999998</v>
      </c>
      <c r="I214" s="49">
        <v>12.165599999999998</v>
      </c>
      <c r="J214" s="49">
        <v>14.181599999999998</v>
      </c>
      <c r="K214" s="4">
        <v>30</v>
      </c>
      <c r="L214" s="4">
        <v>5</v>
      </c>
      <c r="M214" s="4" t="s">
        <v>398</v>
      </c>
      <c r="N214" s="4" t="s">
        <v>121</v>
      </c>
      <c r="O214" s="4" t="s">
        <v>93</v>
      </c>
    </row>
    <row r="215" spans="1:15">
      <c r="A215" s="4" t="s">
        <v>576</v>
      </c>
      <c r="B215" s="7" t="s">
        <v>981</v>
      </c>
      <c r="C215" s="4" t="s">
        <v>984</v>
      </c>
      <c r="D215" s="49">
        <v>0.56225000000000003</v>
      </c>
      <c r="E215" s="49">
        <v>0.46500000000000002</v>
      </c>
      <c r="F215" s="49">
        <v>0.59199999999999997</v>
      </c>
      <c r="G215" s="49">
        <v>0.59199999999999997</v>
      </c>
      <c r="H215" s="49">
        <v>0.59199999999999997</v>
      </c>
      <c r="I215" s="49">
        <v>0.59199999999999997</v>
      </c>
      <c r="J215" s="49">
        <v>0.59199999999999997</v>
      </c>
      <c r="K215" s="4">
        <v>25</v>
      </c>
      <c r="L215" s="4">
        <v>5</v>
      </c>
      <c r="M215" s="4" t="s">
        <v>398</v>
      </c>
      <c r="N215" s="4" t="s">
        <v>121</v>
      </c>
      <c r="O215" s="4" t="s">
        <v>93</v>
      </c>
    </row>
    <row r="216" spans="1:15">
      <c r="A216" s="4" t="s">
        <v>576</v>
      </c>
      <c r="B216" s="7" t="s">
        <v>981</v>
      </c>
      <c r="C216" s="4" t="s">
        <v>985</v>
      </c>
      <c r="D216" s="49">
        <v>0.14974999999999999</v>
      </c>
      <c r="E216" s="49">
        <v>4.7500000000000001E-2</v>
      </c>
      <c r="F216" s="49">
        <v>0</v>
      </c>
      <c r="G216" s="49">
        <v>0</v>
      </c>
      <c r="H216" s="49">
        <v>0</v>
      </c>
      <c r="I216" s="49">
        <v>0</v>
      </c>
      <c r="J216" s="49">
        <v>0</v>
      </c>
      <c r="K216" s="4">
        <v>25</v>
      </c>
      <c r="L216" s="4">
        <v>5</v>
      </c>
      <c r="M216" s="4" t="s">
        <v>398</v>
      </c>
      <c r="N216" s="4" t="s">
        <v>121</v>
      </c>
      <c r="O216" s="4" t="s">
        <v>93</v>
      </c>
    </row>
    <row r="217" spans="1:15">
      <c r="A217" s="4" t="s">
        <v>576</v>
      </c>
      <c r="B217" s="7" t="s">
        <v>981</v>
      </c>
      <c r="C217" s="4" t="s">
        <v>986</v>
      </c>
      <c r="D217" s="49">
        <v>0</v>
      </c>
      <c r="E217" s="49">
        <v>0</v>
      </c>
      <c r="F217" s="49">
        <v>0</v>
      </c>
      <c r="G217" s="49">
        <v>0</v>
      </c>
      <c r="H217" s="49">
        <v>0</v>
      </c>
      <c r="I217" s="49">
        <v>0</v>
      </c>
      <c r="J217" s="49">
        <v>0</v>
      </c>
      <c r="K217" s="4">
        <v>25</v>
      </c>
      <c r="L217" s="4">
        <v>5</v>
      </c>
      <c r="M217" s="4" t="s">
        <v>398</v>
      </c>
      <c r="N217" s="4" t="s">
        <v>121</v>
      </c>
      <c r="O217" s="4" t="s">
        <v>93</v>
      </c>
    </row>
    <row r="218" spans="1:15">
      <c r="A218" s="4" t="s">
        <v>576</v>
      </c>
      <c r="B218" s="7" t="s">
        <v>981</v>
      </c>
      <c r="C218" s="4" t="s">
        <v>406</v>
      </c>
      <c r="D218" s="49">
        <v>6.2850000000000001</v>
      </c>
      <c r="E218" s="49">
        <v>5.2060000000000004</v>
      </c>
      <c r="F218" s="49">
        <v>4.08</v>
      </c>
      <c r="G218" s="49">
        <v>4.68</v>
      </c>
      <c r="H218" s="49">
        <v>6.48</v>
      </c>
      <c r="I218" s="49">
        <v>5.48</v>
      </c>
      <c r="J218" s="49">
        <v>5.48</v>
      </c>
      <c r="K218" s="4">
        <v>100</v>
      </c>
      <c r="L218" s="4">
        <v>5</v>
      </c>
      <c r="M218" s="4" t="s">
        <v>398</v>
      </c>
      <c r="N218" s="4" t="s">
        <v>407</v>
      </c>
      <c r="O218" s="4" t="s">
        <v>93</v>
      </c>
    </row>
    <row r="219" spans="1:15">
      <c r="A219" s="4" t="s">
        <v>576</v>
      </c>
      <c r="B219" s="7" t="s">
        <v>981</v>
      </c>
      <c r="C219" s="4" t="s">
        <v>408</v>
      </c>
      <c r="D219" s="49">
        <v>7.4509999999999996</v>
      </c>
      <c r="E219" s="49">
        <v>6.4009999999999998</v>
      </c>
      <c r="F219" s="49">
        <v>6.4009999999999998</v>
      </c>
      <c r="G219" s="49">
        <v>6.4009999999999998</v>
      </c>
      <c r="H219" s="49">
        <v>5.4009999999999998</v>
      </c>
      <c r="I219" s="49">
        <v>5.4009999999999998</v>
      </c>
      <c r="J219" s="49">
        <v>5.4009999999999998</v>
      </c>
      <c r="K219" s="4">
        <v>100</v>
      </c>
      <c r="L219" s="4">
        <v>5</v>
      </c>
      <c r="M219" s="4" t="s">
        <v>398</v>
      </c>
      <c r="N219" s="4" t="s">
        <v>409</v>
      </c>
      <c r="O219" s="4" t="s">
        <v>98</v>
      </c>
    </row>
    <row r="220" spans="1:15">
      <c r="A220" s="4" t="s">
        <v>576</v>
      </c>
      <c r="B220" s="7" t="s">
        <v>987</v>
      </c>
      <c r="C220" s="4" t="s">
        <v>988</v>
      </c>
      <c r="D220" s="49">
        <v>2.81</v>
      </c>
      <c r="E220" s="49">
        <v>4.3419999999999996</v>
      </c>
      <c r="F220" s="49">
        <v>4.2110000000000003</v>
      </c>
      <c r="G220" s="49">
        <v>3.87</v>
      </c>
      <c r="H220" s="49">
        <v>3.87</v>
      </c>
      <c r="I220" s="49">
        <v>3.87</v>
      </c>
      <c r="J220" s="49">
        <v>3.87</v>
      </c>
      <c r="K220" s="4">
        <v>100</v>
      </c>
      <c r="L220" s="4">
        <v>5</v>
      </c>
      <c r="M220" s="4" t="s">
        <v>398</v>
      </c>
      <c r="N220" s="4" t="s">
        <v>93</v>
      </c>
      <c r="O220" s="4" t="s">
        <v>93</v>
      </c>
    </row>
    <row r="221" spans="1:15" s="86" customFormat="1">
      <c r="A221" s="86" t="s">
        <v>576</v>
      </c>
      <c r="B221" s="197" t="s">
        <v>989</v>
      </c>
      <c r="C221" s="86" t="s">
        <v>990</v>
      </c>
      <c r="D221" s="150"/>
      <c r="E221" s="150"/>
      <c r="F221" s="150"/>
      <c r="G221" s="150"/>
      <c r="H221" s="150"/>
      <c r="I221" s="150"/>
      <c r="J221" s="150"/>
      <c r="K221" s="86">
        <v>100</v>
      </c>
      <c r="L221" s="86">
        <v>5</v>
      </c>
      <c r="M221" s="86" t="s">
        <v>398</v>
      </c>
      <c r="N221" s="86" t="s">
        <v>273</v>
      </c>
      <c r="O221" s="86" t="s">
        <v>98</v>
      </c>
    </row>
    <row r="222" spans="1:15">
      <c r="A222" s="4" t="s">
        <v>576</v>
      </c>
      <c r="B222" s="7" t="s">
        <v>987</v>
      </c>
      <c r="C222" s="4" t="s">
        <v>417</v>
      </c>
      <c r="D222" s="49">
        <v>1.53</v>
      </c>
      <c r="E222" s="49">
        <v>1.6080000000000001</v>
      </c>
      <c r="F222" s="49">
        <v>1.9470000000000001</v>
      </c>
      <c r="G222" s="49">
        <v>1.9470000000000001</v>
      </c>
      <c r="H222" s="49">
        <v>1.9470000000000001</v>
      </c>
      <c r="I222" s="49">
        <v>2.0219999999999998</v>
      </c>
      <c r="J222" s="49">
        <v>2.0219999999999998</v>
      </c>
      <c r="K222" s="4">
        <v>100</v>
      </c>
      <c r="L222" s="4">
        <v>5</v>
      </c>
      <c r="M222" s="4" t="s">
        <v>398</v>
      </c>
      <c r="N222" s="4" t="s">
        <v>93</v>
      </c>
      <c r="O222" s="4" t="s">
        <v>93</v>
      </c>
    </row>
    <row r="223" spans="1:15">
      <c r="A223" s="86" t="s">
        <v>576</v>
      </c>
      <c r="B223" s="197" t="s">
        <v>991</v>
      </c>
      <c r="C223" s="86" t="s">
        <v>992</v>
      </c>
      <c r="D223" s="150"/>
      <c r="E223" s="150"/>
      <c r="F223" s="150"/>
      <c r="G223" s="150"/>
      <c r="H223" s="150"/>
      <c r="I223" s="150"/>
      <c r="J223" s="150"/>
      <c r="K223" s="86">
        <v>100</v>
      </c>
      <c r="L223" s="86">
        <v>5</v>
      </c>
      <c r="M223" s="86" t="s">
        <v>398</v>
      </c>
      <c r="N223" s="86" t="s">
        <v>320</v>
      </c>
      <c r="O223" s="86" t="s">
        <v>98</v>
      </c>
    </row>
    <row r="224" spans="1:15">
      <c r="A224" s="4" t="s">
        <v>576</v>
      </c>
      <c r="B224" s="7" t="s">
        <v>991</v>
      </c>
      <c r="C224" s="4" t="s">
        <v>993</v>
      </c>
      <c r="D224" s="49">
        <v>11.882999999999996</v>
      </c>
      <c r="E224" s="49">
        <v>12.022834362614063</v>
      </c>
      <c r="F224" s="49">
        <v>10.839901373398465</v>
      </c>
      <c r="G224" s="49">
        <v>10.766880818508614</v>
      </c>
      <c r="H224" s="49">
        <v>10.735481979905977</v>
      </c>
      <c r="I224" s="49">
        <v>10.735481979905977</v>
      </c>
      <c r="J224" s="49">
        <v>10.526643192921004</v>
      </c>
      <c r="K224" s="4">
        <v>100</v>
      </c>
      <c r="L224" s="4">
        <v>5</v>
      </c>
      <c r="M224" s="4" t="s">
        <v>398</v>
      </c>
      <c r="N224" s="4" t="s">
        <v>320</v>
      </c>
      <c r="O224" s="4" t="s">
        <v>93</v>
      </c>
    </row>
    <row r="225" spans="1:15" s="86" customFormat="1">
      <c r="A225" s="86" t="s">
        <v>576</v>
      </c>
      <c r="B225" s="197" t="s">
        <v>994</v>
      </c>
      <c r="C225" s="86" t="s">
        <v>995</v>
      </c>
      <c r="D225" s="150"/>
      <c r="E225" s="150"/>
      <c r="F225" s="150"/>
      <c r="G225" s="150"/>
      <c r="H225" s="150"/>
      <c r="I225" s="150"/>
      <c r="J225" s="150"/>
      <c r="K225" s="86">
        <v>100</v>
      </c>
      <c r="L225" s="86">
        <v>5</v>
      </c>
      <c r="M225" s="86" t="s">
        <v>398</v>
      </c>
      <c r="N225" s="86" t="s">
        <v>320</v>
      </c>
      <c r="O225" s="86" t="s">
        <v>98</v>
      </c>
    </row>
    <row r="226" spans="1:15">
      <c r="A226" s="4" t="s">
        <v>576</v>
      </c>
      <c r="B226" s="7"/>
      <c r="C226" s="4" t="s">
        <v>996</v>
      </c>
      <c r="D226" s="49">
        <v>0</v>
      </c>
      <c r="E226" s="49">
        <v>0</v>
      </c>
      <c r="F226" s="49">
        <v>0</v>
      </c>
      <c r="G226" s="49">
        <v>0</v>
      </c>
      <c r="H226" s="49">
        <v>0</v>
      </c>
      <c r="I226" s="49">
        <v>0</v>
      </c>
      <c r="J226" s="49">
        <v>0</v>
      </c>
      <c r="K226" s="4">
        <v>100</v>
      </c>
      <c r="L226" s="4">
        <v>5</v>
      </c>
      <c r="M226" s="4" t="s">
        <v>398</v>
      </c>
      <c r="N226" s="4" t="s">
        <v>100</v>
      </c>
      <c r="O226" s="4" t="s">
        <v>93</v>
      </c>
    </row>
    <row r="227" spans="1:15">
      <c r="A227" s="4" t="s">
        <v>578</v>
      </c>
      <c r="B227" s="7" t="s">
        <v>997</v>
      </c>
      <c r="C227" s="4" t="s">
        <v>998</v>
      </c>
      <c r="D227" s="49">
        <v>5.7610000000000001</v>
      </c>
      <c r="E227" s="49">
        <v>17.225000000000001</v>
      </c>
      <c r="F227" s="49">
        <v>8.5030000000000001</v>
      </c>
      <c r="G227" s="49">
        <v>11.788</v>
      </c>
      <c r="H227" s="49">
        <v>11.909000000000001</v>
      </c>
      <c r="I227" s="49">
        <v>11.909000000000001</v>
      </c>
      <c r="J227" s="117">
        <v>14.909000000000001</v>
      </c>
      <c r="K227" s="4">
        <v>100</v>
      </c>
      <c r="L227" s="8">
        <v>6</v>
      </c>
      <c r="M227" s="4" t="s">
        <v>189</v>
      </c>
      <c r="N227" s="4" t="s">
        <v>97</v>
      </c>
      <c r="O227" s="4" t="s">
        <v>93</v>
      </c>
    </row>
    <row r="228" spans="1:15">
      <c r="A228" s="4" t="s">
        <v>578</v>
      </c>
      <c r="B228" s="7" t="s">
        <v>997</v>
      </c>
      <c r="C228" s="4" t="s">
        <v>999</v>
      </c>
      <c r="D228" s="49">
        <v>0.40400000000000003</v>
      </c>
      <c r="E228" s="49">
        <v>0.63200000000000001</v>
      </c>
      <c r="F228" s="49">
        <v>1.002</v>
      </c>
      <c r="G228" s="49">
        <v>1.202</v>
      </c>
      <c r="H228" s="49">
        <v>1.3919999999999999</v>
      </c>
      <c r="I228" s="49">
        <v>1.3919999999999999</v>
      </c>
      <c r="J228" s="117">
        <v>1.3919999999999999</v>
      </c>
      <c r="K228" s="4">
        <v>100</v>
      </c>
      <c r="L228" s="4">
        <v>6</v>
      </c>
      <c r="M228" s="4" t="s">
        <v>189</v>
      </c>
      <c r="N228" s="4" t="s">
        <v>97</v>
      </c>
      <c r="O228" s="4" t="s">
        <v>93</v>
      </c>
    </row>
    <row r="229" spans="1:15">
      <c r="A229" s="4" t="s">
        <v>578</v>
      </c>
      <c r="B229" s="7" t="s">
        <v>1000</v>
      </c>
      <c r="C229" s="4" t="s">
        <v>1001</v>
      </c>
      <c r="D229" s="49">
        <v>0.41299999999999998</v>
      </c>
      <c r="E229" s="49">
        <v>0.503</v>
      </c>
      <c r="F229" s="49">
        <v>0.503</v>
      </c>
      <c r="G229" s="49">
        <v>0.503</v>
      </c>
      <c r="H229" s="49">
        <v>0.503</v>
      </c>
      <c r="I229" s="49">
        <v>0.503</v>
      </c>
      <c r="J229" s="117">
        <v>0.503</v>
      </c>
      <c r="K229" s="4">
        <v>100</v>
      </c>
      <c r="L229" s="4">
        <v>6</v>
      </c>
      <c r="M229" s="4" t="s">
        <v>189</v>
      </c>
      <c r="N229" s="4" t="s">
        <v>97</v>
      </c>
      <c r="O229" s="4" t="s">
        <v>93</v>
      </c>
    </row>
    <row r="230" spans="1:15">
      <c r="A230" s="4" t="s">
        <v>578</v>
      </c>
      <c r="B230" s="7" t="s">
        <v>1000</v>
      </c>
      <c r="C230" s="4" t="s">
        <v>1002</v>
      </c>
      <c r="D230" s="49">
        <v>1.452</v>
      </c>
      <c r="E230" s="49">
        <v>0.63</v>
      </c>
      <c r="F230" s="49">
        <v>2</v>
      </c>
      <c r="G230" s="49">
        <v>1.6</v>
      </c>
      <c r="H230" s="49">
        <v>1.6</v>
      </c>
      <c r="I230" s="49">
        <v>0.71199999999999997</v>
      </c>
      <c r="J230" s="117">
        <v>0</v>
      </c>
      <c r="K230" s="4">
        <v>100</v>
      </c>
      <c r="L230" s="4">
        <v>8</v>
      </c>
      <c r="M230" s="4" t="s">
        <v>248</v>
      </c>
      <c r="N230" s="4" t="s">
        <v>152</v>
      </c>
      <c r="O230" s="4" t="s">
        <v>93</v>
      </c>
    </row>
    <row r="231" spans="1:15">
      <c r="A231" s="4" t="s">
        <v>578</v>
      </c>
      <c r="B231" s="7" t="s">
        <v>1000</v>
      </c>
      <c r="C231" s="4" t="s">
        <v>1003</v>
      </c>
      <c r="D231" s="49">
        <v>0</v>
      </c>
      <c r="E231" s="49">
        <v>0.15390000000000001</v>
      </c>
      <c r="F231" s="49">
        <v>3.6723000000000003</v>
      </c>
      <c r="G231" s="49">
        <v>3.8803000000000001</v>
      </c>
      <c r="H231" s="49">
        <v>0.44430000000000003</v>
      </c>
      <c r="I231" s="49">
        <v>0.41690000000000005</v>
      </c>
      <c r="J231" s="117">
        <v>0.37690000000000001</v>
      </c>
      <c r="K231" s="4">
        <v>10</v>
      </c>
      <c r="L231" s="4">
        <v>8</v>
      </c>
      <c r="M231" s="4" t="s">
        <v>248</v>
      </c>
      <c r="N231" s="4" t="s">
        <v>121</v>
      </c>
      <c r="O231" s="4" t="s">
        <v>93</v>
      </c>
    </row>
    <row r="232" spans="1:15">
      <c r="A232" s="4" t="s">
        <v>578</v>
      </c>
      <c r="B232" s="7" t="s">
        <v>1000</v>
      </c>
      <c r="C232" s="4" t="s">
        <v>1004</v>
      </c>
      <c r="D232" s="49">
        <v>4.7500000000000001E-2</v>
      </c>
      <c r="E232" s="49">
        <v>9.1249999999999998E-2</v>
      </c>
      <c r="F232" s="49">
        <v>0.23230000000000001</v>
      </c>
      <c r="G232" s="49">
        <v>9.0800000000000006E-2</v>
      </c>
      <c r="H232" s="49">
        <v>0.10280000000000002</v>
      </c>
      <c r="I232" s="49">
        <v>0.12155000000000001</v>
      </c>
      <c r="J232" s="117">
        <v>0.14530000000000001</v>
      </c>
      <c r="K232" s="4">
        <v>5</v>
      </c>
      <c r="L232" s="4">
        <v>8</v>
      </c>
      <c r="M232" s="4" t="s">
        <v>248</v>
      </c>
      <c r="N232" s="4" t="s">
        <v>121</v>
      </c>
      <c r="O232" s="4" t="s">
        <v>93</v>
      </c>
    </row>
    <row r="233" spans="1:15">
      <c r="A233" s="4" t="s">
        <v>578</v>
      </c>
      <c r="B233" s="7" t="s">
        <v>1005</v>
      </c>
      <c r="C233" s="4" t="s">
        <v>1006</v>
      </c>
      <c r="D233" s="49">
        <v>8.6379999999999999</v>
      </c>
      <c r="E233" s="49">
        <v>5.9489999999999998</v>
      </c>
      <c r="F233" s="49">
        <v>5.8449999999999998</v>
      </c>
      <c r="G233" s="49">
        <v>5.86</v>
      </c>
      <c r="H233" s="49">
        <v>5.86</v>
      </c>
      <c r="I233" s="49">
        <v>5.86</v>
      </c>
      <c r="J233" s="117">
        <v>5.86</v>
      </c>
      <c r="K233" s="4">
        <v>100</v>
      </c>
      <c r="L233" s="4">
        <v>8</v>
      </c>
      <c r="M233" s="4" t="s">
        <v>248</v>
      </c>
      <c r="N233" s="4" t="s">
        <v>121</v>
      </c>
      <c r="O233" s="4" t="s">
        <v>93</v>
      </c>
    </row>
    <row r="234" spans="1:15" s="15" customFormat="1">
      <c r="A234" s="4" t="s">
        <v>578</v>
      </c>
      <c r="B234" s="65" t="s">
        <v>1007</v>
      </c>
      <c r="C234" s="15" t="s">
        <v>1008</v>
      </c>
      <c r="D234" s="178">
        <v>26.85</v>
      </c>
      <c r="E234" s="178">
        <v>27.564</v>
      </c>
      <c r="F234" s="178">
        <v>27.422999999999998</v>
      </c>
      <c r="G234" s="178">
        <v>28.367000000000001</v>
      </c>
      <c r="H234" s="178">
        <v>28.367000000000001</v>
      </c>
      <c r="I234" s="178">
        <v>28.367000000000001</v>
      </c>
      <c r="J234" s="178">
        <v>28.367000000000001</v>
      </c>
      <c r="K234" s="15">
        <v>100</v>
      </c>
      <c r="L234" s="184" t="s">
        <v>809</v>
      </c>
      <c r="M234" s="15" t="s">
        <v>248</v>
      </c>
      <c r="N234" s="15" t="s">
        <v>1009</v>
      </c>
      <c r="O234" s="15" t="s">
        <v>98</v>
      </c>
    </row>
    <row r="235" spans="1:15" s="15" customFormat="1">
      <c r="A235" s="4" t="s">
        <v>578</v>
      </c>
      <c r="B235" s="65" t="s">
        <v>1007</v>
      </c>
      <c r="C235" s="15" t="s">
        <v>1010</v>
      </c>
      <c r="D235" s="178">
        <v>3.8889999999999998</v>
      </c>
      <c r="E235" s="178">
        <v>4.335</v>
      </c>
      <c r="F235" s="178">
        <v>4.17</v>
      </c>
      <c r="G235" s="178">
        <v>4.4139999999999997</v>
      </c>
      <c r="H235" s="178">
        <v>4.4139999999999997</v>
      </c>
      <c r="I235" s="178">
        <v>4.4139999999999997</v>
      </c>
      <c r="J235" s="178">
        <v>4.4139999999999997</v>
      </c>
      <c r="K235" s="15">
        <v>100</v>
      </c>
      <c r="L235" s="184" t="s">
        <v>809</v>
      </c>
      <c r="M235" s="15" t="s">
        <v>248</v>
      </c>
      <c r="N235" s="15" t="s">
        <v>1009</v>
      </c>
      <c r="O235" s="15" t="s">
        <v>98</v>
      </c>
    </row>
    <row r="236" spans="1:15" s="15" customFormat="1">
      <c r="A236" s="4" t="s">
        <v>578</v>
      </c>
      <c r="B236" s="65" t="s">
        <v>1007</v>
      </c>
      <c r="C236" s="15" t="s">
        <v>1011</v>
      </c>
      <c r="D236" s="179">
        <v>64.873999999999995</v>
      </c>
      <c r="E236" s="179">
        <v>62.948999999999998</v>
      </c>
      <c r="F236" s="179">
        <v>70.231999999999999</v>
      </c>
      <c r="G236" s="179">
        <v>70.233000000000004</v>
      </c>
      <c r="H236" s="179">
        <v>70.132999999999996</v>
      </c>
      <c r="I236" s="179">
        <v>70.05</v>
      </c>
      <c r="J236" s="179">
        <v>69.914000000000001</v>
      </c>
      <c r="K236" s="15">
        <v>100</v>
      </c>
      <c r="L236" s="184">
        <v>8</v>
      </c>
      <c r="M236" s="15" t="s">
        <v>1012</v>
      </c>
      <c r="N236" s="15" t="s">
        <v>1009</v>
      </c>
      <c r="O236" s="15" t="s">
        <v>93</v>
      </c>
    </row>
    <row r="237" spans="1:15" s="15" customFormat="1">
      <c r="A237" s="4" t="s">
        <v>578</v>
      </c>
      <c r="B237" s="65" t="s">
        <v>1007</v>
      </c>
      <c r="C237" s="15" t="s">
        <v>481</v>
      </c>
      <c r="D237" s="179">
        <v>50.094999999999999</v>
      </c>
      <c r="E237" s="179">
        <v>47.238</v>
      </c>
      <c r="F237" s="179">
        <v>28.844000000000001</v>
      </c>
      <c r="G237" s="179">
        <v>21.132000000000001</v>
      </c>
      <c r="H237" s="179">
        <v>19.289000000000001</v>
      </c>
      <c r="I237" s="179">
        <v>17.577999999999999</v>
      </c>
      <c r="J237" s="179">
        <v>17.577999999999999</v>
      </c>
      <c r="K237" s="15">
        <v>100</v>
      </c>
      <c r="L237" s="15">
        <v>8</v>
      </c>
      <c r="M237" s="15" t="s">
        <v>1013</v>
      </c>
      <c r="N237" s="15" t="s">
        <v>1009</v>
      </c>
      <c r="O237" s="15" t="s">
        <v>93</v>
      </c>
    </row>
    <row r="238" spans="1:15">
      <c r="A238" s="4" t="s">
        <v>578</v>
      </c>
      <c r="B238" s="7" t="s">
        <v>1007</v>
      </c>
      <c r="C238" s="4" t="s">
        <v>1014</v>
      </c>
      <c r="D238" s="49">
        <v>62.569000000000003</v>
      </c>
      <c r="E238" s="49">
        <v>66.807000000000002</v>
      </c>
      <c r="F238" s="49">
        <v>66.784000000000006</v>
      </c>
      <c r="G238" s="49">
        <v>64.995000000000005</v>
      </c>
      <c r="H238" s="49">
        <v>64.995000000000005</v>
      </c>
      <c r="I238" s="49">
        <v>64.995000000000005</v>
      </c>
      <c r="J238" s="49">
        <v>64.995000000000005</v>
      </c>
      <c r="K238" s="4">
        <v>100</v>
      </c>
      <c r="L238" s="4">
        <v>8</v>
      </c>
      <c r="M238" s="4" t="s">
        <v>1013</v>
      </c>
      <c r="N238" s="4" t="s">
        <v>1009</v>
      </c>
      <c r="O238" s="4" t="s">
        <v>93</v>
      </c>
    </row>
    <row r="239" spans="1:15">
      <c r="A239" s="4" t="s">
        <v>578</v>
      </c>
      <c r="B239" s="7" t="s">
        <v>1007</v>
      </c>
      <c r="C239" s="4" t="s">
        <v>1015</v>
      </c>
      <c r="D239" s="49">
        <v>0</v>
      </c>
      <c r="E239" s="49">
        <v>8.0000000000000002E-3</v>
      </c>
      <c r="F239" s="49">
        <v>1.4999999999999999E-2</v>
      </c>
      <c r="G239" s="49">
        <v>0.28899999999999998</v>
      </c>
      <c r="H239" s="49">
        <v>0.56100000000000005</v>
      </c>
      <c r="I239" s="49">
        <v>0.58799999999999997</v>
      </c>
      <c r="J239" s="49">
        <v>0.97399999999999998</v>
      </c>
      <c r="K239" s="4">
        <v>100</v>
      </c>
      <c r="L239" s="4">
        <v>8</v>
      </c>
      <c r="M239" s="4" t="s">
        <v>1013</v>
      </c>
      <c r="N239" s="4" t="s">
        <v>1016</v>
      </c>
      <c r="O239" s="4" t="s">
        <v>93</v>
      </c>
    </row>
    <row r="240" spans="1:15">
      <c r="A240" s="4" t="s">
        <v>578</v>
      </c>
      <c r="B240" s="7" t="s">
        <v>1007</v>
      </c>
      <c r="C240" s="4" t="s">
        <v>1017</v>
      </c>
      <c r="D240" s="49">
        <v>2.1019999999999999</v>
      </c>
      <c r="E240" s="49">
        <v>1.7210000000000001</v>
      </c>
      <c r="F240" s="49">
        <v>1.59</v>
      </c>
      <c r="G240" s="49">
        <v>2.0249999999999999</v>
      </c>
      <c r="H240" s="49">
        <v>2.4860000000000002</v>
      </c>
      <c r="I240" s="49">
        <v>2.6269999999999998</v>
      </c>
      <c r="J240" s="49">
        <v>2.206</v>
      </c>
      <c r="K240" s="4">
        <v>100</v>
      </c>
      <c r="L240" s="8">
        <v>8</v>
      </c>
      <c r="M240" s="4" t="s">
        <v>1013</v>
      </c>
      <c r="N240" s="4" t="s">
        <v>121</v>
      </c>
      <c r="O240" s="4" t="s">
        <v>93</v>
      </c>
    </row>
    <row r="241" spans="1:15">
      <c r="A241" s="4" t="s">
        <v>578</v>
      </c>
      <c r="B241" s="7" t="s">
        <v>1007</v>
      </c>
      <c r="C241" s="4" t="s">
        <v>1018</v>
      </c>
      <c r="D241" s="49">
        <v>0.24099999999999999</v>
      </c>
      <c r="E241" s="49">
        <v>0</v>
      </c>
      <c r="F241" s="49">
        <v>0</v>
      </c>
      <c r="G241" s="49">
        <v>0</v>
      </c>
      <c r="H241" s="49">
        <v>0</v>
      </c>
      <c r="I241" s="49">
        <v>0</v>
      </c>
      <c r="J241" s="49">
        <v>0</v>
      </c>
      <c r="K241" s="4">
        <v>100</v>
      </c>
      <c r="L241" s="8">
        <v>8</v>
      </c>
      <c r="M241" s="4" t="s">
        <v>248</v>
      </c>
      <c r="N241" s="4" t="s">
        <v>121</v>
      </c>
      <c r="O241" s="4" t="s">
        <v>93</v>
      </c>
    </row>
    <row r="242" spans="1:15">
      <c r="A242" s="4" t="s">
        <v>578</v>
      </c>
      <c r="B242" s="7" t="s">
        <v>1007</v>
      </c>
      <c r="C242" s="4" t="s">
        <v>1019</v>
      </c>
      <c r="D242" s="49">
        <v>1.1160000000000001</v>
      </c>
      <c r="E242" s="49">
        <v>2.516</v>
      </c>
      <c r="F242" s="49">
        <v>2.879</v>
      </c>
      <c r="G242" s="49">
        <v>2.879</v>
      </c>
      <c r="H242" s="49">
        <v>2.9289999999999998</v>
      </c>
      <c r="I242" s="49">
        <v>3.073</v>
      </c>
      <c r="J242" s="49">
        <v>3.073</v>
      </c>
      <c r="K242" s="4">
        <v>100</v>
      </c>
      <c r="L242" s="8">
        <v>8</v>
      </c>
      <c r="M242" s="4" t="s">
        <v>1013</v>
      </c>
      <c r="N242" s="4" t="s">
        <v>121</v>
      </c>
      <c r="O242" s="4" t="s">
        <v>93</v>
      </c>
    </row>
    <row r="243" spans="1:15">
      <c r="A243" s="4" t="s">
        <v>578</v>
      </c>
      <c r="B243" s="7" t="s">
        <v>1007</v>
      </c>
      <c r="C243" s="4" t="s">
        <v>1020</v>
      </c>
      <c r="D243" s="49">
        <v>0.01</v>
      </c>
      <c r="E243" s="49">
        <v>-5.7000000000000002E-2</v>
      </c>
      <c r="F243" s="49">
        <v>2.1819999999999999</v>
      </c>
      <c r="G243" s="49">
        <v>2.101</v>
      </c>
      <c r="H243" s="49">
        <v>2.101</v>
      </c>
      <c r="I243" s="49">
        <v>1.98</v>
      </c>
      <c r="J243" s="49">
        <v>1.98</v>
      </c>
      <c r="K243" s="4">
        <v>100</v>
      </c>
      <c r="L243" s="8">
        <v>8</v>
      </c>
      <c r="M243" s="4" t="s">
        <v>1013</v>
      </c>
      <c r="N243" s="4" t="s">
        <v>121</v>
      </c>
      <c r="O243" s="4" t="s">
        <v>93</v>
      </c>
    </row>
    <row r="244" spans="1:15">
      <c r="A244" s="4" t="s">
        <v>578</v>
      </c>
      <c r="B244" s="7" t="s">
        <v>1007</v>
      </c>
      <c r="C244" s="4" t="s">
        <v>1021</v>
      </c>
      <c r="D244" s="49">
        <v>0</v>
      </c>
      <c r="E244" s="49">
        <v>0.20100000000000001</v>
      </c>
      <c r="F244" s="49">
        <v>0.20100000000000001</v>
      </c>
      <c r="G244" s="49">
        <v>0.20100000000000001</v>
      </c>
      <c r="H244" s="49">
        <v>0.20100000000000001</v>
      </c>
      <c r="I244" s="49">
        <v>0.20100000000000001</v>
      </c>
      <c r="J244" s="49">
        <v>0.20100000000000001</v>
      </c>
      <c r="K244" s="4">
        <v>100</v>
      </c>
      <c r="L244" s="8">
        <v>8</v>
      </c>
      <c r="M244" s="4" t="s">
        <v>1013</v>
      </c>
      <c r="N244" s="4" t="s">
        <v>121</v>
      </c>
      <c r="O244" s="4" t="s">
        <v>93</v>
      </c>
    </row>
    <row r="245" spans="1:15">
      <c r="A245" s="4" t="s">
        <v>578</v>
      </c>
      <c r="B245" s="7" t="s">
        <v>1007</v>
      </c>
      <c r="C245" s="4" t="s">
        <v>1022</v>
      </c>
      <c r="D245" s="49">
        <v>0</v>
      </c>
      <c r="E245" s="49">
        <v>0</v>
      </c>
      <c r="F245" s="49">
        <v>0</v>
      </c>
      <c r="G245" s="49">
        <v>0</v>
      </c>
      <c r="H245" s="49">
        <v>0</v>
      </c>
      <c r="I245" s="49">
        <v>0</v>
      </c>
      <c r="J245" s="49">
        <v>0</v>
      </c>
      <c r="K245" s="4">
        <v>100</v>
      </c>
      <c r="L245" s="8">
        <v>8</v>
      </c>
      <c r="M245" s="4" t="s">
        <v>1013</v>
      </c>
      <c r="N245" s="4" t="s">
        <v>121</v>
      </c>
      <c r="O245" s="4" t="s">
        <v>93</v>
      </c>
    </row>
    <row r="246" spans="1:15">
      <c r="A246" s="4" t="s">
        <v>578</v>
      </c>
      <c r="B246" s="7" t="s">
        <v>1007</v>
      </c>
      <c r="C246" s="4" t="s">
        <v>1023</v>
      </c>
      <c r="D246" s="49">
        <v>0.89800000000000002</v>
      </c>
      <c r="E246" s="49">
        <v>1.9810000000000001</v>
      </c>
      <c r="F246" s="49">
        <v>1.9810000000000001</v>
      </c>
      <c r="G246" s="49">
        <v>2.3809999999999998</v>
      </c>
      <c r="H246" s="49">
        <v>2.3809999999999998</v>
      </c>
      <c r="I246" s="49">
        <v>2.3809999999999998</v>
      </c>
      <c r="J246" s="49">
        <v>2.3809999999999998</v>
      </c>
      <c r="K246" s="4">
        <v>100</v>
      </c>
      <c r="L246" s="8">
        <v>8</v>
      </c>
      <c r="M246" s="4" t="s">
        <v>1013</v>
      </c>
      <c r="N246" s="4" t="s">
        <v>121</v>
      </c>
      <c r="O246" s="4" t="s">
        <v>93</v>
      </c>
    </row>
    <row r="247" spans="1:15">
      <c r="A247" s="4" t="s">
        <v>578</v>
      </c>
      <c r="B247" s="7" t="s">
        <v>1007</v>
      </c>
      <c r="C247" s="4" t="s">
        <v>1024</v>
      </c>
      <c r="D247" s="49">
        <v>0</v>
      </c>
      <c r="E247" s="49">
        <v>0</v>
      </c>
      <c r="F247" s="49">
        <v>0</v>
      </c>
      <c r="G247" s="49">
        <v>0</v>
      </c>
      <c r="H247" s="49">
        <v>0</v>
      </c>
      <c r="I247" s="49">
        <v>0</v>
      </c>
      <c r="J247" s="49">
        <v>0</v>
      </c>
      <c r="K247" s="4">
        <v>100</v>
      </c>
      <c r="L247" s="8">
        <v>8</v>
      </c>
      <c r="M247" s="4" t="s">
        <v>1013</v>
      </c>
      <c r="N247" s="4" t="s">
        <v>121</v>
      </c>
      <c r="O247" s="4" t="s">
        <v>93</v>
      </c>
    </row>
    <row r="248" spans="1:15">
      <c r="A248" s="4" t="s">
        <v>578</v>
      </c>
      <c r="B248" s="7" t="s">
        <v>1007</v>
      </c>
      <c r="C248" s="4" t="s">
        <v>1025</v>
      </c>
      <c r="D248" s="49">
        <v>9.4909999999999997</v>
      </c>
      <c r="E248" s="49">
        <v>10.012</v>
      </c>
      <c r="F248" s="49">
        <v>4.7130000000000001</v>
      </c>
      <c r="G248" s="49">
        <v>4.1630000000000003</v>
      </c>
      <c r="H248" s="49">
        <v>4.1539999999999999</v>
      </c>
      <c r="I248" s="49">
        <v>3.27</v>
      </c>
      <c r="J248" s="49">
        <v>2.97</v>
      </c>
      <c r="K248" s="4">
        <v>100</v>
      </c>
      <c r="L248" s="8">
        <v>8</v>
      </c>
      <c r="M248" s="4" t="s">
        <v>1013</v>
      </c>
      <c r="N248" s="4" t="s">
        <v>121</v>
      </c>
      <c r="O248" s="4" t="s">
        <v>93</v>
      </c>
    </row>
    <row r="249" spans="1:15">
      <c r="A249" s="4" t="s">
        <v>580</v>
      </c>
      <c r="B249" s="4">
        <v>1</v>
      </c>
      <c r="C249" s="4" t="s">
        <v>512</v>
      </c>
      <c r="D249" s="49">
        <v>5.0780000000000003</v>
      </c>
      <c r="E249" s="49">
        <v>4.72</v>
      </c>
      <c r="F249" s="49">
        <v>8.4700000000000006</v>
      </c>
      <c r="G249" s="49">
        <v>8.4700000000000006</v>
      </c>
      <c r="H249" s="49">
        <v>8.4700000000000006</v>
      </c>
      <c r="I249" s="49">
        <v>8.4700000000000006</v>
      </c>
      <c r="J249" s="49">
        <v>8.4700000000000006</v>
      </c>
      <c r="K249" s="125">
        <v>100</v>
      </c>
      <c r="L249" s="4">
        <v>7</v>
      </c>
      <c r="M249" s="72" t="s">
        <v>174</v>
      </c>
      <c r="N249" s="72" t="s">
        <v>1026</v>
      </c>
      <c r="O249" s="4" t="s">
        <v>98</v>
      </c>
    </row>
    <row r="250" spans="1:15">
      <c r="A250" s="4" t="s">
        <v>580</v>
      </c>
      <c r="B250" s="4">
        <v>1</v>
      </c>
      <c r="C250" s="4" t="s">
        <v>512</v>
      </c>
      <c r="D250" s="49">
        <v>2.2290000000000001</v>
      </c>
      <c r="E250" s="49">
        <v>2.891</v>
      </c>
      <c r="F250" s="49">
        <v>2.879</v>
      </c>
      <c r="G250" s="49">
        <v>3.4489999999999998</v>
      </c>
      <c r="H250" s="49">
        <v>3.323</v>
      </c>
      <c r="I250" s="49">
        <v>3.2040000000000002</v>
      </c>
      <c r="J250" s="49">
        <v>3.1709999999999998</v>
      </c>
      <c r="K250" s="125">
        <v>100</v>
      </c>
      <c r="L250" s="4">
        <v>11</v>
      </c>
      <c r="M250" s="72" t="s">
        <v>91</v>
      </c>
      <c r="N250" s="4" t="s">
        <v>121</v>
      </c>
      <c r="O250" s="4" t="s">
        <v>93</v>
      </c>
    </row>
    <row r="251" spans="1:15">
      <c r="A251" s="4" t="s">
        <v>580</v>
      </c>
      <c r="B251" s="4">
        <v>1</v>
      </c>
      <c r="C251" s="4" t="s">
        <v>512</v>
      </c>
      <c r="D251" s="49">
        <v>0.45</v>
      </c>
      <c r="E251" s="49">
        <v>0.45</v>
      </c>
      <c r="F251" s="49">
        <v>0.45</v>
      </c>
      <c r="G251" s="49">
        <v>0.45</v>
      </c>
      <c r="H251" s="49">
        <v>0</v>
      </c>
      <c r="I251" s="49">
        <v>0</v>
      </c>
      <c r="J251" s="49">
        <v>0</v>
      </c>
      <c r="K251" s="125">
        <v>100</v>
      </c>
      <c r="L251" s="4">
        <v>11</v>
      </c>
      <c r="M251" s="72" t="s">
        <v>91</v>
      </c>
      <c r="N251" s="4" t="s">
        <v>1027</v>
      </c>
      <c r="O251" s="4" t="s">
        <v>93</v>
      </c>
    </row>
    <row r="252" spans="1:15">
      <c r="A252" s="4" t="s">
        <v>580</v>
      </c>
      <c r="B252" s="4">
        <v>7</v>
      </c>
      <c r="C252" s="4" t="s">
        <v>517</v>
      </c>
      <c r="D252" s="49">
        <v>1.556</v>
      </c>
      <c r="E252" s="49">
        <v>2.0270000000000001</v>
      </c>
      <c r="F252" s="49">
        <v>2</v>
      </c>
      <c r="G252" s="49">
        <v>2</v>
      </c>
      <c r="H252" s="49">
        <v>2</v>
      </c>
      <c r="I252" s="49">
        <v>2</v>
      </c>
      <c r="J252" s="49">
        <v>2</v>
      </c>
      <c r="K252" s="125">
        <v>100</v>
      </c>
      <c r="L252" s="4">
        <v>11</v>
      </c>
      <c r="M252" s="72" t="s">
        <v>91</v>
      </c>
      <c r="N252" s="4" t="s">
        <v>121</v>
      </c>
      <c r="O252" s="4" t="s">
        <v>93</v>
      </c>
    </row>
    <row r="253" spans="1:15">
      <c r="A253" s="4" t="s">
        <v>580</v>
      </c>
      <c r="B253" s="4">
        <v>13</v>
      </c>
      <c r="C253" s="4" t="s">
        <v>1028</v>
      </c>
      <c r="D253" s="49">
        <v>0.27800000000000002</v>
      </c>
      <c r="E253" s="49">
        <v>0.14199999999999999</v>
      </c>
      <c r="F253" s="49">
        <v>0.5</v>
      </c>
      <c r="G253" s="49">
        <v>0.5</v>
      </c>
      <c r="H253" s="49">
        <v>0.5</v>
      </c>
      <c r="I253" s="49">
        <v>0.5</v>
      </c>
      <c r="J253" s="49">
        <v>0.5</v>
      </c>
      <c r="K253" s="125">
        <v>100</v>
      </c>
      <c r="L253" s="4">
        <v>11</v>
      </c>
      <c r="M253" s="72" t="s">
        <v>91</v>
      </c>
      <c r="N253" s="4" t="s">
        <v>121</v>
      </c>
      <c r="O253" s="4" t="s">
        <v>93</v>
      </c>
    </row>
    <row r="254" spans="1:15">
      <c r="A254" s="4" t="s">
        <v>580</v>
      </c>
      <c r="B254" s="4">
        <v>2</v>
      </c>
      <c r="C254" s="4" t="s">
        <v>514</v>
      </c>
      <c r="D254" s="49">
        <v>3.7509999999999999</v>
      </c>
      <c r="E254" s="49">
        <v>3.7480000000000002</v>
      </c>
      <c r="F254" s="49">
        <v>3.121</v>
      </c>
      <c r="G254" s="49">
        <v>3.4</v>
      </c>
      <c r="H254" s="49">
        <v>2.2000000000000002</v>
      </c>
      <c r="I254" s="49">
        <v>2.2000000000000002</v>
      </c>
      <c r="J254" s="49">
        <v>3.734</v>
      </c>
      <c r="K254" s="125">
        <v>100</v>
      </c>
      <c r="L254" s="4">
        <v>11</v>
      </c>
      <c r="M254" s="72" t="s">
        <v>91</v>
      </c>
      <c r="N254" s="4" t="s">
        <v>121</v>
      </c>
      <c r="O254" s="4" t="s">
        <v>93</v>
      </c>
    </row>
    <row r="255" spans="1:15">
      <c r="A255" s="4" t="s">
        <v>582</v>
      </c>
      <c r="B255" s="72" t="s">
        <v>1029</v>
      </c>
      <c r="C255" s="72" t="s">
        <v>1030</v>
      </c>
      <c r="D255" s="77">
        <v>22</v>
      </c>
      <c r="E255" s="77">
        <v>22</v>
      </c>
      <c r="F255" s="77">
        <v>22</v>
      </c>
      <c r="G255" s="77">
        <v>22</v>
      </c>
      <c r="H255" s="77">
        <v>22</v>
      </c>
      <c r="I255" s="77">
        <v>22</v>
      </c>
      <c r="J255" s="77">
        <v>22</v>
      </c>
      <c r="K255" s="78">
        <v>2.6</v>
      </c>
      <c r="L255" s="79" t="s">
        <v>541</v>
      </c>
      <c r="M255" s="72" t="s">
        <v>133</v>
      </c>
      <c r="N255" s="72" t="s">
        <v>134</v>
      </c>
      <c r="O255" s="72" t="s">
        <v>98</v>
      </c>
    </row>
    <row r="256" spans="1:15">
      <c r="A256" s="4" t="s">
        <v>582</v>
      </c>
      <c r="B256" s="72" t="s">
        <v>1031</v>
      </c>
      <c r="C256" s="72" t="s">
        <v>1032</v>
      </c>
      <c r="D256" s="77">
        <v>7</v>
      </c>
      <c r="E256" s="77">
        <v>7</v>
      </c>
      <c r="F256" s="77">
        <v>7</v>
      </c>
      <c r="G256" s="77">
        <v>7</v>
      </c>
      <c r="H256" s="77">
        <v>7</v>
      </c>
      <c r="I256" s="77">
        <v>7</v>
      </c>
      <c r="J256" s="77">
        <v>7</v>
      </c>
      <c r="K256" s="78">
        <v>29.1</v>
      </c>
      <c r="L256" s="79">
        <v>7</v>
      </c>
      <c r="M256" s="72" t="s">
        <v>174</v>
      </c>
      <c r="N256" s="72" t="s">
        <v>97</v>
      </c>
      <c r="O256" s="72" t="s">
        <v>93</v>
      </c>
    </row>
    <row r="257" spans="1:15">
      <c r="A257" s="4" t="s">
        <v>582</v>
      </c>
      <c r="B257" s="72" t="s">
        <v>1033</v>
      </c>
      <c r="C257" s="72" t="s">
        <v>1034</v>
      </c>
      <c r="D257" s="77">
        <v>20</v>
      </c>
      <c r="E257" s="77">
        <v>37.161000000000001</v>
      </c>
      <c r="F257" s="77">
        <v>21.73</v>
      </c>
      <c r="G257" s="77">
        <v>19</v>
      </c>
      <c r="H257" s="77">
        <v>19</v>
      </c>
      <c r="I257" s="77">
        <v>19</v>
      </c>
      <c r="J257" s="77">
        <v>19</v>
      </c>
      <c r="K257" s="78">
        <v>12.4</v>
      </c>
      <c r="L257" s="79" t="s">
        <v>541</v>
      </c>
      <c r="M257" s="72" t="s">
        <v>133</v>
      </c>
      <c r="N257" s="72" t="s">
        <v>274</v>
      </c>
      <c r="O257" s="72" t="s">
        <v>98</v>
      </c>
    </row>
    <row r="258" spans="1:15">
      <c r="A258" s="4" t="s">
        <v>582</v>
      </c>
      <c r="B258" s="72" t="s">
        <v>524</v>
      </c>
      <c r="C258" s="72" t="s">
        <v>525</v>
      </c>
      <c r="D258" s="77">
        <v>8.7829999999999995</v>
      </c>
      <c r="E258" s="77">
        <v>10.356999999999999</v>
      </c>
      <c r="F258" s="77">
        <v>10.43</v>
      </c>
      <c r="G258" s="77">
        <v>9.8949999999999996</v>
      </c>
      <c r="H258" s="77">
        <v>9.7940000000000005</v>
      </c>
      <c r="I258" s="77">
        <v>9.7940000000000005</v>
      </c>
      <c r="J258" s="77">
        <v>9.7940000000000005</v>
      </c>
      <c r="K258" s="78">
        <v>36.515772152785097</v>
      </c>
      <c r="L258" s="79">
        <v>7</v>
      </c>
      <c r="M258" s="72" t="s">
        <v>174</v>
      </c>
      <c r="N258" s="72" t="s">
        <v>93</v>
      </c>
      <c r="O258" s="72" t="s">
        <v>93</v>
      </c>
    </row>
    <row r="259" spans="1:15">
      <c r="A259" s="4" t="s">
        <v>582</v>
      </c>
      <c r="B259" s="72" t="s">
        <v>1035</v>
      </c>
      <c r="C259" s="72" t="s">
        <v>1036</v>
      </c>
      <c r="D259" s="77">
        <v>18.100000000000001</v>
      </c>
      <c r="E259" s="77">
        <v>18.239000000000001</v>
      </c>
      <c r="F259" s="77">
        <v>18.239000000000001</v>
      </c>
      <c r="G259" s="77">
        <v>18.239000000000001</v>
      </c>
      <c r="H259" s="77">
        <v>18.239000000000001</v>
      </c>
      <c r="I259" s="77">
        <v>18.239000000000001</v>
      </c>
      <c r="J259" s="77">
        <v>18.239000000000001</v>
      </c>
      <c r="K259" s="78">
        <v>7.6327220683132602</v>
      </c>
      <c r="L259" s="79">
        <v>7</v>
      </c>
      <c r="M259" s="72" t="s">
        <v>174</v>
      </c>
      <c r="N259" s="72" t="s">
        <v>97</v>
      </c>
      <c r="O259" s="72" t="s">
        <v>98</v>
      </c>
    </row>
    <row r="260" spans="1:15">
      <c r="A260" s="4" t="s">
        <v>582</v>
      </c>
      <c r="B260" s="72" t="s">
        <v>1037</v>
      </c>
      <c r="C260" s="72" t="s">
        <v>1038</v>
      </c>
      <c r="D260" s="77">
        <v>9.3000000000000007</v>
      </c>
      <c r="E260" s="77">
        <v>9.5</v>
      </c>
      <c r="F260" s="77">
        <v>9.5</v>
      </c>
      <c r="G260" s="77">
        <v>9.5</v>
      </c>
      <c r="H260" s="77">
        <v>9.5</v>
      </c>
      <c r="I260" s="77">
        <v>9.5</v>
      </c>
      <c r="J260" s="77">
        <v>9.5</v>
      </c>
      <c r="K260" s="78">
        <v>66.447506469888793</v>
      </c>
      <c r="L260" s="79">
        <v>7</v>
      </c>
      <c r="M260" s="72" t="s">
        <v>174</v>
      </c>
      <c r="N260" s="72" t="s">
        <v>97</v>
      </c>
      <c r="O260" s="72" t="s">
        <v>98</v>
      </c>
    </row>
    <row r="261" spans="1:15">
      <c r="A261" s="4" t="s">
        <v>582</v>
      </c>
      <c r="B261" s="72" t="s">
        <v>1031</v>
      </c>
      <c r="C261" s="72" t="s">
        <v>1039</v>
      </c>
      <c r="D261" s="77">
        <v>236.428</v>
      </c>
      <c r="E261" s="77">
        <v>359.38499999999999</v>
      </c>
      <c r="F261" s="77">
        <v>299.75900000000001</v>
      </c>
      <c r="G261" s="77">
        <v>254.02500000000001</v>
      </c>
      <c r="H261" s="77">
        <v>216.434</v>
      </c>
      <c r="I261" s="77">
        <v>172.92699999999999</v>
      </c>
      <c r="J261" s="77">
        <v>162.00899999999999</v>
      </c>
      <c r="K261" s="78">
        <v>93.104712090669906</v>
      </c>
      <c r="L261" s="79">
        <v>7</v>
      </c>
      <c r="M261" s="72" t="s">
        <v>174</v>
      </c>
      <c r="N261" s="72" t="s">
        <v>1016</v>
      </c>
      <c r="O261" s="72" t="s">
        <v>93</v>
      </c>
    </row>
    <row r="262" spans="1:15">
      <c r="A262" s="4" t="s">
        <v>582</v>
      </c>
      <c r="B262" s="72" t="s">
        <v>1040</v>
      </c>
      <c r="C262" s="72" t="s">
        <v>1041</v>
      </c>
      <c r="D262" s="77">
        <v>6.601</v>
      </c>
      <c r="E262" s="77">
        <v>7.1559999999999997</v>
      </c>
      <c r="F262" s="77">
        <v>6.4850000000000003</v>
      </c>
      <c r="G262" s="77">
        <v>5.9930000000000003</v>
      </c>
      <c r="H262" s="77">
        <v>5.9640000000000004</v>
      </c>
      <c r="I262" s="77">
        <v>5.9329999999999998</v>
      </c>
      <c r="J262" s="77">
        <v>5.9329999999999998</v>
      </c>
      <c r="K262" s="78">
        <v>17.7880791068931</v>
      </c>
      <c r="L262" s="79">
        <v>7</v>
      </c>
      <c r="M262" s="72" t="s">
        <v>174</v>
      </c>
      <c r="N262" s="72" t="s">
        <v>1042</v>
      </c>
      <c r="O262" s="72" t="s">
        <v>98</v>
      </c>
    </row>
    <row r="263" spans="1:15">
      <c r="A263" s="4" t="s">
        <v>582</v>
      </c>
      <c r="B263" s="72" t="s">
        <v>1037</v>
      </c>
      <c r="C263" s="72" t="s">
        <v>1043</v>
      </c>
      <c r="D263" s="77">
        <v>15.3</v>
      </c>
      <c r="E263" s="77">
        <v>23</v>
      </c>
      <c r="F263" s="77">
        <v>22.2</v>
      </c>
      <c r="G263" s="77">
        <v>21.9</v>
      </c>
      <c r="H263" s="77">
        <v>22.4</v>
      </c>
      <c r="I263" s="77">
        <v>22.4</v>
      </c>
      <c r="J263" s="77">
        <v>22.4</v>
      </c>
      <c r="K263" s="78">
        <v>6.9</v>
      </c>
      <c r="L263" s="79">
        <v>7</v>
      </c>
      <c r="M263" s="72" t="s">
        <v>174</v>
      </c>
      <c r="N263" s="72" t="s">
        <v>1016</v>
      </c>
      <c r="O263" s="72" t="s">
        <v>93</v>
      </c>
    </row>
    <row r="264" spans="1:15">
      <c r="A264" s="4" t="s">
        <v>582</v>
      </c>
      <c r="B264" s="72" t="s">
        <v>1044</v>
      </c>
      <c r="C264" s="72" t="s">
        <v>538</v>
      </c>
      <c r="D264" s="77">
        <v>0</v>
      </c>
      <c r="E264" s="77">
        <v>0</v>
      </c>
      <c r="F264" s="77">
        <v>0</v>
      </c>
      <c r="G264" s="77">
        <v>5.3</v>
      </c>
      <c r="H264" s="77">
        <v>5.5</v>
      </c>
      <c r="I264" s="77">
        <v>5.5</v>
      </c>
      <c r="J264" s="77">
        <v>5.5</v>
      </c>
      <c r="K264" s="78">
        <v>0</v>
      </c>
      <c r="L264" s="79">
        <v>7</v>
      </c>
      <c r="M264" s="72" t="s">
        <v>174</v>
      </c>
      <c r="N264" s="72" t="s">
        <v>93</v>
      </c>
      <c r="O264" s="72" t="s">
        <v>93</v>
      </c>
    </row>
    <row r="265" spans="1:15">
      <c r="A265" s="4" t="s">
        <v>582</v>
      </c>
      <c r="B265" s="72" t="s">
        <v>1045</v>
      </c>
      <c r="C265" s="72" t="s">
        <v>1046</v>
      </c>
      <c r="D265" s="77">
        <v>12.506</v>
      </c>
      <c r="E265" s="77">
        <v>12.833</v>
      </c>
      <c r="F265" s="77">
        <v>13.97638139798746</v>
      </c>
      <c r="G265" s="77">
        <v>15.107169185114424</v>
      </c>
      <c r="H265" s="77">
        <v>15.107169185114424</v>
      </c>
      <c r="I265" s="77">
        <v>15.107169185114424</v>
      </c>
      <c r="J265" s="77">
        <v>15.107169185114424</v>
      </c>
      <c r="K265" s="78">
        <v>97.3</v>
      </c>
      <c r="L265" s="79" t="s">
        <v>541</v>
      </c>
      <c r="M265" s="72" t="s">
        <v>133</v>
      </c>
      <c r="N265" s="72" t="s">
        <v>274</v>
      </c>
      <c r="O265" s="72" t="s">
        <v>98</v>
      </c>
    </row>
    <row r="266" spans="1:15" s="2" customFormat="1" ht="14.4">
      <c r="A266" s="98" t="s">
        <v>1047</v>
      </c>
      <c r="B266" s="176">
        <v>2</v>
      </c>
      <c r="C266" s="121" t="s">
        <v>1048</v>
      </c>
      <c r="D266" s="147">
        <v>0</v>
      </c>
      <c r="E266" s="147">
        <v>0.12453075027312456</v>
      </c>
      <c r="F266" s="147">
        <v>5.3598340816407859</v>
      </c>
      <c r="G266" s="147">
        <v>8.3922819133004793</v>
      </c>
      <c r="H266" s="147">
        <v>11.371911314774632</v>
      </c>
      <c r="I266" s="147">
        <v>11.854528250876358</v>
      </c>
      <c r="J266" s="147">
        <v>9.5044448026133299</v>
      </c>
      <c r="K266" s="148">
        <v>50</v>
      </c>
      <c r="L266" s="195">
        <v>1</v>
      </c>
      <c r="M266" s="147" t="s">
        <v>1049</v>
      </c>
      <c r="N266" s="147" t="s">
        <v>1050</v>
      </c>
      <c r="O266" s="147" t="s">
        <v>1051</v>
      </c>
    </row>
    <row r="267" spans="1:15" s="2" customFormat="1" ht="14.4">
      <c r="A267" s="98" t="s">
        <v>1047</v>
      </c>
      <c r="B267" s="176">
        <v>2</v>
      </c>
      <c r="C267" s="121" t="s">
        <v>1048</v>
      </c>
      <c r="D267" s="147">
        <v>0</v>
      </c>
      <c r="E267" s="147">
        <v>0.17392609599328387</v>
      </c>
      <c r="F267" s="147">
        <v>3.4807537431345894</v>
      </c>
      <c r="G267" s="147">
        <v>5.8335668561706981</v>
      </c>
      <c r="H267" s="147">
        <v>7.9685910669214897</v>
      </c>
      <c r="I267" s="147">
        <v>8.7650663173065819</v>
      </c>
      <c r="J267" s="147">
        <v>6.6723863292234746</v>
      </c>
      <c r="K267" s="148">
        <v>50</v>
      </c>
      <c r="L267" s="195">
        <v>2</v>
      </c>
      <c r="M267" s="147" t="s">
        <v>1049</v>
      </c>
      <c r="N267" s="147" t="s">
        <v>1050</v>
      </c>
      <c r="O267" s="147" t="s">
        <v>1051</v>
      </c>
    </row>
    <row r="268" spans="1:15" s="2" customFormat="1" ht="14.4">
      <c r="A268" s="98" t="s">
        <v>1047</v>
      </c>
      <c r="B268" s="176">
        <v>2</v>
      </c>
      <c r="C268" s="121" t="s">
        <v>1048</v>
      </c>
      <c r="D268" s="147">
        <v>0</v>
      </c>
      <c r="E268" s="147">
        <v>0.56572856268803962</v>
      </c>
      <c r="F268" s="147">
        <v>13.449438483771862</v>
      </c>
      <c r="G268" s="147">
        <v>21.256266913548025</v>
      </c>
      <c r="H268" s="147">
        <v>29.439656576755354</v>
      </c>
      <c r="I268" s="147">
        <v>31.353347518225842</v>
      </c>
      <c r="J268" s="147">
        <v>25.585350634554274</v>
      </c>
      <c r="K268" s="148">
        <v>50</v>
      </c>
      <c r="L268" s="195">
        <v>3</v>
      </c>
      <c r="M268" s="147" t="s">
        <v>1049</v>
      </c>
      <c r="N268" s="147" t="s">
        <v>1050</v>
      </c>
      <c r="O268" s="147" t="s">
        <v>1051</v>
      </c>
    </row>
    <row r="269" spans="1:15" s="2" customFormat="1" ht="14.4">
      <c r="A269" s="98" t="s">
        <v>1047</v>
      </c>
      <c r="B269" s="176">
        <v>2</v>
      </c>
      <c r="C269" s="121" t="s">
        <v>1048</v>
      </c>
      <c r="D269" s="147">
        <v>0</v>
      </c>
      <c r="E269" s="147">
        <v>0.38311274898623793</v>
      </c>
      <c r="F269" s="147">
        <v>9.9239920540713484</v>
      </c>
      <c r="G269" s="147">
        <v>14.447917731235149</v>
      </c>
      <c r="H269" s="147">
        <v>20.799595474616396</v>
      </c>
      <c r="I269" s="147">
        <v>19.387688547909008</v>
      </c>
      <c r="J269" s="147">
        <v>12.474646429523595</v>
      </c>
      <c r="K269" s="148">
        <v>50</v>
      </c>
      <c r="L269" s="195">
        <v>4</v>
      </c>
      <c r="M269" s="147" t="s">
        <v>1049</v>
      </c>
      <c r="N269" s="147" t="s">
        <v>1050</v>
      </c>
      <c r="O269" s="147" t="s">
        <v>1051</v>
      </c>
    </row>
    <row r="270" spans="1:15" s="2" customFormat="1" ht="14.4">
      <c r="A270" s="98" t="s">
        <v>1047</v>
      </c>
      <c r="B270" s="176">
        <v>2</v>
      </c>
      <c r="C270" s="121" t="s">
        <v>1048</v>
      </c>
      <c r="D270" s="147">
        <v>0</v>
      </c>
      <c r="E270" s="147">
        <v>0.56454874970500502</v>
      </c>
      <c r="F270" s="147">
        <v>16.234137067919498</v>
      </c>
      <c r="G270" s="147">
        <v>24.666269136239503</v>
      </c>
      <c r="H270" s="147">
        <v>32.39817377901128</v>
      </c>
      <c r="I270" s="147">
        <v>30.191650628120556</v>
      </c>
      <c r="J270" s="147">
        <v>22.316106387431049</v>
      </c>
      <c r="K270" s="148">
        <v>50</v>
      </c>
      <c r="L270" s="195">
        <v>5</v>
      </c>
      <c r="M270" s="147" t="s">
        <v>1049</v>
      </c>
      <c r="N270" s="147" t="s">
        <v>1050</v>
      </c>
      <c r="O270" s="147" t="s">
        <v>1051</v>
      </c>
    </row>
    <row r="271" spans="1:15" s="2" customFormat="1" ht="14.4">
      <c r="A271" s="98" t="s">
        <v>1047</v>
      </c>
      <c r="B271" s="176">
        <v>2</v>
      </c>
      <c r="C271" s="121" t="s">
        <v>1048</v>
      </c>
      <c r="D271" s="147">
        <v>0</v>
      </c>
      <c r="E271" s="147">
        <v>2.2014503389279492</v>
      </c>
      <c r="F271" s="147">
        <v>55.780173832456612</v>
      </c>
      <c r="G271" s="147">
        <v>87.375861928472517</v>
      </c>
      <c r="H271" s="147">
        <v>120.77935744033859</v>
      </c>
      <c r="I271" s="147">
        <v>122.87628211050436</v>
      </c>
      <c r="J271" s="147">
        <v>101.82984141038847</v>
      </c>
      <c r="K271" s="148">
        <v>50</v>
      </c>
      <c r="L271" s="195">
        <v>6</v>
      </c>
      <c r="M271" s="147" t="s">
        <v>1049</v>
      </c>
      <c r="N271" s="147" t="s">
        <v>1050</v>
      </c>
      <c r="O271" s="147" t="s">
        <v>1051</v>
      </c>
    </row>
    <row r="272" spans="1:15" s="2" customFormat="1" ht="14.4">
      <c r="A272" s="98" t="s">
        <v>1047</v>
      </c>
      <c r="B272" s="176">
        <v>2</v>
      </c>
      <c r="C272" s="121" t="s">
        <v>1048</v>
      </c>
      <c r="D272" s="147">
        <v>0</v>
      </c>
      <c r="E272" s="147">
        <v>2.0428467715104404</v>
      </c>
      <c r="F272" s="147">
        <v>44.314998340036361</v>
      </c>
      <c r="G272" s="147">
        <v>64.050097163349378</v>
      </c>
      <c r="H272" s="147">
        <v>79.69388019294982</v>
      </c>
      <c r="I272" s="147">
        <v>73.142455565650764</v>
      </c>
      <c r="J272" s="147">
        <v>57.399996015067288</v>
      </c>
      <c r="K272" s="148">
        <v>50</v>
      </c>
      <c r="L272" s="195">
        <v>7</v>
      </c>
      <c r="M272" s="147" t="s">
        <v>1049</v>
      </c>
      <c r="N272" s="147" t="s">
        <v>1050</v>
      </c>
      <c r="O272" s="147" t="s">
        <v>1051</v>
      </c>
    </row>
    <row r="273" spans="1:15" s="2" customFormat="1" ht="14.4">
      <c r="A273" s="98" t="s">
        <v>1047</v>
      </c>
      <c r="B273" s="176">
        <v>2</v>
      </c>
      <c r="C273" s="121" t="s">
        <v>1048</v>
      </c>
      <c r="D273" s="147">
        <v>0</v>
      </c>
      <c r="E273" s="147">
        <v>0.91838435156893017</v>
      </c>
      <c r="F273" s="147">
        <v>21.626081608958025</v>
      </c>
      <c r="G273" s="147">
        <v>33.076912210629942</v>
      </c>
      <c r="H273" s="147">
        <v>44.277530629991496</v>
      </c>
      <c r="I273" s="147">
        <v>45.948152602847195</v>
      </c>
      <c r="J273" s="147">
        <v>37.260409241465624</v>
      </c>
      <c r="K273" s="148">
        <v>50</v>
      </c>
      <c r="L273" s="195">
        <v>8</v>
      </c>
      <c r="M273" s="147" t="s">
        <v>1049</v>
      </c>
      <c r="N273" s="147" t="s">
        <v>1050</v>
      </c>
      <c r="O273" s="147" t="s">
        <v>1051</v>
      </c>
    </row>
    <row r="274" spans="1:15" s="2" customFormat="1" ht="14.4">
      <c r="A274" s="98" t="s">
        <v>1047</v>
      </c>
      <c r="B274" s="176">
        <v>2</v>
      </c>
      <c r="C274" s="121" t="s">
        <v>1048</v>
      </c>
      <c r="D274" s="147">
        <v>0</v>
      </c>
      <c r="E274" s="147">
        <v>0.17571783840867955</v>
      </c>
      <c r="F274" s="147">
        <v>4.4147172029140691</v>
      </c>
      <c r="G274" s="147">
        <v>5.9766952390876869</v>
      </c>
      <c r="H274" s="147">
        <v>8.4396126325891423</v>
      </c>
      <c r="I274" s="147">
        <v>7.3593253832725178</v>
      </c>
      <c r="J274" s="147">
        <v>4.369373120223595</v>
      </c>
      <c r="K274" s="148">
        <v>50</v>
      </c>
      <c r="L274" s="195">
        <v>9</v>
      </c>
      <c r="M274" s="147" t="s">
        <v>1049</v>
      </c>
      <c r="N274" s="147" t="s">
        <v>1050</v>
      </c>
      <c r="O274" s="147" t="s">
        <v>1051</v>
      </c>
    </row>
    <row r="275" spans="1:15" s="2" customFormat="1" ht="14.4">
      <c r="A275" s="98" t="s">
        <v>1047</v>
      </c>
      <c r="B275" s="176">
        <v>2</v>
      </c>
      <c r="C275" s="121" t="s">
        <v>1048</v>
      </c>
      <c r="D275" s="147">
        <v>0</v>
      </c>
      <c r="E275" s="147">
        <v>7.6220303309983556E-2</v>
      </c>
      <c r="F275" s="147">
        <v>1.824812740591073</v>
      </c>
      <c r="G275" s="147">
        <v>2.8849504015291001</v>
      </c>
      <c r="H275" s="147">
        <v>3.9834479922524331</v>
      </c>
      <c r="I275" s="147">
        <v>4.3671562522676064</v>
      </c>
      <c r="J275" s="147">
        <v>3.5619244348919623</v>
      </c>
      <c r="K275" s="148">
        <v>50</v>
      </c>
      <c r="L275" s="195">
        <v>10</v>
      </c>
      <c r="M275" s="147" t="s">
        <v>1049</v>
      </c>
      <c r="N275" s="147" t="s">
        <v>1050</v>
      </c>
      <c r="O275" s="147" t="s">
        <v>1051</v>
      </c>
    </row>
    <row r="276" spans="1:15" s="2" customFormat="1" ht="14.4">
      <c r="A276" s="98" t="s">
        <v>1047</v>
      </c>
      <c r="B276" s="176">
        <v>2</v>
      </c>
      <c r="C276" s="121" t="s">
        <v>1048</v>
      </c>
      <c r="D276" s="147">
        <v>0</v>
      </c>
      <c r="E276" s="147">
        <v>0.36710481435487091</v>
      </c>
      <c r="F276" s="147">
        <v>8.4719681407849912</v>
      </c>
      <c r="G276" s="147">
        <v>12.930058213676425</v>
      </c>
      <c r="H276" s="147">
        <v>17.350949880296092</v>
      </c>
      <c r="I276" s="147">
        <v>18.419621785140695</v>
      </c>
      <c r="J276" s="147">
        <v>15.308222112448879</v>
      </c>
      <c r="K276" s="148">
        <v>50</v>
      </c>
      <c r="L276" s="195">
        <v>11</v>
      </c>
      <c r="M276" s="147" t="s">
        <v>1049</v>
      </c>
      <c r="N276" s="147" t="s">
        <v>1050</v>
      </c>
      <c r="O276" s="147" t="s">
        <v>1051</v>
      </c>
    </row>
    <row r="277" spans="1:15" s="2" customFormat="1" ht="14.4">
      <c r="A277" s="80" t="s">
        <v>1047</v>
      </c>
      <c r="B277" s="172">
        <v>2</v>
      </c>
      <c r="C277" s="166" t="s">
        <v>1048</v>
      </c>
      <c r="D277" s="173">
        <v>0</v>
      </c>
      <c r="E277" s="173">
        <v>4.5861781232225738</v>
      </c>
      <c r="F277" s="173">
        <v>109.17048973213535</v>
      </c>
      <c r="G277" s="173">
        <v>170.34980916608106</v>
      </c>
      <c r="H277" s="173">
        <v>235.83652256320681</v>
      </c>
      <c r="I277" s="173">
        <v>250.34998546277646</v>
      </c>
      <c r="J277" s="173">
        <v>201.11656059836125</v>
      </c>
      <c r="K277" s="174">
        <v>50</v>
      </c>
      <c r="L277" s="199" t="s">
        <v>851</v>
      </c>
      <c r="M277" s="173" t="s">
        <v>1049</v>
      </c>
      <c r="N277" s="173" t="s">
        <v>1050</v>
      </c>
      <c r="O277" s="173" t="s">
        <v>1051</v>
      </c>
    </row>
    <row r="278" spans="1:15" s="2" customFormat="1" ht="14.4">
      <c r="A278" s="98" t="s">
        <v>1047</v>
      </c>
      <c r="B278" s="176">
        <v>2</v>
      </c>
      <c r="C278" s="121" t="s">
        <v>1048</v>
      </c>
      <c r="D278" s="147">
        <v>0</v>
      </c>
      <c r="E278" s="147">
        <v>0.33675055105088236</v>
      </c>
      <c r="F278" s="147">
        <v>8.4666029715854343</v>
      </c>
      <c r="G278" s="147">
        <v>14.439313126679988</v>
      </c>
      <c r="H278" s="147">
        <v>18.98227045629649</v>
      </c>
      <c r="I278" s="147">
        <v>19.281239575102092</v>
      </c>
      <c r="J278" s="147">
        <v>15.750738483807174</v>
      </c>
      <c r="K278" s="148">
        <v>50</v>
      </c>
      <c r="L278" s="195">
        <v>14</v>
      </c>
      <c r="M278" s="147" t="s">
        <v>1049</v>
      </c>
      <c r="N278" s="147" t="s">
        <v>1050</v>
      </c>
      <c r="O278" s="147" t="s">
        <v>1051</v>
      </c>
    </row>
    <row r="279" spans="1:15" s="2" customFormat="1" ht="14.4">
      <c r="A279" s="98" t="s">
        <v>1047</v>
      </c>
      <c r="B279" s="176">
        <v>2</v>
      </c>
      <c r="C279" s="121" t="s">
        <v>1052</v>
      </c>
      <c r="D279" s="147">
        <v>0</v>
      </c>
      <c r="E279" s="147">
        <v>0</v>
      </c>
      <c r="F279" s="147">
        <f>3.96/2</f>
        <v>1.98</v>
      </c>
      <c r="G279" s="147">
        <f>7.92/2</f>
        <v>3.96</v>
      </c>
      <c r="H279" s="147">
        <f>11.88/2</f>
        <v>5.94</v>
      </c>
      <c r="I279" s="147">
        <f>11.88/2</f>
        <v>5.94</v>
      </c>
      <c r="J279" s="147">
        <f>3.96/2</f>
        <v>1.98</v>
      </c>
      <c r="K279" s="148">
        <v>90</v>
      </c>
      <c r="L279" s="195">
        <v>9</v>
      </c>
      <c r="M279" s="147"/>
      <c r="N279" s="147" t="s">
        <v>339</v>
      </c>
      <c r="O279" s="147" t="s">
        <v>1051</v>
      </c>
    </row>
    <row r="280" spans="1:15" s="2" customFormat="1" ht="14.4">
      <c r="A280" s="98" t="s">
        <v>1047</v>
      </c>
      <c r="B280" s="176">
        <v>2</v>
      </c>
      <c r="C280" s="121" t="s">
        <v>1052</v>
      </c>
      <c r="D280" s="147">
        <v>0</v>
      </c>
      <c r="E280" s="147">
        <v>0</v>
      </c>
      <c r="F280" s="147">
        <f>3.96/2</f>
        <v>1.98</v>
      </c>
      <c r="G280" s="147">
        <f>7.92/2</f>
        <v>3.96</v>
      </c>
      <c r="H280" s="147">
        <f>11.88/2</f>
        <v>5.94</v>
      </c>
      <c r="I280" s="147">
        <f>11.88/2</f>
        <v>5.94</v>
      </c>
      <c r="J280" s="147">
        <f>3.96/2</f>
        <v>1.98</v>
      </c>
      <c r="K280" s="148">
        <v>90</v>
      </c>
      <c r="L280" s="195" t="s">
        <v>146</v>
      </c>
      <c r="M280" s="147"/>
      <c r="N280" s="147" t="s">
        <v>339</v>
      </c>
      <c r="O280" s="147" t="s">
        <v>1051</v>
      </c>
    </row>
    <row r="281" spans="1:15" s="2" customFormat="1" ht="14.4">
      <c r="A281" s="98" t="s">
        <v>1047</v>
      </c>
      <c r="B281" s="176">
        <v>2</v>
      </c>
      <c r="C281" s="121" t="s">
        <v>1053</v>
      </c>
      <c r="D281" s="147">
        <v>0</v>
      </c>
      <c r="E281" s="147">
        <v>0</v>
      </c>
      <c r="F281" s="147">
        <f>11.4/2</f>
        <v>5.7</v>
      </c>
      <c r="G281" s="147">
        <f>22.8/2</f>
        <v>11.4</v>
      </c>
      <c r="H281" s="147">
        <f>34.2/2</f>
        <v>17.100000000000001</v>
      </c>
      <c r="I281" s="147">
        <f>34.2/2</f>
        <v>17.100000000000001</v>
      </c>
      <c r="J281" s="147">
        <f>11.4/2</f>
        <v>5.7</v>
      </c>
      <c r="K281" s="148">
        <v>50</v>
      </c>
      <c r="L281" s="196">
        <v>4</v>
      </c>
      <c r="M281" s="147"/>
      <c r="N281" s="147" t="s">
        <v>339</v>
      </c>
      <c r="O281" s="147" t="s">
        <v>1051</v>
      </c>
    </row>
    <row r="282" spans="1:15" s="2" customFormat="1" ht="14.4">
      <c r="A282" s="98" t="s">
        <v>1047</v>
      </c>
      <c r="B282" s="176">
        <v>2</v>
      </c>
      <c r="C282" s="121" t="s">
        <v>1053</v>
      </c>
      <c r="D282" s="147">
        <v>0</v>
      </c>
      <c r="E282" s="147">
        <v>0</v>
      </c>
      <c r="F282" s="147">
        <f>11.4/2</f>
        <v>5.7</v>
      </c>
      <c r="G282" s="147">
        <f>22.8/2</f>
        <v>11.4</v>
      </c>
      <c r="H282" s="147">
        <f>34.2/2</f>
        <v>17.100000000000001</v>
      </c>
      <c r="I282" s="147">
        <f>34.2/2</f>
        <v>17.100000000000001</v>
      </c>
      <c r="J282" s="147">
        <f>11.4/2</f>
        <v>5.7</v>
      </c>
      <c r="K282" s="148">
        <v>50</v>
      </c>
      <c r="L282" s="196" t="s">
        <v>164</v>
      </c>
      <c r="M282" s="147"/>
      <c r="N282" s="147" t="s">
        <v>339</v>
      </c>
      <c r="O282" s="147" t="s">
        <v>1051</v>
      </c>
    </row>
    <row r="283" spans="1:15" s="2" customFormat="1" ht="14.4">
      <c r="A283" s="98" t="s">
        <v>1047</v>
      </c>
      <c r="B283" s="176">
        <v>2</v>
      </c>
      <c r="C283" s="121" t="s">
        <v>1054</v>
      </c>
      <c r="D283" s="147">
        <v>0</v>
      </c>
      <c r="E283" s="147">
        <v>0</v>
      </c>
      <c r="F283" s="147">
        <f>3.45/2</f>
        <v>1.7250000000000001</v>
      </c>
      <c r="G283" s="147">
        <f>5.55/2</f>
        <v>2.7749999999999999</v>
      </c>
      <c r="H283" s="147">
        <f>4.1/2</f>
        <v>2.0499999999999998</v>
      </c>
      <c r="I283" s="147">
        <f>2.45/2</f>
        <v>1.2250000000000001</v>
      </c>
      <c r="J283" s="147">
        <f>0.75/2</f>
        <v>0.375</v>
      </c>
      <c r="K283" s="148">
        <v>50</v>
      </c>
      <c r="L283" s="196">
        <v>7</v>
      </c>
      <c r="M283" s="147"/>
      <c r="N283" s="147" t="s">
        <v>342</v>
      </c>
      <c r="O283" s="147" t="s">
        <v>1051</v>
      </c>
    </row>
    <row r="284" spans="1:15" s="2" customFormat="1" ht="14.4">
      <c r="A284" s="98" t="s">
        <v>1047</v>
      </c>
      <c r="B284" s="176">
        <v>2</v>
      </c>
      <c r="C284" s="121" t="s">
        <v>1054</v>
      </c>
      <c r="D284" s="147">
        <v>0</v>
      </c>
      <c r="E284" s="147">
        <v>0</v>
      </c>
      <c r="F284" s="147">
        <f>3.45/2</f>
        <v>1.7250000000000001</v>
      </c>
      <c r="G284" s="147">
        <f>5.55/2</f>
        <v>2.7749999999999999</v>
      </c>
      <c r="H284" s="147">
        <f>4.1/2</f>
        <v>2.0499999999999998</v>
      </c>
      <c r="I284" s="147">
        <f>2.45/2</f>
        <v>1.2250000000000001</v>
      </c>
      <c r="J284" s="147">
        <f>0.75/2</f>
        <v>0.375</v>
      </c>
      <c r="K284" s="148">
        <v>50</v>
      </c>
      <c r="L284" s="196" t="s">
        <v>541</v>
      </c>
      <c r="M284" s="147"/>
      <c r="N284" s="147" t="s">
        <v>342</v>
      </c>
      <c r="O284" s="147" t="s">
        <v>1051</v>
      </c>
    </row>
    <row r="285" spans="1:15" s="2" customFormat="1" ht="14.4">
      <c r="D285" s="128"/>
      <c r="E285" s="128"/>
      <c r="F285" s="128"/>
      <c r="G285" s="128"/>
      <c r="H285" s="128"/>
      <c r="I285" s="128"/>
      <c r="J285" s="128"/>
      <c r="M285" s="72"/>
      <c r="N285" s="72"/>
      <c r="O285" s="72"/>
    </row>
    <row r="286" spans="1:15" s="2" customFormat="1" ht="14.4">
      <c r="D286" s="128"/>
      <c r="E286" s="128"/>
      <c r="F286" s="128"/>
      <c r="G286" s="128"/>
      <c r="H286" s="128"/>
      <c r="I286" s="128"/>
      <c r="J286" s="128"/>
      <c r="M286" s="4"/>
      <c r="N286" s="72"/>
      <c r="O286" s="72"/>
    </row>
    <row r="287" spans="1:15">
      <c r="D287" s="49"/>
      <c r="E287" s="49"/>
      <c r="F287" s="49"/>
      <c r="G287" s="49"/>
      <c r="H287" s="49"/>
      <c r="I287" s="49"/>
      <c r="J287" s="49"/>
    </row>
    <row r="288" spans="1:15" s="1" customFormat="1" ht="15.6">
      <c r="B288" s="26"/>
      <c r="C288" s="27" t="s">
        <v>558</v>
      </c>
      <c r="D288" s="28">
        <f t="shared" ref="D288:J288" si="36">SUM(D4:D284)</f>
        <v>6063.5758306767193</v>
      </c>
      <c r="E288" s="28">
        <f t="shared" si="36"/>
        <v>6805.6841208060087</v>
      </c>
      <c r="F288" s="28">
        <f t="shared" si="36"/>
        <v>7254.432076997592</v>
      </c>
      <c r="G288" s="28">
        <f t="shared" si="36"/>
        <v>7195.3975399072069</v>
      </c>
      <c r="H288" s="28">
        <f t="shared" si="36"/>
        <v>7373.1846667770524</v>
      </c>
      <c r="I288" s="28">
        <f t="shared" si="36"/>
        <v>7312.0579569563261</v>
      </c>
      <c r="J288" s="28">
        <f t="shared" si="36"/>
        <v>7153.2922610114365</v>
      </c>
      <c r="K288" s="11"/>
      <c r="L288" s="11"/>
      <c r="M288" s="11"/>
      <c r="N288" s="11"/>
      <c r="O288" s="11"/>
    </row>
    <row r="289" spans="3:11">
      <c r="D289" s="175">
        <f>D288-'R&amp;D'!C299</f>
        <v>-2868.7415098610227</v>
      </c>
      <c r="E289" s="175">
        <f>E288-'R&amp;D'!D299</f>
        <v>-2458.8386384846726</v>
      </c>
      <c r="F289" s="175">
        <f>F288-'R&amp;D'!E299</f>
        <v>-2323.9087493232719</v>
      </c>
      <c r="G289" s="175">
        <f>G288-'R&amp;D'!F299</f>
        <v>-2214.0766593516537</v>
      </c>
      <c r="H289" s="175">
        <f>H288-'R&amp;D'!G299</f>
        <v>-1991.8892408677193</v>
      </c>
      <c r="I289" s="175">
        <f>I288-'R&amp;D'!H299</f>
        <v>-1413.7601347498448</v>
      </c>
      <c r="J289" s="175">
        <f>J288-'R&amp;D'!I299</f>
        <v>-1428.1406102410911</v>
      </c>
      <c r="K289" s="175"/>
    </row>
    <row r="291" spans="3:11">
      <c r="C291"/>
      <c r="D291"/>
      <c r="E291"/>
      <c r="F291"/>
      <c r="G291"/>
      <c r="H291"/>
      <c r="I291"/>
      <c r="J291"/>
    </row>
    <row r="292" spans="3:11">
      <c r="C292"/>
      <c r="D292"/>
      <c r="E292"/>
      <c r="F292"/>
      <c r="G292"/>
      <c r="H292"/>
      <c r="I292"/>
      <c r="J292"/>
    </row>
    <row r="293" spans="3:11">
      <c r="C293"/>
      <c r="D293"/>
      <c r="E293"/>
      <c r="F293"/>
      <c r="G293"/>
      <c r="H293"/>
      <c r="I293"/>
      <c r="J293"/>
    </row>
    <row r="294" spans="3:11">
      <c r="C294"/>
      <c r="D294"/>
      <c r="E294"/>
      <c r="F294"/>
      <c r="G294"/>
      <c r="H294"/>
      <c r="I294"/>
      <c r="J294"/>
    </row>
    <row r="295" spans="3:11">
      <c r="C295"/>
      <c r="D295"/>
      <c r="E295"/>
      <c r="F295"/>
      <c r="G295"/>
      <c r="H295"/>
      <c r="I295"/>
      <c r="J295"/>
    </row>
    <row r="296" spans="3:11">
      <c r="C296"/>
      <c r="D296"/>
    </row>
    <row r="297" spans="3:11">
      <c r="C297"/>
      <c r="D297"/>
      <c r="E297" s="49"/>
      <c r="F297" s="49"/>
      <c r="G297" s="49"/>
      <c r="H297" s="49"/>
      <c r="I297" s="49"/>
      <c r="J297" s="49"/>
    </row>
    <row r="298" spans="3:11">
      <c r="C298"/>
      <c r="D298"/>
      <c r="E298" s="49"/>
      <c r="F298" s="49"/>
      <c r="G298" s="49"/>
      <c r="H298" s="49"/>
      <c r="I298" s="49"/>
      <c r="J298" s="49"/>
    </row>
    <row r="299" spans="3:11">
      <c r="C299"/>
      <c r="D299"/>
      <c r="E299" s="49"/>
      <c r="F299" s="49"/>
      <c r="G299" s="49"/>
      <c r="H299" s="49"/>
      <c r="I299" s="49"/>
      <c r="J299" s="49"/>
    </row>
    <row r="300" spans="3:11">
      <c r="C300"/>
      <c r="D300"/>
      <c r="E300" s="49"/>
      <c r="F300" s="49"/>
      <c r="G300" s="49"/>
      <c r="H300" s="49"/>
      <c r="I300" s="49"/>
      <c r="J300" s="49"/>
    </row>
    <row r="301" spans="3:11">
      <c r="E301" s="49"/>
      <c r="F301" s="49"/>
      <c r="G301" s="49"/>
      <c r="H301" s="49"/>
      <c r="I301" s="49"/>
      <c r="J301" s="100"/>
    </row>
    <row r="302" spans="3:11">
      <c r="C302"/>
      <c r="D302" s="49"/>
      <c r="E302" s="49"/>
      <c r="F302" s="49"/>
      <c r="G302" s="49"/>
      <c r="H302" s="49"/>
      <c r="I302" s="49"/>
      <c r="J302" s="49"/>
    </row>
    <row r="303" spans="3:11">
      <c r="C303"/>
      <c r="D303" s="49"/>
      <c r="E303" s="49"/>
      <c r="F303" s="49"/>
      <c r="G303" s="49"/>
      <c r="H303" s="49"/>
      <c r="I303" s="49"/>
      <c r="J303" s="49"/>
    </row>
    <row r="304" spans="3:11">
      <c r="C304"/>
      <c r="D304" s="49"/>
      <c r="E304" s="49"/>
      <c r="F304" s="49"/>
      <c r="G304" s="49"/>
      <c r="H304" s="49"/>
      <c r="I304" s="49"/>
      <c r="J304" s="49"/>
    </row>
    <row r="305" spans="3:10">
      <c r="C305"/>
      <c r="D305" s="49"/>
      <c r="E305" s="49"/>
      <c r="F305" s="49"/>
      <c r="G305" s="49"/>
      <c r="H305" s="49"/>
      <c r="I305" s="49"/>
      <c r="J305" s="49"/>
    </row>
    <row r="306" spans="3:10">
      <c r="C306"/>
      <c r="D306" s="49"/>
      <c r="E306" s="49"/>
      <c r="F306" s="49"/>
      <c r="G306" s="49"/>
      <c r="H306" s="49"/>
      <c r="I306" s="49"/>
      <c r="J306" s="49"/>
    </row>
    <row r="307" spans="3:10">
      <c r="C307"/>
      <c r="D307" s="49"/>
    </row>
    <row r="308" spans="3:10">
      <c r="C308"/>
      <c r="D308" s="49"/>
    </row>
    <row r="309" spans="3:10">
      <c r="C309"/>
      <c r="D309" s="49"/>
    </row>
    <row r="310" spans="3:10">
      <c r="C310"/>
      <c r="D310" s="49"/>
    </row>
    <row r="311" spans="3:10">
      <c r="C311"/>
      <c r="D311" s="49"/>
    </row>
  </sheetData>
  <autoFilter ref="A3:O284" xr:uid="{00000000-0009-0000-0000-000009000000}"/>
  <pageMargins left="0.70866141732283472" right="0.70866141732283472" top="0.74803149606299213" bottom="0.74803149606299213" header="0.31496062992125984" footer="0.31496062992125984"/>
  <pageSetup paperSize="8" scale="78" orientation="landscape" r:id="rId1"/>
  <headerFooter>
    <oddFooter>&amp;L&amp;Z&amp;F
&amp;D</oddFooter>
  </headerFooter>
  <rowBreaks count="1" manualBreakCount="1">
    <brk id="289" min="1" max="22"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J63"/>
  <sheetViews>
    <sheetView workbookViewId="0">
      <selection activeCell="M39" sqref="M39"/>
    </sheetView>
  </sheetViews>
  <sheetFormatPr defaultRowHeight="13.2"/>
  <cols>
    <col min="1" max="7" width="12.5546875" customWidth="1"/>
    <col min="8" max="8" width="13.5546875" customWidth="1"/>
    <col min="9" max="9" width="6" bestFit="1" customWidth="1"/>
    <col min="10" max="10" width="5" bestFit="1" customWidth="1"/>
    <col min="11" max="11" width="4" bestFit="1" customWidth="1"/>
    <col min="12" max="12" width="6" bestFit="1" customWidth="1"/>
    <col min="13" max="13" width="5" bestFit="1" customWidth="1"/>
    <col min="14" max="14" width="8" bestFit="1" customWidth="1"/>
    <col min="15" max="15" width="6" bestFit="1" customWidth="1"/>
    <col min="16" max="16" width="7" bestFit="1" customWidth="1"/>
    <col min="17" max="19" width="6" bestFit="1" customWidth="1"/>
    <col min="20" max="20" width="5" bestFit="1" customWidth="1"/>
    <col min="21" max="21" width="6" bestFit="1" customWidth="1"/>
    <col min="22" max="23" width="5" bestFit="1" customWidth="1"/>
    <col min="24" max="24" width="6" bestFit="1" customWidth="1"/>
    <col min="25" max="25" width="8" bestFit="1" customWidth="1"/>
    <col min="26" max="26" width="6" bestFit="1" customWidth="1"/>
    <col min="27" max="27" width="7" bestFit="1" customWidth="1"/>
    <col min="28" max="28" width="5" bestFit="1" customWidth="1"/>
    <col min="29" max="29" width="6" bestFit="1" customWidth="1"/>
    <col min="30" max="30" width="4" bestFit="1" customWidth="1"/>
    <col min="31" max="32" width="6" bestFit="1" customWidth="1"/>
    <col min="33" max="33" width="5" bestFit="1" customWidth="1"/>
    <col min="34" max="37" width="6" bestFit="1" customWidth="1"/>
    <col min="38" max="38" width="8" bestFit="1" customWidth="1"/>
    <col min="39" max="39" width="4" bestFit="1" customWidth="1"/>
    <col min="40" max="40" width="6" bestFit="1" customWidth="1"/>
    <col min="41" max="41" width="4" bestFit="1" customWidth="1"/>
    <col min="42" max="42" width="7" bestFit="1" customWidth="1"/>
    <col min="43" max="43" width="6" bestFit="1" customWidth="1"/>
    <col min="44" max="44" width="5" bestFit="1" customWidth="1"/>
    <col min="45" max="48" width="6" bestFit="1" customWidth="1"/>
    <col min="49" max="49" width="2" bestFit="1" customWidth="1"/>
    <col min="50" max="50" width="8" bestFit="1" customWidth="1"/>
    <col min="51" max="54" width="6" bestFit="1" customWidth="1"/>
    <col min="55" max="55" width="8" bestFit="1" customWidth="1"/>
    <col min="56" max="58" width="6" bestFit="1" customWidth="1"/>
    <col min="59" max="59" width="7" bestFit="1" customWidth="1"/>
    <col min="60" max="60" width="5" bestFit="1" customWidth="1"/>
    <col min="61" max="61" width="6" bestFit="1" customWidth="1"/>
    <col min="62" max="62" width="12" bestFit="1" customWidth="1"/>
    <col min="63" max="63" width="6" bestFit="1" customWidth="1"/>
    <col min="64" max="64" width="7" bestFit="1" customWidth="1"/>
    <col min="65" max="65" width="4" bestFit="1" customWidth="1"/>
    <col min="66" max="66" width="12" bestFit="1" customWidth="1"/>
    <col min="67" max="67" width="6" bestFit="1" customWidth="1"/>
    <col min="68" max="68" width="5" bestFit="1" customWidth="1"/>
    <col min="69" max="69" width="6" bestFit="1" customWidth="1"/>
    <col min="70" max="70" width="12" bestFit="1" customWidth="1"/>
    <col min="71" max="71" width="6" bestFit="1" customWidth="1"/>
    <col min="72" max="72" width="7" bestFit="1" customWidth="1"/>
    <col min="73" max="73" width="6" bestFit="1" customWidth="1"/>
    <col min="74" max="74" width="4" bestFit="1" customWidth="1"/>
    <col min="75" max="75" width="6" bestFit="1" customWidth="1"/>
    <col min="76" max="76" width="7" bestFit="1" customWidth="1"/>
    <col min="77" max="77" width="6" bestFit="1" customWidth="1"/>
    <col min="78" max="78" width="5" bestFit="1" customWidth="1"/>
    <col min="79" max="80" width="6" bestFit="1" customWidth="1"/>
    <col min="81" max="81" width="12" bestFit="1" customWidth="1"/>
    <col min="82" max="84" width="6" bestFit="1" customWidth="1"/>
    <col min="85" max="85" width="7" bestFit="1" customWidth="1"/>
    <col min="86" max="86" width="6" bestFit="1" customWidth="1"/>
    <col min="87" max="87" width="7" bestFit="1" customWidth="1"/>
    <col min="88" max="91" width="6" bestFit="1" customWidth="1"/>
    <col min="92" max="92" width="7" bestFit="1" customWidth="1"/>
    <col min="93" max="93" width="6" bestFit="1" customWidth="1"/>
    <col min="94" max="94" width="9" bestFit="1" customWidth="1"/>
    <col min="95" max="96" width="6" bestFit="1" customWidth="1"/>
    <col min="97" max="97" width="8" bestFit="1" customWidth="1"/>
    <col min="98" max="99" width="6" bestFit="1" customWidth="1"/>
    <col min="100" max="100" width="2" bestFit="1" customWidth="1"/>
    <col min="101" max="102" width="6" bestFit="1" customWidth="1"/>
    <col min="103" max="103" width="4" bestFit="1" customWidth="1"/>
    <col min="104" max="106" width="6" bestFit="1" customWidth="1"/>
    <col min="107" max="107" width="2" bestFit="1" customWidth="1"/>
    <col min="108" max="108" width="12" bestFit="1" customWidth="1"/>
    <col min="109" max="109" width="5" bestFit="1" customWidth="1"/>
    <col min="110" max="113" width="6" bestFit="1" customWidth="1"/>
    <col min="114" max="114" width="4" bestFit="1" customWidth="1"/>
    <col min="115" max="115" width="12" bestFit="1" customWidth="1"/>
    <col min="116" max="117" width="6" bestFit="1" customWidth="1"/>
    <col min="118" max="119" width="12" bestFit="1" customWidth="1"/>
    <col min="120" max="120" width="8" bestFit="1" customWidth="1"/>
    <col min="121" max="121" width="12" bestFit="1" customWidth="1"/>
    <col min="122" max="122" width="11" bestFit="1" customWidth="1"/>
    <col min="123" max="123" width="9" bestFit="1" customWidth="1"/>
    <col min="124" max="125" width="12" bestFit="1" customWidth="1"/>
    <col min="126" max="126" width="9" bestFit="1" customWidth="1"/>
    <col min="127" max="127" width="7" bestFit="1" customWidth="1"/>
    <col min="128" max="129" width="12" bestFit="1" customWidth="1"/>
    <col min="130" max="131" width="7" bestFit="1" customWidth="1"/>
    <col min="132" max="136" width="12" bestFit="1" customWidth="1"/>
    <col min="137" max="137" width="8" bestFit="1" customWidth="1"/>
    <col min="138" max="138" width="5" bestFit="1" customWidth="1"/>
    <col min="139" max="141" width="12" bestFit="1" customWidth="1"/>
    <col min="142" max="142" width="7" bestFit="1" customWidth="1"/>
    <col min="143" max="143" width="12" bestFit="1" customWidth="1"/>
    <col min="144" max="144" width="5" bestFit="1" customWidth="1"/>
    <col min="145" max="145" width="8" bestFit="1" customWidth="1"/>
    <col min="146" max="146" width="12" bestFit="1" customWidth="1"/>
    <col min="147" max="147" width="8" bestFit="1" customWidth="1"/>
    <col min="148" max="148" width="3" bestFit="1" customWidth="1"/>
    <col min="149" max="149" width="7" bestFit="1" customWidth="1"/>
    <col min="150" max="150" width="12" bestFit="1" customWidth="1"/>
    <col min="151" max="151" width="6" bestFit="1" customWidth="1"/>
    <col min="152" max="152" width="12" bestFit="1" customWidth="1"/>
    <col min="153" max="153" width="3" bestFit="1" customWidth="1"/>
    <col min="154" max="154" width="12" bestFit="1" customWidth="1"/>
    <col min="155" max="155" width="7" bestFit="1" customWidth="1"/>
    <col min="156" max="156" width="12" bestFit="1" customWidth="1"/>
    <col min="157" max="157" width="6" bestFit="1" customWidth="1"/>
    <col min="158" max="158" width="12" bestFit="1" customWidth="1"/>
    <col min="159" max="159" width="7" bestFit="1" customWidth="1"/>
    <col min="160" max="162" width="12" bestFit="1" customWidth="1"/>
    <col min="163" max="164" width="7" bestFit="1" customWidth="1"/>
    <col min="165" max="165" width="12" bestFit="1" customWidth="1"/>
    <col min="166" max="167" width="7" bestFit="1" customWidth="1"/>
    <col min="168" max="168" width="6" bestFit="1" customWidth="1"/>
    <col min="169" max="169" width="12" bestFit="1" customWidth="1"/>
    <col min="170" max="170" width="7" bestFit="1" customWidth="1"/>
    <col min="171" max="171" width="11" bestFit="1" customWidth="1"/>
    <col min="172" max="172" width="6" bestFit="1" customWidth="1"/>
    <col min="173" max="174" width="12" bestFit="1" customWidth="1"/>
    <col min="175" max="177" width="7" bestFit="1" customWidth="1"/>
    <col min="178" max="178" width="6" bestFit="1" customWidth="1"/>
    <col min="179" max="180" width="12" bestFit="1" customWidth="1"/>
    <col min="181" max="181" width="7" bestFit="1" customWidth="1"/>
    <col min="182" max="182" width="12" bestFit="1" customWidth="1"/>
    <col min="183" max="183" width="7" bestFit="1" customWidth="1"/>
    <col min="184" max="184" width="12" bestFit="1" customWidth="1"/>
    <col min="185" max="185" width="7" bestFit="1" customWidth="1"/>
    <col min="186" max="186" width="12" bestFit="1" customWidth="1"/>
    <col min="187" max="187" width="8" bestFit="1" customWidth="1"/>
    <col min="188" max="188" width="11" bestFit="1" customWidth="1"/>
    <col min="189" max="189" width="8" bestFit="1" customWidth="1"/>
    <col min="190" max="190" width="11" bestFit="1" customWidth="1"/>
    <col min="191" max="191" width="10.44140625" bestFit="1" customWidth="1"/>
  </cols>
  <sheetData>
    <row r="1" spans="1:7">
      <c r="A1" s="144"/>
    </row>
    <row r="3" spans="1:7">
      <c r="A3" s="134" t="s">
        <v>1057</v>
      </c>
      <c r="B3" t="s">
        <v>1058</v>
      </c>
      <c r="C3" t="s">
        <v>1059</v>
      </c>
      <c r="D3" t="s">
        <v>1060</v>
      </c>
      <c r="E3" t="s">
        <v>1061</v>
      </c>
      <c r="F3" t="s">
        <v>1062</v>
      </c>
      <c r="G3" t="s">
        <v>1063</v>
      </c>
    </row>
    <row r="4" spans="1:7">
      <c r="A4" s="135">
        <v>1</v>
      </c>
      <c r="B4">
        <v>51.848846115726147</v>
      </c>
      <c r="C4">
        <v>59.44057495497001</v>
      </c>
      <c r="D4">
        <v>86.482624257311087</v>
      </c>
      <c r="E4">
        <v>88.612899943631618</v>
      </c>
      <c r="F4">
        <v>90.586706309740094</v>
      </c>
      <c r="G4">
        <v>90.06655691123386</v>
      </c>
    </row>
    <row r="5" spans="1:7">
      <c r="A5" s="135">
        <v>2</v>
      </c>
      <c r="B5">
        <v>44.010055049096721</v>
      </c>
      <c r="C5">
        <v>48.618417099318243</v>
      </c>
      <c r="D5">
        <v>44.472582591986104</v>
      </c>
      <c r="E5">
        <v>48.768250922271498</v>
      </c>
      <c r="F5">
        <v>50.496416169618861</v>
      </c>
      <c r="G5">
        <v>52.529570771232962</v>
      </c>
    </row>
    <row r="6" spans="1:7">
      <c r="A6" s="135">
        <v>3</v>
      </c>
      <c r="B6">
        <v>175.78693226931017</v>
      </c>
      <c r="C6">
        <v>144.60293592106984</v>
      </c>
      <c r="D6">
        <v>155.97409936272376</v>
      </c>
      <c r="E6">
        <v>163.16204113557757</v>
      </c>
      <c r="F6">
        <v>171.73113172020601</v>
      </c>
      <c r="G6">
        <v>173.6701140516416</v>
      </c>
    </row>
    <row r="7" spans="1:7">
      <c r="A7" s="135">
        <v>4</v>
      </c>
      <c r="B7">
        <v>83.60639401809371</v>
      </c>
      <c r="C7">
        <v>118.48427189863754</v>
      </c>
      <c r="D7">
        <v>133.62118954694094</v>
      </c>
      <c r="E7">
        <v>129.65425145350912</v>
      </c>
      <c r="F7">
        <v>139.93408173636232</v>
      </c>
      <c r="G7">
        <v>126.58625608469788</v>
      </c>
    </row>
    <row r="8" spans="1:7">
      <c r="A8" s="135">
        <v>5</v>
      </c>
      <c r="B8">
        <v>123.63480775174006</v>
      </c>
      <c r="C8">
        <v>147.05219466099777</v>
      </c>
      <c r="D8">
        <v>189.53724843014751</v>
      </c>
      <c r="E8">
        <v>190.78156841550501</v>
      </c>
      <c r="F8">
        <v>190.69034372473376</v>
      </c>
      <c r="G8">
        <v>168.43609220142625</v>
      </c>
    </row>
    <row r="9" spans="1:7">
      <c r="A9" s="135">
        <v>6</v>
      </c>
      <c r="B9">
        <v>296.98193935364333</v>
      </c>
      <c r="C9">
        <v>384.70630580605268</v>
      </c>
      <c r="D9">
        <v>485.55180083960863</v>
      </c>
      <c r="E9">
        <v>510.93644717050961</v>
      </c>
      <c r="F9">
        <v>544.86549801495971</v>
      </c>
      <c r="G9">
        <v>522.43913328391068</v>
      </c>
    </row>
    <row r="10" spans="1:7">
      <c r="A10" s="135">
        <v>7</v>
      </c>
      <c r="B10">
        <v>377.13148355667892</v>
      </c>
      <c r="C10">
        <v>527.28868215182229</v>
      </c>
      <c r="D10">
        <v>520.47221269495742</v>
      </c>
      <c r="E10">
        <v>499.78073049857773</v>
      </c>
      <c r="F10">
        <v>474.7885534182281</v>
      </c>
      <c r="G10">
        <v>417.26876416875228</v>
      </c>
    </row>
    <row r="11" spans="1:7">
      <c r="A11" s="135">
        <v>8</v>
      </c>
      <c r="B11">
        <v>219.01711011224768</v>
      </c>
      <c r="C11">
        <v>226.04604211290177</v>
      </c>
      <c r="D11">
        <v>241.44736154956391</v>
      </c>
      <c r="E11">
        <v>244.90280665846404</v>
      </c>
      <c r="F11">
        <v>249.58990207499517</v>
      </c>
      <c r="G11">
        <v>246.00327029703806</v>
      </c>
    </row>
    <row r="12" spans="1:7">
      <c r="A12" s="135">
        <v>9</v>
      </c>
      <c r="B12">
        <v>41.069000000000003</v>
      </c>
      <c r="C12">
        <v>42.947717838408678</v>
      </c>
      <c r="D12">
        <v>49.288717202914064</v>
      </c>
      <c r="E12">
        <v>44.251695239087688</v>
      </c>
      <c r="F12">
        <v>47.573612632589132</v>
      </c>
      <c r="G12">
        <v>39.401325383272514</v>
      </c>
    </row>
    <row r="13" spans="1:7">
      <c r="A13" s="135">
        <v>10</v>
      </c>
      <c r="B13">
        <v>18.934709999999999</v>
      </c>
      <c r="C13">
        <v>18.629230303309985</v>
      </c>
      <c r="D13">
        <v>20.373372740591076</v>
      </c>
      <c r="E13">
        <v>21.360290401529099</v>
      </c>
      <c r="F13">
        <v>22.454467992252432</v>
      </c>
      <c r="G13">
        <v>23.381456252267608</v>
      </c>
    </row>
    <row r="14" spans="1:7">
      <c r="A14" s="135">
        <v>11</v>
      </c>
      <c r="B14">
        <v>90.186449048</v>
      </c>
      <c r="C14">
        <v>89.72517603685489</v>
      </c>
      <c r="D14">
        <v>94.586453140784997</v>
      </c>
      <c r="E14">
        <v>95.734678213676432</v>
      </c>
      <c r="F14">
        <v>97.806309880296084</v>
      </c>
      <c r="G14">
        <v>98.617396785140684</v>
      </c>
    </row>
    <row r="15" spans="1:7">
      <c r="A15" s="135">
        <v>14</v>
      </c>
      <c r="B15">
        <v>117.14943791986514</v>
      </c>
      <c r="C15">
        <v>107.24468921926193</v>
      </c>
      <c r="D15">
        <v>113.8201416254192</v>
      </c>
      <c r="E15">
        <v>125.80746069200116</v>
      </c>
      <c r="F15">
        <v>125.91873592203468</v>
      </c>
      <c r="G15">
        <v>122.41965660996379</v>
      </c>
    </row>
    <row r="16" spans="1:7">
      <c r="A16" s="135" t="s">
        <v>804</v>
      </c>
      <c r="B16">
        <v>549.7920438316487</v>
      </c>
      <c r="C16">
        <v>615.09008681672367</v>
      </c>
      <c r="D16">
        <v>638.30054202946121</v>
      </c>
      <c r="E16">
        <v>617.36642208827925</v>
      </c>
      <c r="F16">
        <v>629.10183627005824</v>
      </c>
      <c r="G16">
        <v>638.49039731038113</v>
      </c>
    </row>
    <row r="17" spans="1:10">
      <c r="A17" s="135" t="s">
        <v>805</v>
      </c>
      <c r="B17">
        <v>566.15338203686463</v>
      </c>
      <c r="C17">
        <v>633.47777680878414</v>
      </c>
      <c r="D17">
        <v>657.41669866942311</v>
      </c>
      <c r="E17">
        <v>635.84222760543253</v>
      </c>
      <c r="F17">
        <v>647.942157493281</v>
      </c>
      <c r="G17">
        <v>657.63198894595871</v>
      </c>
    </row>
    <row r="18" spans="1:10">
      <c r="A18" s="135" t="s">
        <v>132</v>
      </c>
      <c r="B18">
        <v>1159.0773509738872</v>
      </c>
      <c r="C18">
        <v>1287.2288484857863</v>
      </c>
      <c r="D18">
        <v>1327.966504020508</v>
      </c>
      <c r="E18">
        <v>1281.5545859091767</v>
      </c>
      <c r="F18">
        <v>1302.2188498787868</v>
      </c>
      <c r="G18">
        <v>1319.0047277841484</v>
      </c>
    </row>
    <row r="19" spans="1:10">
      <c r="A19" s="135" t="s">
        <v>806</v>
      </c>
      <c r="B19">
        <v>157.82020089434295</v>
      </c>
      <c r="C19">
        <v>174.97666408295777</v>
      </c>
      <c r="D19">
        <v>180.91856920873195</v>
      </c>
      <c r="E19">
        <v>175.2410347571996</v>
      </c>
      <c r="F19">
        <v>178.31794881639601</v>
      </c>
      <c r="G19">
        <v>180.59524827065079</v>
      </c>
    </row>
    <row r="20" spans="1:10">
      <c r="A20" s="135" t="s">
        <v>807</v>
      </c>
      <c r="B20">
        <v>652.90654704294411</v>
      </c>
      <c r="C20">
        <v>727.73539728850278</v>
      </c>
      <c r="D20">
        <v>754.06601161701064</v>
      </c>
      <c r="E20">
        <v>729.77309359087155</v>
      </c>
      <c r="F20">
        <v>743.21034293931473</v>
      </c>
      <c r="G20">
        <v>753.64513580000312</v>
      </c>
    </row>
    <row r="21" spans="1:10">
      <c r="A21" s="135" t="s">
        <v>808</v>
      </c>
      <c r="B21">
        <v>273.23113739074546</v>
      </c>
      <c r="C21">
        <v>306.39947449416923</v>
      </c>
      <c r="D21">
        <v>318.25994646380224</v>
      </c>
      <c r="E21">
        <v>307.70646870088063</v>
      </c>
      <c r="F21">
        <v>313.67042462792165</v>
      </c>
      <c r="G21">
        <v>318.52494171333598</v>
      </c>
    </row>
    <row r="22" spans="1:10">
      <c r="A22" s="135" t="s">
        <v>851</v>
      </c>
      <c r="B22">
        <v>81.939024039352304</v>
      </c>
      <c r="C22">
        <v>110.93792115040276</v>
      </c>
      <c r="D22">
        <v>198.03254798811642</v>
      </c>
      <c r="E22">
        <v>256.67296290768235</v>
      </c>
      <c r="F22">
        <v>322.92841070226848</v>
      </c>
      <c r="G22">
        <v>340.10918914446745</v>
      </c>
      <c r="J22" t="s">
        <v>1064</v>
      </c>
    </row>
    <row r="23" spans="1:10">
      <c r="A23" s="135" t="s">
        <v>171</v>
      </c>
      <c r="B23">
        <v>500.47727936876959</v>
      </c>
      <c r="C23">
        <v>511.10588689757509</v>
      </c>
      <c r="D23">
        <v>524.98600037357858</v>
      </c>
      <c r="E23">
        <v>510.40833269520124</v>
      </c>
      <c r="F23">
        <v>509.89572469895222</v>
      </c>
      <c r="G23">
        <v>510.13642508672808</v>
      </c>
      <c r="J23" t="s">
        <v>1064</v>
      </c>
    </row>
    <row r="24" spans="1:10">
      <c r="A24" s="135" t="s">
        <v>164</v>
      </c>
      <c r="B24">
        <v>99.787527637844207</v>
      </c>
      <c r="C24">
        <v>110.19743132074342</v>
      </c>
      <c r="D24">
        <v>120.64109000982238</v>
      </c>
      <c r="E24">
        <v>120.15589977012934</v>
      </c>
      <c r="F24">
        <v>121.95181397501136</v>
      </c>
      <c r="G24">
        <v>120.57956458758335</v>
      </c>
      <c r="J24" t="s">
        <v>1064</v>
      </c>
    </row>
    <row r="25" spans="1:10">
      <c r="A25" s="135" t="s">
        <v>541</v>
      </c>
      <c r="B25">
        <v>136.16602544365003</v>
      </c>
      <c r="C25">
        <v>160.58853150057237</v>
      </c>
      <c r="D25">
        <v>145.60472854576273</v>
      </c>
      <c r="E25">
        <v>140.62378785520517</v>
      </c>
      <c r="F25">
        <v>139.65643453701546</v>
      </c>
      <c r="G25">
        <v>138.7104706371685</v>
      </c>
      <c r="J25" t="s">
        <v>1064</v>
      </c>
    </row>
    <row r="26" spans="1:10">
      <c r="A26" s="135" t="s">
        <v>809</v>
      </c>
      <c r="B26">
        <v>30.739000000000001</v>
      </c>
      <c r="C26">
        <v>31.899000000000001</v>
      </c>
      <c r="D26">
        <v>31.592999999999996</v>
      </c>
      <c r="E26">
        <v>32.780999999999999</v>
      </c>
      <c r="F26">
        <v>32.780999999999999</v>
      </c>
      <c r="G26">
        <v>32.780999999999999</v>
      </c>
      <c r="J26" t="s">
        <v>1064</v>
      </c>
    </row>
    <row r="27" spans="1:10">
      <c r="A27" s="135" t="s">
        <v>146</v>
      </c>
      <c r="B27">
        <v>134.04609988999263</v>
      </c>
      <c r="C27">
        <v>136.8575334624187</v>
      </c>
      <c r="D27">
        <v>138.40136041632479</v>
      </c>
      <c r="E27">
        <v>141.71893281266674</v>
      </c>
      <c r="F27">
        <v>143.1193858570507</v>
      </c>
      <c r="G27">
        <v>139.13402140145664</v>
      </c>
      <c r="J27" t="s">
        <v>1064</v>
      </c>
    </row>
    <row r="28" spans="1:10">
      <c r="A28" s="135" t="s">
        <v>810</v>
      </c>
      <c r="B28">
        <v>82.083046932274726</v>
      </c>
      <c r="C28">
        <v>84.403330493767015</v>
      </c>
      <c r="D28">
        <v>82.61727367210483</v>
      </c>
      <c r="E28">
        <v>81.799670470145273</v>
      </c>
      <c r="F28">
        <v>81.954577384982201</v>
      </c>
      <c r="G28">
        <v>81.895253473871577</v>
      </c>
      <c r="J28" t="s">
        <v>1064</v>
      </c>
    </row>
    <row r="29" spans="1:10">
      <c r="A29" s="135" t="s">
        <v>1065</v>
      </c>
      <c r="B29">
        <v>6063.5758306767175</v>
      </c>
      <c r="C29">
        <v>6805.6841208060096</v>
      </c>
      <c r="D29">
        <v>7254.4320769975957</v>
      </c>
      <c r="E29">
        <v>7195.3975399072115</v>
      </c>
      <c r="F29">
        <v>7373.1846667770551</v>
      </c>
      <c r="G29">
        <v>7312.0579569563315</v>
      </c>
    </row>
    <row r="33" spans="1:8">
      <c r="A33" s="200" t="s">
        <v>1066</v>
      </c>
      <c r="B33" s="200" t="s">
        <v>1067</v>
      </c>
      <c r="C33" s="200" t="s">
        <v>1058</v>
      </c>
      <c r="D33" s="200" t="s">
        <v>1059</v>
      </c>
      <c r="E33" s="200" t="s">
        <v>1060</v>
      </c>
      <c r="F33" s="200" t="s">
        <v>1061</v>
      </c>
      <c r="G33" s="200" t="s">
        <v>1062</v>
      </c>
      <c r="H33" s="200" t="s">
        <v>1063</v>
      </c>
    </row>
    <row r="34" spans="1:8">
      <c r="A34" s="135">
        <v>1</v>
      </c>
      <c r="B34">
        <v>51.848846115726147</v>
      </c>
      <c r="C34">
        <v>59.44057495497001</v>
      </c>
      <c r="D34">
        <v>86.482624257311087</v>
      </c>
      <c r="E34">
        <v>88.612899943631618</v>
      </c>
      <c r="F34">
        <v>90.586706309740094</v>
      </c>
      <c r="G34">
        <v>90.06655691123386</v>
      </c>
      <c r="H34">
        <v>86.77638118465498</v>
      </c>
    </row>
    <row r="35" spans="1:8">
      <c r="A35" s="135">
        <v>2</v>
      </c>
      <c r="B35">
        <v>44.010055049096721</v>
      </c>
      <c r="C35">
        <v>48.618417099318243</v>
      </c>
      <c r="D35">
        <v>44.472582591986104</v>
      </c>
      <c r="E35">
        <v>48.768250922271498</v>
      </c>
      <c r="F35">
        <v>50.496416169618861</v>
      </c>
      <c r="G35">
        <v>52.529570771232962</v>
      </c>
      <c r="H35">
        <v>47.873700150102238</v>
      </c>
    </row>
    <row r="36" spans="1:8">
      <c r="A36" s="135">
        <v>3</v>
      </c>
      <c r="B36">
        <v>175.78693226931017</v>
      </c>
      <c r="C36">
        <v>144.60293592106984</v>
      </c>
      <c r="D36">
        <v>155.97409936272376</v>
      </c>
      <c r="E36">
        <v>163.16204113557757</v>
      </c>
      <c r="F36">
        <v>171.73113172020601</v>
      </c>
      <c r="G36">
        <v>173.6701140516416</v>
      </c>
      <c r="H36">
        <v>167.92770307824532</v>
      </c>
    </row>
    <row r="37" spans="1:8">
      <c r="A37" s="135">
        <v>4</v>
      </c>
      <c r="B37">
        <v>83.60639401809371</v>
      </c>
      <c r="C37">
        <v>118.48427189863754</v>
      </c>
      <c r="D37">
        <v>133.62118954694094</v>
      </c>
      <c r="E37">
        <v>129.65425145350912</v>
      </c>
      <c r="F37">
        <v>139.93408173636232</v>
      </c>
      <c r="G37">
        <v>126.58625608469788</v>
      </c>
      <c r="H37">
        <v>101.79326364043153</v>
      </c>
    </row>
    <row r="38" spans="1:8">
      <c r="A38" s="135">
        <v>5</v>
      </c>
      <c r="B38">
        <v>123.63480775174006</v>
      </c>
      <c r="C38">
        <v>147.05219466099777</v>
      </c>
      <c r="D38">
        <v>189.53724843014751</v>
      </c>
      <c r="E38">
        <v>190.78156841550501</v>
      </c>
      <c r="F38">
        <v>190.69034372473376</v>
      </c>
      <c r="G38">
        <v>168.43609220142625</v>
      </c>
      <c r="H38">
        <v>148.50164903168621</v>
      </c>
    </row>
    <row r="39" spans="1:8">
      <c r="A39" s="135">
        <v>6</v>
      </c>
      <c r="B39">
        <v>296.98193935364333</v>
      </c>
      <c r="C39">
        <v>384.70630580605268</v>
      </c>
      <c r="D39">
        <v>485.55180083960863</v>
      </c>
      <c r="E39">
        <v>510.93644717050961</v>
      </c>
      <c r="F39">
        <v>544.86549801495971</v>
      </c>
      <c r="G39">
        <v>522.43913328391068</v>
      </c>
      <c r="H39">
        <v>509.89124129408765</v>
      </c>
    </row>
    <row r="40" spans="1:8">
      <c r="A40" s="135">
        <v>7</v>
      </c>
      <c r="B40">
        <v>377.13148355667892</v>
      </c>
      <c r="C40">
        <v>527.28868215182229</v>
      </c>
      <c r="D40">
        <v>520.47221269495742</v>
      </c>
      <c r="E40">
        <v>499.78073049857773</v>
      </c>
      <c r="F40">
        <v>474.7885534182281</v>
      </c>
      <c r="G40">
        <v>417.26876416875228</v>
      </c>
      <c r="H40">
        <v>389.35931886074633</v>
      </c>
    </row>
    <row r="41" spans="1:8">
      <c r="A41" s="135">
        <v>8</v>
      </c>
      <c r="B41">
        <v>219.01711011224768</v>
      </c>
      <c r="C41">
        <v>226.04604211290177</v>
      </c>
      <c r="D41">
        <v>241.44736154956391</v>
      </c>
      <c r="E41">
        <v>244.90280665846404</v>
      </c>
      <c r="F41">
        <v>249.58990207499517</v>
      </c>
      <c r="G41">
        <v>246.00327029703806</v>
      </c>
      <c r="H41">
        <v>236.11627693565643</v>
      </c>
    </row>
    <row r="42" spans="1:8">
      <c r="A42" s="135">
        <v>9</v>
      </c>
      <c r="B42">
        <v>41.069000000000003</v>
      </c>
      <c r="C42">
        <v>42.947717838408678</v>
      </c>
      <c r="D42">
        <v>49.288717202914064</v>
      </c>
      <c r="E42">
        <v>44.251695239087688</v>
      </c>
      <c r="F42">
        <v>47.573612632589132</v>
      </c>
      <c r="G42">
        <v>39.401325383272514</v>
      </c>
      <c r="H42">
        <v>27.688373120223595</v>
      </c>
    </row>
    <row r="43" spans="1:8">
      <c r="A43" s="135">
        <v>10</v>
      </c>
      <c r="B43">
        <v>18.934709999999999</v>
      </c>
      <c r="C43">
        <v>18.629230303309985</v>
      </c>
      <c r="D43">
        <v>20.373372740591076</v>
      </c>
      <c r="E43">
        <v>21.360290401529099</v>
      </c>
      <c r="F43">
        <v>22.454467992252432</v>
      </c>
      <c r="G43">
        <v>23.381456252267608</v>
      </c>
      <c r="H43">
        <v>22.571634434891966</v>
      </c>
    </row>
    <row r="44" spans="1:8">
      <c r="A44" s="135">
        <v>11</v>
      </c>
      <c r="B44">
        <v>90.186449048</v>
      </c>
      <c r="C44">
        <v>89.72517603685489</v>
      </c>
      <c r="D44">
        <v>94.586453140784997</v>
      </c>
      <c r="E44">
        <v>95.734678213676432</v>
      </c>
      <c r="F44">
        <v>97.806309880296084</v>
      </c>
      <c r="G44">
        <v>98.617396785140684</v>
      </c>
      <c r="H44">
        <v>97.006997112448872</v>
      </c>
    </row>
    <row r="45" spans="1:8">
      <c r="A45" s="135">
        <v>12</v>
      </c>
      <c r="B45">
        <f>SUM(B51:B56)</f>
        <v>3358.9806621704329</v>
      </c>
      <c r="C45">
        <f t="shared" ref="C45:H45" si="0">SUM(C51:C56)</f>
        <v>3744.908247976924</v>
      </c>
      <c r="D45">
        <f t="shared" si="0"/>
        <v>3876.9282720089373</v>
      </c>
      <c r="E45">
        <f t="shared" si="0"/>
        <v>3747.4838326518402</v>
      </c>
      <c r="F45">
        <f t="shared" si="0"/>
        <v>3814.4615600257584</v>
      </c>
      <c r="G45">
        <f t="shared" si="0"/>
        <v>3867.8924398244776</v>
      </c>
      <c r="H45">
        <f t="shared" si="0"/>
        <v>3901.5011514630614</v>
      </c>
    </row>
    <row r="46" spans="1:8">
      <c r="A46" s="135">
        <v>13</v>
      </c>
      <c r="B46">
        <f>SUM(B57:B63)</f>
        <v>1065.2380033118834</v>
      </c>
      <c r="C46">
        <f t="shared" ref="C46:H46" si="1">SUM(C57:C63)</f>
        <v>1145.9896348254792</v>
      </c>
      <c r="D46">
        <f t="shared" si="1"/>
        <v>1241.8760010057097</v>
      </c>
      <c r="E46">
        <f t="shared" si="1"/>
        <v>1284.1605865110298</v>
      </c>
      <c r="F46">
        <f t="shared" si="1"/>
        <v>1352.2873471552805</v>
      </c>
      <c r="G46">
        <f t="shared" si="1"/>
        <v>1363.3459243312757</v>
      </c>
      <c r="H46">
        <f t="shared" si="1"/>
        <v>1297.4051269068482</v>
      </c>
    </row>
    <row r="47" spans="1:8">
      <c r="A47" s="135">
        <v>14</v>
      </c>
      <c r="B47">
        <v>117.14943791986514</v>
      </c>
      <c r="C47">
        <v>107.24468921926193</v>
      </c>
      <c r="D47">
        <v>113.8201416254192</v>
      </c>
      <c r="E47">
        <v>125.80746069200116</v>
      </c>
      <c r="F47">
        <v>125.91873592203468</v>
      </c>
      <c r="G47">
        <v>122.41965660996379</v>
      </c>
      <c r="H47">
        <v>118.87944379835324</v>
      </c>
    </row>
    <row r="48" spans="1:8">
      <c r="A48" s="202" t="s">
        <v>1055</v>
      </c>
      <c r="B48" s="144">
        <f>SUM(B34:B47)</f>
        <v>6063.5758306767175</v>
      </c>
      <c r="C48" s="144">
        <f t="shared" ref="C48:H48" si="2">SUM(C34:C47)</f>
        <v>6805.6841208060087</v>
      </c>
      <c r="D48" s="144">
        <f t="shared" si="2"/>
        <v>7254.4320769975957</v>
      </c>
      <c r="E48" s="144">
        <f t="shared" si="2"/>
        <v>7195.3975399072096</v>
      </c>
      <c r="F48" s="144">
        <f t="shared" si="2"/>
        <v>7373.1846667770551</v>
      </c>
      <c r="G48" s="144">
        <f t="shared" si="2"/>
        <v>7312.0579569563306</v>
      </c>
      <c r="H48" s="144">
        <f t="shared" si="2"/>
        <v>7153.2922610114374</v>
      </c>
    </row>
    <row r="49" spans="1:8">
      <c r="A49" s="135"/>
      <c r="B49" s="203"/>
      <c r="C49" s="203"/>
      <c r="D49" s="203"/>
      <c r="E49" s="203"/>
      <c r="F49" s="203"/>
      <c r="G49" s="203"/>
      <c r="H49" s="203"/>
    </row>
    <row r="50" spans="1:8">
      <c r="A50" s="135"/>
    </row>
    <row r="51" spans="1:8">
      <c r="A51" s="135" t="s">
        <v>804</v>
      </c>
      <c r="B51">
        <v>549.7920438316487</v>
      </c>
      <c r="C51">
        <v>615.09008681672367</v>
      </c>
      <c r="D51">
        <v>638.30054202946121</v>
      </c>
      <c r="E51">
        <v>617.36642208827925</v>
      </c>
      <c r="F51">
        <v>629.10183627005824</v>
      </c>
      <c r="G51">
        <v>638.49039731038113</v>
      </c>
      <c r="H51">
        <v>644.34030102505119</v>
      </c>
    </row>
    <row r="52" spans="1:8">
      <c r="A52" s="135" t="s">
        <v>805</v>
      </c>
      <c r="B52">
        <v>566.15338203686463</v>
      </c>
      <c r="C52">
        <v>633.47777680878414</v>
      </c>
      <c r="D52">
        <v>657.41669866942311</v>
      </c>
      <c r="E52">
        <v>635.84222760543253</v>
      </c>
      <c r="F52">
        <v>647.942157493281</v>
      </c>
      <c r="G52">
        <v>657.63198894595871</v>
      </c>
      <c r="H52">
        <v>663.6635975199514</v>
      </c>
    </row>
    <row r="53" spans="1:8">
      <c r="A53" s="135" t="s">
        <v>132</v>
      </c>
      <c r="B53">
        <v>1159.0773509738872</v>
      </c>
      <c r="C53">
        <v>1287.2288484857863</v>
      </c>
      <c r="D53">
        <v>1327.966504020508</v>
      </c>
      <c r="E53">
        <v>1281.5545859091767</v>
      </c>
      <c r="F53">
        <v>1302.2188498787868</v>
      </c>
      <c r="G53">
        <v>1319.0047277841484</v>
      </c>
      <c r="H53">
        <v>1329.5269682158812</v>
      </c>
    </row>
    <row r="54" spans="1:8">
      <c r="A54" s="135" t="s">
        <v>806</v>
      </c>
      <c r="B54">
        <v>157.82020089434295</v>
      </c>
      <c r="C54">
        <v>174.97666408295777</v>
      </c>
      <c r="D54">
        <v>180.91856920873195</v>
      </c>
      <c r="E54">
        <v>175.2410347571996</v>
      </c>
      <c r="F54">
        <v>178.31794881639601</v>
      </c>
      <c r="G54">
        <v>180.59524827065079</v>
      </c>
      <c r="H54">
        <v>182.12903742421648</v>
      </c>
    </row>
    <row r="55" spans="1:8">
      <c r="A55" s="135" t="s">
        <v>807</v>
      </c>
      <c r="B55">
        <v>652.90654704294411</v>
      </c>
      <c r="C55">
        <v>727.73539728850278</v>
      </c>
      <c r="D55">
        <v>754.06601161701064</v>
      </c>
      <c r="E55">
        <v>729.77309359087155</v>
      </c>
      <c r="F55">
        <v>743.21034293931473</v>
      </c>
      <c r="G55">
        <v>753.64513580000312</v>
      </c>
      <c r="H55">
        <v>760.34337530487346</v>
      </c>
    </row>
    <row r="56" spans="1:8">
      <c r="A56" s="135" t="s">
        <v>808</v>
      </c>
      <c r="B56">
        <v>273.23113739074546</v>
      </c>
      <c r="C56">
        <v>306.39947449416923</v>
      </c>
      <c r="D56">
        <v>318.25994646380224</v>
      </c>
      <c r="E56">
        <v>307.70646870088063</v>
      </c>
      <c r="F56">
        <v>313.67042462792165</v>
      </c>
      <c r="G56">
        <v>318.52494171333598</v>
      </c>
      <c r="H56">
        <v>321.49787197308734</v>
      </c>
    </row>
    <row r="57" spans="1:8">
      <c r="A57" s="135" t="s">
        <v>851</v>
      </c>
      <c r="B57">
        <v>81.939024039352304</v>
      </c>
      <c r="C57">
        <v>110.93792115040276</v>
      </c>
      <c r="D57">
        <v>198.03254798811642</v>
      </c>
      <c r="E57">
        <v>256.67296290768235</v>
      </c>
      <c r="F57">
        <v>322.92841070226848</v>
      </c>
      <c r="G57">
        <v>340.10918914446745</v>
      </c>
      <c r="H57">
        <v>293.9758926368504</v>
      </c>
    </row>
    <row r="58" spans="1:8">
      <c r="A58" s="135" t="s">
        <v>171</v>
      </c>
      <c r="B58">
        <v>500.47727936876959</v>
      </c>
      <c r="C58">
        <v>511.10588689757509</v>
      </c>
      <c r="D58">
        <v>524.98600037357858</v>
      </c>
      <c r="E58">
        <v>510.40833269520124</v>
      </c>
      <c r="F58">
        <v>509.89572469895222</v>
      </c>
      <c r="G58">
        <v>510.13642508672808</v>
      </c>
      <c r="H58">
        <v>509.97884246909223</v>
      </c>
    </row>
    <row r="59" spans="1:8">
      <c r="A59" s="135" t="s">
        <v>164</v>
      </c>
      <c r="B59">
        <v>99.787527637844207</v>
      </c>
      <c r="C59">
        <v>110.19743132074342</v>
      </c>
      <c r="D59">
        <v>120.64109000982238</v>
      </c>
      <c r="E59">
        <v>120.15589977012934</v>
      </c>
      <c r="F59">
        <v>121.95181397501136</v>
      </c>
      <c r="G59">
        <v>120.57956458758335</v>
      </c>
      <c r="H59">
        <v>107.98249838716008</v>
      </c>
    </row>
    <row r="60" spans="1:8">
      <c r="A60" s="135" t="s">
        <v>541</v>
      </c>
      <c r="B60">
        <v>136.16602544365003</v>
      </c>
      <c r="C60">
        <v>160.58853150057237</v>
      </c>
      <c r="D60">
        <v>145.60472854576273</v>
      </c>
      <c r="E60">
        <v>140.62378785520517</v>
      </c>
      <c r="F60">
        <v>139.65643453701546</v>
      </c>
      <c r="G60">
        <v>138.7104706371685</v>
      </c>
      <c r="H60">
        <v>137.66245498402924</v>
      </c>
    </row>
    <row r="61" spans="1:8">
      <c r="A61" s="135" t="s">
        <v>809</v>
      </c>
      <c r="B61">
        <v>30.739000000000001</v>
      </c>
      <c r="C61">
        <v>31.899000000000001</v>
      </c>
      <c r="D61">
        <v>31.592999999999996</v>
      </c>
      <c r="E61">
        <v>32.780999999999999</v>
      </c>
      <c r="F61">
        <v>32.780999999999999</v>
      </c>
      <c r="G61">
        <v>32.780999999999999</v>
      </c>
      <c r="H61">
        <v>32.780999999999999</v>
      </c>
    </row>
    <row r="62" spans="1:8">
      <c r="A62" s="135" t="s">
        <v>146</v>
      </c>
      <c r="B62">
        <v>134.04609988999263</v>
      </c>
      <c r="C62">
        <v>136.8575334624187</v>
      </c>
      <c r="D62">
        <v>138.40136041632479</v>
      </c>
      <c r="E62">
        <v>141.71893281266674</v>
      </c>
      <c r="F62">
        <v>143.1193858570507</v>
      </c>
      <c r="G62">
        <v>139.13402140145664</v>
      </c>
      <c r="H62">
        <v>133.14000575823675</v>
      </c>
    </row>
    <row r="63" spans="1:8">
      <c r="A63" s="135" t="s">
        <v>810</v>
      </c>
      <c r="B63">
        <v>82.083046932274726</v>
      </c>
      <c r="C63">
        <v>84.403330493767015</v>
      </c>
      <c r="D63">
        <v>82.61727367210483</v>
      </c>
      <c r="E63">
        <v>81.799670470145273</v>
      </c>
      <c r="F63">
        <v>81.954577384982201</v>
      </c>
      <c r="G63">
        <v>81.895253473871577</v>
      </c>
      <c r="H63">
        <v>81.884432671479658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9c66c7-79d9-4941-9a7a-97915a0296e9" xsi:nil="true"/>
    <lcf76f155ced4ddcb4097134ff3c332f xmlns="abe339dc-4cac-446e-aee9-dcf1d10c744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FDD6DD5215294889AF5A1ACCA7E2B3" ma:contentTypeVersion="11" ma:contentTypeDescription="Een nieuw document maken." ma:contentTypeScope="" ma:versionID="fba5df51890d70ab71a9883fd9549c19">
  <xsd:schema xmlns:xsd="http://www.w3.org/2001/XMLSchema" xmlns:xs="http://www.w3.org/2001/XMLSchema" xmlns:p="http://schemas.microsoft.com/office/2006/metadata/properties" xmlns:ns2="abe339dc-4cac-446e-aee9-dcf1d10c744b" xmlns:ns3="079c66c7-79d9-4941-9a7a-97915a0296e9" targetNamespace="http://schemas.microsoft.com/office/2006/metadata/properties" ma:root="true" ma:fieldsID="9195de55c5d9693d32baf95cb69c3343" ns2:_="" ns3:_="">
    <xsd:import namespace="abe339dc-4cac-446e-aee9-dcf1d10c744b"/>
    <xsd:import namespace="079c66c7-79d9-4941-9a7a-97915a0296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339dc-4cac-446e-aee9-dcf1d10c7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5e0768-be4e-4add-baa2-61b1fff7b35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c66c7-79d9-4941-9a7a-97915a0296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eb1b46-d6fb-464a-961c-7c73e437554d}" ma:internalName="TaxCatchAll" ma:showField="CatchAllData" ma:web="079c66c7-79d9-4941-9a7a-97915a029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240C71-7A62-4D48-912F-F5969D567902}">
  <ds:schemaRef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be339dc-4cac-446e-aee9-dcf1d10c744b"/>
    <ds:schemaRef ds:uri="http://purl.org/dc/terms/"/>
    <ds:schemaRef ds:uri="079c66c7-79d9-4941-9a7a-97915a0296e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F0BB58A-384C-4515-88E4-80AC5118FD7F}">
  <ds:schemaRefs>
    <ds:schemaRef ds:uri="http://schemas.microsoft.com/sharepoint/v3/contenttype/forms"/>
  </ds:schemaRefs>
</ds:datastoreItem>
</file>

<file path=customXml/itemProps3.xml><?xml version="1.0" encoding="utf-8"?>
<ds:datastoreItem xmlns:ds="http://schemas.openxmlformats.org/officeDocument/2006/customXml" ds:itemID="{C9496B83-2C60-44BB-A57C-C61C49018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339dc-4cac-446e-aee9-dcf1d10c744b"/>
    <ds:schemaRef ds:uri="079c66c7-79d9-4941-9a7a-97915a029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Inhoud</vt:lpstr>
      <vt:lpstr>Toelichting</vt:lpstr>
      <vt:lpstr>Totaal</vt:lpstr>
      <vt:lpstr>R&amp;D</vt:lpstr>
      <vt:lpstr>Innovatie</vt:lpstr>
      <vt:lpstr>R&amp;D + Innovatie</vt:lpstr>
      <vt:lpstr>Fiscaal</vt:lpstr>
      <vt:lpstr>R&amp;D data voor NABS</vt:lpstr>
      <vt:lpstr>draaitabel voor NABS_2022</vt:lpstr>
      <vt:lpstr>Draaitabel</vt:lpstr>
      <vt:lpstr>Fiscaal!Print_Area</vt:lpstr>
      <vt:lpstr>Inhoud!Print_Area</vt:lpstr>
      <vt:lpstr>Innovatie!Print_Area</vt:lpstr>
      <vt:lpstr>'R&amp;D'!Print_Area</vt:lpstr>
      <vt:lpstr>'R&amp;D data voor NABS'!Print_Area</vt:lpstr>
      <vt:lpstr>Toelichting!Print_Area</vt:lpstr>
      <vt:lpstr>Innovatie!Print_Titles</vt:lpstr>
      <vt:lpstr>'R&amp;D'!Print_Titles</vt:lpstr>
      <vt:lpstr>'R&amp;D data voor NABS'!Print_Titles</vt:lpstr>
    </vt:vector>
  </TitlesOfParts>
  <Manager/>
  <Company>KNAW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van Steen</dc:creator>
  <cp:keywords/>
  <dc:description/>
  <cp:lastModifiedBy>Pepijn Heuberger</cp:lastModifiedBy>
  <cp:revision/>
  <dcterms:created xsi:type="dcterms:W3CDTF">2013-11-20T12:43:27Z</dcterms:created>
  <dcterms:modified xsi:type="dcterms:W3CDTF">2026-04-23T12:58:38Z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0x01010086FDD6DD5215294889AF5A1ACCA7E2B3</vt:lpwstr>
  </property>
  <property fmtid="{D5CDD505-2E9C-101B-9397-08002B2CF9AE}" pid="3" name="MediaServiceImageTags">
    <vt:lpwstr/>
  </property>
</Properties>
</file>