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Achterliggende bestanden\"/>
    </mc:Choice>
  </mc:AlternateContent>
  <bookViews>
    <workbookView xWindow="30" yWindow="-90" windowWidth="11600" windowHeight="9660" firstSheet="2" activeTab="4"/>
  </bookViews>
  <sheets>
    <sheet name="Policy oriented organisations" sheetId="1" r:id="rId1"/>
    <sheet name="Government laboratories" sheetId="2" r:id="rId2"/>
    <sheet name="TO2-institutes" sheetId="3" r:id="rId3"/>
    <sheet name="Sector-oriented foundations" sheetId="4" r:id="rId4"/>
    <sheet name="Prof. research and training" sheetId="5" r:id="rId5"/>
  </sheets>
  <calcPr calcId="162913"/>
</workbook>
</file>

<file path=xl/calcChain.xml><?xml version="1.0" encoding="utf-8"?>
<calcChain xmlns="http://schemas.openxmlformats.org/spreadsheetml/2006/main">
  <c r="B46" i="5" l="1"/>
  <c r="B31" i="5"/>
  <c r="B151" i="4"/>
  <c r="B136" i="4"/>
  <c r="B121" i="4"/>
  <c r="B106" i="4" l="1"/>
  <c r="B91" i="4"/>
  <c r="B76" i="4"/>
  <c r="B61" i="4"/>
  <c r="B32" i="4"/>
  <c r="B17" i="4"/>
  <c r="B89" i="3"/>
  <c r="B74" i="3"/>
  <c r="B59" i="3"/>
  <c r="B44" i="3"/>
  <c r="B17" i="3"/>
  <c r="B62" i="2"/>
  <c r="B47" i="2"/>
  <c r="B32" i="2"/>
  <c r="B17" i="2"/>
  <c r="B63" i="1"/>
  <c r="B47" i="1"/>
  <c r="C30" i="5" l="1"/>
  <c r="D75" i="4"/>
  <c r="E150" i="4"/>
  <c r="D88" i="3"/>
  <c r="E43" i="3"/>
  <c r="B43" i="5" l="1"/>
  <c r="B28" i="5"/>
  <c r="B14" i="5"/>
  <c r="B148" i="4"/>
  <c r="B133" i="4"/>
  <c r="B118" i="4"/>
  <c r="B103" i="4"/>
  <c r="B88" i="4"/>
  <c r="B73" i="4"/>
  <c r="B58" i="4"/>
  <c r="B44" i="4"/>
  <c r="B29" i="4"/>
  <c r="B14" i="4"/>
  <c r="B86" i="3"/>
  <c r="B71" i="3"/>
  <c r="B56" i="3"/>
  <c r="B55" i="3"/>
  <c r="B41" i="3"/>
  <c r="B59" i="2"/>
  <c r="B44" i="2"/>
  <c r="B28" i="2"/>
  <c r="B29" i="2"/>
  <c r="B14" i="2"/>
  <c r="B60" i="1"/>
  <c r="B44" i="1"/>
  <c r="B29" i="1"/>
  <c r="B14" i="1"/>
  <c r="B42" i="5" l="1"/>
  <c r="B27" i="5"/>
  <c r="B13" i="5"/>
  <c r="B147" i="4"/>
  <c r="B132" i="4"/>
  <c r="B117" i="4"/>
  <c r="B102" i="4"/>
  <c r="B87" i="4"/>
  <c r="B72" i="4"/>
  <c r="B57" i="4"/>
  <c r="B28" i="4"/>
  <c r="B85" i="3"/>
  <c r="B40" i="3"/>
  <c r="B28" i="3"/>
  <c r="B13" i="3"/>
  <c r="B13" i="2"/>
  <c r="B59" i="1"/>
  <c r="B28" i="1"/>
  <c r="B13" i="1"/>
  <c r="B43" i="4" l="1"/>
  <c r="B13" i="4"/>
  <c r="D73" i="2"/>
  <c r="B73" i="2"/>
  <c r="E58" i="2" l="1"/>
  <c r="D58" i="2"/>
  <c r="B43" i="2"/>
  <c r="B43" i="1"/>
  <c r="B58" i="2" l="1"/>
  <c r="B37" i="5"/>
  <c r="B38" i="5"/>
  <c r="B39" i="5"/>
  <c r="B40" i="5"/>
  <c r="B41" i="5"/>
  <c r="B36" i="5"/>
  <c r="B22" i="5"/>
  <c r="B23" i="5"/>
  <c r="B24" i="5"/>
  <c r="B25" i="5"/>
  <c r="B21" i="5"/>
  <c r="C26" i="5"/>
  <c r="B26" i="5" s="1"/>
  <c r="C12" i="5"/>
  <c r="B12" i="5" s="1"/>
  <c r="C11" i="5"/>
  <c r="B11" i="5" s="1"/>
  <c r="C10" i="5"/>
  <c r="B10" i="5" s="1"/>
  <c r="C9" i="5"/>
  <c r="C8" i="5"/>
  <c r="B8" i="5" s="1"/>
  <c r="C7" i="5"/>
  <c r="B7" i="5" s="1"/>
  <c r="B9" i="5"/>
  <c r="B142" i="4"/>
  <c r="B143" i="4"/>
  <c r="B144" i="4"/>
  <c r="B145" i="4"/>
  <c r="B146" i="4"/>
  <c r="B141" i="4"/>
  <c r="E130" i="4"/>
  <c r="B130" i="4" s="1"/>
  <c r="B127" i="4"/>
  <c r="B128" i="4"/>
  <c r="B129" i="4"/>
  <c r="B131" i="4"/>
  <c r="B126" i="4"/>
  <c r="E99" i="4"/>
  <c r="E98" i="4"/>
  <c r="E97" i="4"/>
  <c r="E96" i="4"/>
  <c r="E71" i="4" l="1"/>
  <c r="B71" i="4" s="1"/>
  <c r="E69" i="4"/>
  <c r="B69" i="4" s="1"/>
  <c r="E68" i="4"/>
  <c r="B68" i="4" s="1"/>
  <c r="E67" i="4"/>
  <c r="B67" i="4" s="1"/>
  <c r="E66" i="4"/>
  <c r="B66" i="4" s="1"/>
  <c r="B116" i="4"/>
  <c r="B115" i="4"/>
  <c r="B114" i="4"/>
  <c r="B113" i="4"/>
  <c r="B112" i="4"/>
  <c r="B111" i="4"/>
  <c r="B101" i="4"/>
  <c r="B100" i="4"/>
  <c r="B99" i="4"/>
  <c r="B98" i="4"/>
  <c r="B97" i="4"/>
  <c r="B96" i="4"/>
  <c r="B86" i="4"/>
  <c r="B85" i="4"/>
  <c r="B84" i="4"/>
  <c r="B83" i="4"/>
  <c r="B82" i="4"/>
  <c r="B81" i="4"/>
  <c r="B70" i="4"/>
  <c r="B56" i="4"/>
  <c r="B55" i="4"/>
  <c r="B54" i="4"/>
  <c r="B53" i="4"/>
  <c r="B52" i="4"/>
  <c r="B51" i="4"/>
  <c r="B42" i="4"/>
  <c r="B41" i="4"/>
  <c r="B40" i="4"/>
  <c r="B39" i="4"/>
  <c r="B38" i="4"/>
  <c r="B37" i="4"/>
  <c r="B27" i="4"/>
  <c r="B26" i="4"/>
  <c r="B25" i="4"/>
  <c r="B24" i="4"/>
  <c r="B23" i="4"/>
  <c r="B22" i="4"/>
  <c r="B12" i="4"/>
  <c r="B11" i="4"/>
  <c r="B10" i="4"/>
  <c r="B9" i="4"/>
  <c r="B8" i="4"/>
  <c r="B7" i="4"/>
  <c r="B80" i="3"/>
  <c r="B81" i="3"/>
  <c r="B82" i="3"/>
  <c r="B83" i="3"/>
  <c r="B79" i="3"/>
  <c r="C84" i="3"/>
  <c r="B84" i="3" s="1"/>
  <c r="B65" i="3"/>
  <c r="B66" i="3"/>
  <c r="B67" i="3"/>
  <c r="B68" i="3"/>
  <c r="B69" i="3"/>
  <c r="B64" i="3"/>
  <c r="C54" i="3"/>
  <c r="B54" i="3" s="1"/>
  <c r="C53" i="3"/>
  <c r="B53" i="3" s="1"/>
  <c r="C52" i="3"/>
  <c r="B52" i="3" s="1"/>
  <c r="C51" i="3"/>
  <c r="B51" i="3" s="1"/>
  <c r="C50" i="3"/>
  <c r="B50" i="3" s="1"/>
  <c r="C49" i="3"/>
  <c r="B49" i="3" s="1"/>
  <c r="B35" i="3"/>
  <c r="B36" i="3"/>
  <c r="B37" i="3"/>
  <c r="B38" i="3"/>
  <c r="B39" i="3"/>
  <c r="B34" i="3"/>
  <c r="B23" i="3"/>
  <c r="B24" i="3"/>
  <c r="B25" i="3"/>
  <c r="B26" i="3"/>
  <c r="B27" i="3"/>
  <c r="B22" i="3"/>
  <c r="B8" i="3"/>
  <c r="B9" i="3"/>
  <c r="B10" i="3"/>
  <c r="B11" i="3"/>
  <c r="B12" i="3"/>
  <c r="B7" i="3"/>
  <c r="D71" i="2"/>
  <c r="D70" i="2"/>
  <c r="D69" i="2"/>
  <c r="D68" i="2"/>
  <c r="D67" i="2"/>
  <c r="B72" i="2"/>
  <c r="C71" i="2"/>
  <c r="C70" i="2"/>
  <c r="C69" i="2"/>
  <c r="C68" i="2"/>
  <c r="C67" i="2"/>
  <c r="B69" i="2" l="1"/>
  <c r="B70" i="2"/>
  <c r="B67" i="2"/>
  <c r="B68" i="2"/>
  <c r="B71" i="2"/>
  <c r="B53" i="2" l="1"/>
  <c r="B54" i="2"/>
  <c r="B55" i="2"/>
  <c r="B56" i="2"/>
  <c r="B52" i="2"/>
  <c r="D57" i="2"/>
  <c r="B57" i="2" s="1"/>
  <c r="D27" i="2"/>
  <c r="B23" i="2" l="1"/>
  <c r="B25" i="2"/>
  <c r="B26" i="2"/>
  <c r="B27" i="2"/>
  <c r="B22" i="2"/>
  <c r="B8" i="2"/>
  <c r="B9" i="2"/>
  <c r="B10" i="2"/>
  <c r="B11" i="2"/>
  <c r="B12" i="2"/>
  <c r="B7" i="2"/>
  <c r="B54" i="1"/>
  <c r="B55" i="1"/>
  <c r="B56" i="1"/>
  <c r="B57" i="1"/>
  <c r="B58" i="1"/>
  <c r="B53" i="1"/>
  <c r="B38" i="1"/>
  <c r="B39" i="1"/>
  <c r="B40" i="1"/>
  <c r="B41" i="1"/>
  <c r="B42" i="1"/>
  <c r="B37" i="1"/>
  <c r="B23" i="1"/>
  <c r="B24" i="1"/>
  <c r="B25" i="1"/>
  <c r="B26" i="1"/>
  <c r="B27" i="1"/>
  <c r="B22" i="1"/>
  <c r="B8" i="1"/>
  <c r="B9" i="1"/>
  <c r="B10" i="1"/>
  <c r="B11" i="1"/>
  <c r="B12" i="1"/>
  <c r="B7" i="1"/>
  <c r="B40" i="2"/>
  <c r="B42" i="2"/>
  <c r="B37" i="2"/>
  <c r="B41" i="2"/>
  <c r="B38" i="2"/>
  <c r="B39" i="2"/>
  <c r="B24" i="2" l="1"/>
  <c r="C24" i="2" l="1"/>
  <c r="D24" i="2"/>
</calcChain>
</file>

<file path=xl/comments1.xml><?xml version="1.0" encoding="utf-8"?>
<comments xmlns="http://schemas.openxmlformats.org/spreadsheetml/2006/main">
  <authors>
    <author>Lionne Koens</author>
  </authors>
  <commentList>
    <comment ref="A24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de cijfers over 2012 zijn berekend op basis van Calculated on the basis of 2010-2011 figures. As of 2013 IFV received several additional tasks, meaning a steep rise in income. </t>
        </r>
      </text>
    </comment>
  </commentList>
</comments>
</file>

<file path=xl/comments2.xml><?xml version="1.0" encoding="utf-8"?>
<comments xmlns="http://schemas.openxmlformats.org/spreadsheetml/2006/main">
  <authors>
    <author>Lionne Koens</author>
  </authors>
  <commentList>
    <comment ref="A55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De cijfers over 2014 en 2015 zijn n.a.v. persoonlijke communicatie aangepast t.o.v. het jaarverslag. De vergoeding voor de monitoring van meerjarige beleidsprogramma's uit de post 'subsidies rijksoverheid' is naar projectfinanciering verplaatst. </t>
        </r>
      </text>
    </comment>
    <comment ref="C131" authorId="0" shapeId="0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inkomsten worden voor dit jaar niet uitgesplitst in de beschikbare documentatie.</t>
        </r>
      </text>
    </comment>
  </commentList>
</comments>
</file>

<file path=xl/sharedStrings.xml><?xml version="1.0" encoding="utf-8"?>
<sst xmlns="http://schemas.openxmlformats.org/spreadsheetml/2006/main" count="150" uniqueCount="38">
  <si>
    <t>Deltares</t>
  </si>
  <si>
    <t>Maritime Research Institute Netherlands (MARIN)</t>
  </si>
  <si>
    <t>Geonovum</t>
  </si>
  <si>
    <t>Movisie</t>
  </si>
  <si>
    <t>VeiligheidNL</t>
  </si>
  <si>
    <t>Vilans</t>
  </si>
  <si>
    <t>Policy oriented organisations</t>
  </si>
  <si>
    <t>Total</t>
  </si>
  <si>
    <t>Institutional funding</t>
  </si>
  <si>
    <t>Project funding</t>
  </si>
  <si>
    <t>Other income</t>
  </si>
  <si>
    <t>Netherlands Bureau for Economic Policy Analysis (CPB)</t>
  </si>
  <si>
    <t>Netherlands Environmental Assessment Agency (PBL)</t>
  </si>
  <si>
    <t>Netherlands Institute for Social Research (SCP)</t>
  </si>
  <si>
    <t>Research and Documentation Centre (WODC)</t>
  </si>
  <si>
    <t>Statistics Netherlands (CBS)</t>
  </si>
  <si>
    <t>Netherlands Institute for Safety (IFV)</t>
  </si>
  <si>
    <t>Royal Netherlands Meteorological Institute (KNMI)</t>
  </si>
  <si>
    <t>Netherlands Forensic Institute (NFI)</t>
  </si>
  <si>
    <t>National Institute for Public Health and the Environment (RIVM)</t>
  </si>
  <si>
    <t>Netherlands Aerospace Centre (NLR)</t>
  </si>
  <si>
    <t>Netherlands Organisation for applied scientific research (TNO)</t>
  </si>
  <si>
    <t>Wageningen Research</t>
  </si>
  <si>
    <t>Boekman Foundation</t>
  </si>
  <si>
    <t>Mulier institute</t>
  </si>
  <si>
    <t>Netherlands Youth Institute</t>
  </si>
  <si>
    <t>Netherlands Institute for Health Services Research (NIVEL)</t>
  </si>
  <si>
    <t>Institute for Road Safety Research (SWOV)</t>
  </si>
  <si>
    <t>Netherlands Institute for Mental Health and Addiction (Trimbos institute)</t>
  </si>
  <si>
    <t>Netherlands Institute of International Relations Clingendael</t>
  </si>
  <si>
    <t>Netherlands Defence Academy - Foundation for Scientific Education adn Research (FMW-NLDA)</t>
  </si>
  <si>
    <t>Police Academy</t>
  </si>
  <si>
    <t>Government laboratories</t>
  </si>
  <si>
    <t>TO2-institutes</t>
  </si>
  <si>
    <t>sector-oriented foundations</t>
  </si>
  <si>
    <t>Professional research and training organisations</t>
  </si>
  <si>
    <t>Income 2010-2018 (realisation, x 1.000)</t>
  </si>
  <si>
    <r>
      <t xml:space="preserve">Energy Research Centre of the Netherlands (ECN) (Continued as of april 2018 as part of TNO, named </t>
    </r>
    <r>
      <rPr>
        <b/>
        <i/>
        <sz val="10"/>
        <color theme="1"/>
        <rFont val="Arial"/>
        <family val="2"/>
      </rPr>
      <t>'ECN part of TNO')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</si>
</sst>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Fill="1"/>
    <xf numFmtId="3" fontId="0" fillId="0" borderId="0" xfId="0" applyNumberFormat="1" applyFont="1"/>
    <xf numFmtId="0" fontId="0" fillId="0" borderId="0" xfId="0" applyFill="1"/>
    <xf numFmtId="0" fontId="0" fillId="0" borderId="0" xfId="0" applyNumberFormat="1"/>
    <xf numFmtId="3" fontId="0" fillId="0" borderId="0" xfId="0" applyNumberFormat="1" applyFont="1" applyFill="1"/>
    <xf numFmtId="3" fontId="0" fillId="0" borderId="0" xfId="0" applyNumberFormat="1" applyBorder="1"/>
    <xf numFmtId="0" fontId="0" fillId="0" borderId="0" xfId="0" applyFont="1"/>
    <xf numFmtId="3" fontId="5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odc.nl/" TargetMode="External"/><Relationship Id="rId2" Type="http://schemas.openxmlformats.org/officeDocument/2006/relationships/hyperlink" Target="http://www.scp.nl/Formulieren/Contact" TargetMode="External"/><Relationship Id="rId1" Type="http://schemas.openxmlformats.org/officeDocument/2006/relationships/hyperlink" Target="http://www.scp.nl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wodc.nl/" TargetMode="External"/><Relationship Id="rId4" Type="http://schemas.openxmlformats.org/officeDocument/2006/relationships/hyperlink" Target="mailto:wodc@minvenj.n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jksbegroting.nl/2009/verantwoording/jaarverslag,kst139627_19.html" TargetMode="External"/><Relationship Id="rId13" Type="http://schemas.openxmlformats.org/officeDocument/2006/relationships/hyperlink" Target="http://www.rivm.nl/" TargetMode="External"/><Relationship Id="rId18" Type="http://schemas.openxmlformats.org/officeDocument/2006/relationships/hyperlink" Target="mailto:info@rivm.nl" TargetMode="External"/><Relationship Id="rId3" Type="http://schemas.openxmlformats.org/officeDocument/2006/relationships/hyperlink" Target="http://www.rijksbegroting.nl/2010/verantwoording/jaarverslag,kst156088_19.html" TargetMode="External"/><Relationship Id="rId7" Type="http://schemas.openxmlformats.org/officeDocument/2006/relationships/hyperlink" Target="http://www.rijksbegroting.nl/2010/verantwoording/jaarverslag,kst156088_19.html" TargetMode="External"/><Relationship Id="rId12" Type="http://schemas.openxmlformats.org/officeDocument/2006/relationships/hyperlink" Target="mailto:info@rivm.nl" TargetMode="External"/><Relationship Id="rId17" Type="http://schemas.openxmlformats.org/officeDocument/2006/relationships/hyperlink" Target="mailto:info@rivm.nl" TargetMode="External"/><Relationship Id="rId2" Type="http://schemas.openxmlformats.org/officeDocument/2006/relationships/hyperlink" Target="http://www.rijksbegroting.nl/2011/verantwoording/jaarverslag,kst169969_22.html" TargetMode="External"/><Relationship Id="rId16" Type="http://schemas.openxmlformats.org/officeDocument/2006/relationships/hyperlink" Target="mailto:info@rivm.nl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://www.nederlandsforensischinstituut.nl/" TargetMode="External"/><Relationship Id="rId6" Type="http://schemas.openxmlformats.org/officeDocument/2006/relationships/hyperlink" Target="http://www.rijksbegroting.nl/2011/verantwoording/jaarverslag,kst169969_22.html" TargetMode="External"/><Relationship Id="rId11" Type="http://schemas.openxmlformats.org/officeDocument/2006/relationships/hyperlink" Target="http://www.rijksbegroting.nl/2009/verantwoording/jaarverslag,kst139627_19.html" TargetMode="External"/><Relationship Id="rId5" Type="http://schemas.openxmlformats.org/officeDocument/2006/relationships/hyperlink" Target="http://www.nederlandsforensischinstituut.nl/" TargetMode="External"/><Relationship Id="rId15" Type="http://schemas.openxmlformats.org/officeDocument/2006/relationships/hyperlink" Target="http://www.rivm.nl/" TargetMode="External"/><Relationship Id="rId10" Type="http://schemas.openxmlformats.org/officeDocument/2006/relationships/hyperlink" Target="http://www.rijksbegroting.nl/2010/verantwoording/jaarverslag,kst156088_19.html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www.rijksbegroting.nl/2009/verantwoording/jaarverslag,kst139627_19.html" TargetMode="External"/><Relationship Id="rId9" Type="http://schemas.openxmlformats.org/officeDocument/2006/relationships/hyperlink" Target="http://www.rijksbegroting.nl/2011/verantwoording/jaarverslag,kst169969_22.html" TargetMode="External"/><Relationship Id="rId14" Type="http://schemas.openxmlformats.org/officeDocument/2006/relationships/hyperlink" Target="mailto:info@rivm.n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A63" sqref="A63:E63"/>
    </sheetView>
  </sheetViews>
  <sheetFormatPr defaultRowHeight="12.5" x14ac:dyDescent="0.25"/>
  <cols>
    <col min="3" max="3" width="12.7265625" customWidth="1"/>
    <col min="4" max="4" width="12.81640625" customWidth="1"/>
    <col min="5" max="5" width="12.7265625" customWidth="1"/>
  </cols>
  <sheetData>
    <row r="1" spans="1:6" ht="13" x14ac:dyDescent="0.3">
      <c r="A1" s="1" t="s">
        <v>6</v>
      </c>
      <c r="B1" s="1"/>
    </row>
    <row r="2" spans="1:6" ht="13" x14ac:dyDescent="0.3">
      <c r="A2" s="1" t="s">
        <v>36</v>
      </c>
      <c r="B2" s="1"/>
    </row>
    <row r="4" spans="1:6" ht="13" x14ac:dyDescent="0.3">
      <c r="A4" s="1" t="s">
        <v>11</v>
      </c>
      <c r="B4" s="1"/>
    </row>
    <row r="6" spans="1:6" ht="30" customHeight="1" x14ac:dyDescent="0.3">
      <c r="A6" s="2"/>
      <c r="B6" s="3" t="s">
        <v>7</v>
      </c>
      <c r="C6" s="3" t="s">
        <v>8</v>
      </c>
      <c r="D6" s="3" t="s">
        <v>9</v>
      </c>
      <c r="E6" s="3" t="s">
        <v>10</v>
      </c>
      <c r="F6" s="2"/>
    </row>
    <row r="7" spans="1:6" x14ac:dyDescent="0.25">
      <c r="A7">
        <v>2010</v>
      </c>
      <c r="B7" s="4">
        <f>SUM(C7:E7)</f>
        <v>14931</v>
      </c>
      <c r="C7" s="4">
        <v>12858</v>
      </c>
      <c r="D7" s="4">
        <v>2073</v>
      </c>
      <c r="E7">
        <v>0</v>
      </c>
    </row>
    <row r="8" spans="1:6" x14ac:dyDescent="0.25">
      <c r="A8">
        <v>2011</v>
      </c>
      <c r="B8" s="4">
        <f t="shared" ref="B8:B12" si="0">SUM(C8:E8)</f>
        <v>13963</v>
      </c>
      <c r="C8" s="4">
        <v>11707</v>
      </c>
      <c r="D8" s="4">
        <v>2256</v>
      </c>
      <c r="E8">
        <v>0</v>
      </c>
    </row>
    <row r="9" spans="1:6" x14ac:dyDescent="0.25">
      <c r="A9">
        <v>2012</v>
      </c>
      <c r="B9" s="4">
        <f t="shared" si="0"/>
        <v>13739</v>
      </c>
      <c r="C9" s="4">
        <v>11567</v>
      </c>
      <c r="D9" s="4">
        <v>2172</v>
      </c>
      <c r="E9">
        <v>0</v>
      </c>
    </row>
    <row r="10" spans="1:6" x14ac:dyDescent="0.25">
      <c r="A10">
        <v>2013</v>
      </c>
      <c r="B10" s="4">
        <f t="shared" si="0"/>
        <v>13547</v>
      </c>
      <c r="C10" s="4">
        <v>10278</v>
      </c>
      <c r="D10" s="4">
        <v>3269</v>
      </c>
      <c r="E10">
        <v>0</v>
      </c>
    </row>
    <row r="11" spans="1:6" x14ac:dyDescent="0.25">
      <c r="A11">
        <v>2014</v>
      </c>
      <c r="B11" s="4">
        <f t="shared" si="0"/>
        <v>14846</v>
      </c>
      <c r="C11" s="4">
        <v>11851</v>
      </c>
      <c r="D11" s="4">
        <v>2995</v>
      </c>
      <c r="E11">
        <v>0</v>
      </c>
    </row>
    <row r="12" spans="1:6" x14ac:dyDescent="0.25">
      <c r="A12">
        <v>2015</v>
      </c>
      <c r="B12" s="4">
        <f t="shared" si="0"/>
        <v>14870</v>
      </c>
      <c r="C12" s="4">
        <v>12157</v>
      </c>
      <c r="D12" s="4">
        <v>2713</v>
      </c>
      <c r="E12">
        <v>0</v>
      </c>
    </row>
    <row r="13" spans="1:6" x14ac:dyDescent="0.25">
      <c r="A13">
        <v>2016</v>
      </c>
      <c r="B13" s="4">
        <f t="shared" ref="B13" si="1">SUM(C13:E13)</f>
        <v>17662</v>
      </c>
      <c r="C13" s="4">
        <v>14737</v>
      </c>
      <c r="D13" s="4">
        <v>2925</v>
      </c>
      <c r="E13">
        <v>0</v>
      </c>
    </row>
    <row r="14" spans="1:6" x14ac:dyDescent="0.25">
      <c r="A14">
        <v>2017</v>
      </c>
      <c r="B14" s="4">
        <f t="shared" ref="B14" si="2">SUM(C14:E14)</f>
        <v>15977</v>
      </c>
      <c r="C14" s="4">
        <v>13024</v>
      </c>
      <c r="D14" s="4">
        <v>2935</v>
      </c>
      <c r="E14" s="4">
        <v>18</v>
      </c>
    </row>
    <row r="15" spans="1:6" x14ac:dyDescent="0.25">
      <c r="A15">
        <v>2018</v>
      </c>
      <c r="B15" s="4">
        <v>16576</v>
      </c>
      <c r="C15" s="4">
        <v>13947</v>
      </c>
      <c r="D15" s="4">
        <v>2518</v>
      </c>
      <c r="E15" s="4">
        <v>111</v>
      </c>
    </row>
    <row r="16" spans="1:6" x14ac:dyDescent="0.25">
      <c r="A16">
        <v>2019</v>
      </c>
      <c r="B16" s="4">
        <v>17275</v>
      </c>
      <c r="C16" s="4">
        <v>14841</v>
      </c>
      <c r="D16" s="4">
        <v>2427</v>
      </c>
      <c r="E16" s="4">
        <v>7</v>
      </c>
    </row>
    <row r="17" spans="1:5" x14ac:dyDescent="0.25">
      <c r="A17">
        <v>2020</v>
      </c>
      <c r="B17" s="4">
        <v>17318</v>
      </c>
      <c r="C17" s="4">
        <v>14924</v>
      </c>
      <c r="D17" s="4">
        <v>2381</v>
      </c>
      <c r="E17">
        <v>13</v>
      </c>
    </row>
    <row r="19" spans="1:5" ht="13" x14ac:dyDescent="0.3">
      <c r="A19" s="1" t="s">
        <v>12</v>
      </c>
    </row>
    <row r="21" spans="1:5" ht="26" x14ac:dyDescent="0.3">
      <c r="B21" s="3" t="s">
        <v>7</v>
      </c>
      <c r="C21" s="3" t="s">
        <v>8</v>
      </c>
      <c r="D21" s="3" t="s">
        <v>9</v>
      </c>
      <c r="E21" s="3" t="s">
        <v>10</v>
      </c>
    </row>
    <row r="22" spans="1:5" x14ac:dyDescent="0.25">
      <c r="A22">
        <v>2010</v>
      </c>
      <c r="B22" s="4">
        <f>SUM(C22:E22)</f>
        <v>38500</v>
      </c>
      <c r="C22" s="4">
        <v>32900</v>
      </c>
      <c r="D22" s="4">
        <v>5600</v>
      </c>
      <c r="E22">
        <v>0</v>
      </c>
    </row>
    <row r="23" spans="1:5" x14ac:dyDescent="0.25">
      <c r="A23">
        <v>2011</v>
      </c>
      <c r="B23" s="4">
        <f t="shared" ref="B23:B27" si="3">SUM(C23:E23)</f>
        <v>34800</v>
      </c>
      <c r="C23" s="4">
        <v>31400</v>
      </c>
      <c r="D23" s="4">
        <v>3400</v>
      </c>
      <c r="E23">
        <v>0</v>
      </c>
    </row>
    <row r="24" spans="1:5" x14ac:dyDescent="0.25">
      <c r="A24">
        <v>2012</v>
      </c>
      <c r="B24" s="4">
        <f t="shared" si="3"/>
        <v>30600</v>
      </c>
      <c r="C24" s="4">
        <v>27100</v>
      </c>
      <c r="D24" s="4">
        <v>3500</v>
      </c>
      <c r="E24">
        <v>0</v>
      </c>
    </row>
    <row r="25" spans="1:5" x14ac:dyDescent="0.25">
      <c r="A25">
        <v>2013</v>
      </c>
      <c r="B25" s="4">
        <f t="shared" si="3"/>
        <v>28500</v>
      </c>
      <c r="C25" s="4">
        <v>27600</v>
      </c>
      <c r="D25" s="4">
        <v>900</v>
      </c>
      <c r="E25">
        <v>0</v>
      </c>
    </row>
    <row r="26" spans="1:5" x14ac:dyDescent="0.25">
      <c r="A26">
        <v>2014</v>
      </c>
      <c r="B26" s="4">
        <f t="shared" si="3"/>
        <v>30200</v>
      </c>
      <c r="C26" s="4">
        <v>27500</v>
      </c>
      <c r="D26" s="4">
        <v>2700</v>
      </c>
      <c r="E26">
        <v>0</v>
      </c>
    </row>
    <row r="27" spans="1:5" x14ac:dyDescent="0.25">
      <c r="A27">
        <v>2015</v>
      </c>
      <c r="B27" s="4">
        <f t="shared" si="3"/>
        <v>30719</v>
      </c>
      <c r="C27" s="4">
        <v>27910</v>
      </c>
      <c r="D27" s="4">
        <v>3371</v>
      </c>
      <c r="E27">
        <v>-562</v>
      </c>
    </row>
    <row r="28" spans="1:5" x14ac:dyDescent="0.25">
      <c r="A28">
        <v>2016</v>
      </c>
      <c r="B28" s="4">
        <f t="shared" ref="B28" si="4">SUM(C28:E28)</f>
        <v>31690</v>
      </c>
      <c r="C28" s="4">
        <v>26947</v>
      </c>
      <c r="D28" s="4">
        <v>4688</v>
      </c>
      <c r="E28">
        <v>55</v>
      </c>
    </row>
    <row r="29" spans="1:5" x14ac:dyDescent="0.25">
      <c r="A29">
        <v>2017</v>
      </c>
      <c r="B29" s="4">
        <f t="shared" ref="B29" si="5">SUM(C29:E29)</f>
        <v>30990</v>
      </c>
      <c r="C29" s="4">
        <v>26826</v>
      </c>
      <c r="D29" s="4">
        <v>4164</v>
      </c>
      <c r="E29" s="4">
        <v>0</v>
      </c>
    </row>
    <row r="30" spans="1:5" x14ac:dyDescent="0.25">
      <c r="A30">
        <v>2018</v>
      </c>
      <c r="B30" s="4">
        <v>33178</v>
      </c>
      <c r="C30" s="4">
        <v>25576</v>
      </c>
      <c r="D30" s="4">
        <v>7027</v>
      </c>
      <c r="E30" s="8">
        <v>575</v>
      </c>
    </row>
    <row r="31" spans="1:5" x14ac:dyDescent="0.25">
      <c r="A31">
        <v>2019</v>
      </c>
      <c r="B31" s="4">
        <v>35472</v>
      </c>
      <c r="C31" s="4">
        <v>25656.502680000001</v>
      </c>
      <c r="D31" s="4">
        <v>9435.8160000000007</v>
      </c>
      <c r="E31" s="4">
        <v>380</v>
      </c>
    </row>
    <row r="32" spans="1:5" x14ac:dyDescent="0.25">
      <c r="A32">
        <v>2020</v>
      </c>
      <c r="B32" s="4">
        <v>36693</v>
      </c>
      <c r="C32" s="4">
        <v>26417</v>
      </c>
      <c r="D32" s="4">
        <v>10207</v>
      </c>
      <c r="E32" s="4">
        <v>69</v>
      </c>
    </row>
    <row r="34" spans="1:5" ht="13" x14ac:dyDescent="0.3">
      <c r="A34" s="1" t="s">
        <v>13</v>
      </c>
    </row>
    <row r="36" spans="1:5" ht="26" x14ac:dyDescent="0.3">
      <c r="B36" s="3" t="s">
        <v>7</v>
      </c>
      <c r="C36" s="3" t="s">
        <v>8</v>
      </c>
      <c r="D36" s="3" t="s">
        <v>9</v>
      </c>
      <c r="E36" s="3" t="s">
        <v>10</v>
      </c>
    </row>
    <row r="37" spans="1:5" x14ac:dyDescent="0.25">
      <c r="A37">
        <v>2010</v>
      </c>
      <c r="B37" s="4">
        <f>SUM(C37:E37)</f>
        <v>11985</v>
      </c>
      <c r="C37" s="4">
        <v>6149</v>
      </c>
      <c r="D37" s="4">
        <v>5836</v>
      </c>
      <c r="E37">
        <v>0</v>
      </c>
    </row>
    <row r="38" spans="1:5" x14ac:dyDescent="0.25">
      <c r="A38">
        <v>2011</v>
      </c>
      <c r="B38" s="4">
        <f t="shared" ref="B38:B42" si="6">SUM(C38:E38)</f>
        <v>11560.981</v>
      </c>
      <c r="C38" s="4">
        <v>5798</v>
      </c>
      <c r="D38" s="4">
        <v>5762.9809999999998</v>
      </c>
      <c r="E38">
        <v>0</v>
      </c>
    </row>
    <row r="39" spans="1:5" x14ac:dyDescent="0.25">
      <c r="A39">
        <v>2012</v>
      </c>
      <c r="B39" s="4">
        <f t="shared" si="6"/>
        <v>11292.138999999999</v>
      </c>
      <c r="C39" s="4">
        <v>5813</v>
      </c>
      <c r="D39" s="4">
        <v>5479.1390000000001</v>
      </c>
      <c r="E39">
        <v>0</v>
      </c>
    </row>
    <row r="40" spans="1:5" x14ac:dyDescent="0.25">
      <c r="A40">
        <v>2013</v>
      </c>
      <c r="B40" s="4">
        <f t="shared" si="6"/>
        <v>10983.220000000001</v>
      </c>
      <c r="C40" s="4">
        <v>5746</v>
      </c>
      <c r="D40" s="4">
        <v>5237.22</v>
      </c>
      <c r="E40">
        <v>0</v>
      </c>
    </row>
    <row r="41" spans="1:5" x14ac:dyDescent="0.25">
      <c r="A41">
        <v>2014</v>
      </c>
      <c r="B41" s="4">
        <f t="shared" si="6"/>
        <v>11132.884</v>
      </c>
      <c r="C41" s="4">
        <v>5494</v>
      </c>
      <c r="D41" s="4">
        <v>5638.884</v>
      </c>
      <c r="E41">
        <v>0</v>
      </c>
    </row>
    <row r="42" spans="1:5" x14ac:dyDescent="0.25">
      <c r="A42">
        <v>2015</v>
      </c>
      <c r="B42" s="4">
        <f t="shared" si="6"/>
        <v>11550.722</v>
      </c>
      <c r="C42" s="4">
        <v>4414</v>
      </c>
      <c r="D42" s="4">
        <v>7136.7219999999998</v>
      </c>
      <c r="E42">
        <v>0</v>
      </c>
    </row>
    <row r="43" spans="1:5" x14ac:dyDescent="0.25">
      <c r="A43">
        <v>2016</v>
      </c>
      <c r="B43" s="4">
        <f t="shared" ref="B43" si="7">SUM(C43:E43)</f>
        <v>13347.275</v>
      </c>
      <c r="C43" s="4">
        <v>6063</v>
      </c>
      <c r="D43" s="4">
        <v>7284.2749999999996</v>
      </c>
      <c r="E43" s="4">
        <v>0</v>
      </c>
    </row>
    <row r="44" spans="1:5" x14ac:dyDescent="0.25">
      <c r="A44">
        <v>2017</v>
      </c>
      <c r="B44" s="4">
        <f t="shared" ref="B44" si="8">SUM(C44:E44)</f>
        <v>14808</v>
      </c>
      <c r="C44" s="4">
        <v>12000</v>
      </c>
      <c r="D44" s="4">
        <v>2808</v>
      </c>
      <c r="E44" s="4">
        <v>0</v>
      </c>
    </row>
    <row r="45" spans="1:5" x14ac:dyDescent="0.25">
      <c r="A45">
        <v>2018</v>
      </c>
      <c r="B45" s="4">
        <v>13985</v>
      </c>
      <c r="C45" s="4">
        <v>12388</v>
      </c>
      <c r="D45" s="4">
        <v>1535</v>
      </c>
      <c r="E45" s="4">
        <v>62</v>
      </c>
    </row>
    <row r="46" spans="1:5" x14ac:dyDescent="0.25">
      <c r="A46">
        <v>2019</v>
      </c>
      <c r="B46" s="10">
        <v>15416</v>
      </c>
      <c r="C46" s="10">
        <v>12981</v>
      </c>
      <c r="D46" s="10">
        <v>2310</v>
      </c>
      <c r="E46" s="4">
        <v>125</v>
      </c>
    </row>
    <row r="47" spans="1:5" x14ac:dyDescent="0.25">
      <c r="A47">
        <v>2020</v>
      </c>
      <c r="B47" s="4">
        <f t="shared" ref="B47" si="9">SUM(C47:E47)</f>
        <v>15282</v>
      </c>
      <c r="C47" s="10">
        <v>12623</v>
      </c>
      <c r="D47" s="10">
        <v>2659</v>
      </c>
      <c r="E47" s="4"/>
    </row>
    <row r="48" spans="1:5" x14ac:dyDescent="0.25">
      <c r="B48" s="10"/>
      <c r="C48" s="10"/>
      <c r="D48" s="10"/>
      <c r="E48" s="4"/>
    </row>
    <row r="50" spans="1:5" ht="13" x14ac:dyDescent="0.3">
      <c r="A50" s="1" t="s">
        <v>14</v>
      </c>
    </row>
    <row r="52" spans="1:5" ht="26" x14ac:dyDescent="0.3">
      <c r="B52" s="3" t="s">
        <v>7</v>
      </c>
      <c r="C52" s="3" t="s">
        <v>8</v>
      </c>
      <c r="D52" s="3" t="s">
        <v>9</v>
      </c>
      <c r="E52" s="3" t="s">
        <v>10</v>
      </c>
    </row>
    <row r="53" spans="1:5" x14ac:dyDescent="0.25">
      <c r="A53">
        <v>2010</v>
      </c>
      <c r="B53" s="4">
        <f>SUM(C53:E53)</f>
        <v>9550</v>
      </c>
      <c r="C53" s="4">
        <v>9410</v>
      </c>
      <c r="D53">
        <v>140</v>
      </c>
      <c r="E53">
        <v>0</v>
      </c>
    </row>
    <row r="54" spans="1:5" x14ac:dyDescent="0.25">
      <c r="A54">
        <v>2011</v>
      </c>
      <c r="B54" s="4">
        <f t="shared" ref="B54:B58" si="10">SUM(C54:E54)</f>
        <v>11000</v>
      </c>
      <c r="C54" s="4">
        <v>10990</v>
      </c>
      <c r="D54">
        <v>10</v>
      </c>
      <c r="E54">
        <v>0</v>
      </c>
    </row>
    <row r="55" spans="1:5" x14ac:dyDescent="0.25">
      <c r="A55">
        <v>2012</v>
      </c>
      <c r="B55" s="4">
        <f t="shared" si="10"/>
        <v>12129</v>
      </c>
      <c r="C55" s="4">
        <v>12042</v>
      </c>
      <c r="D55">
        <v>87</v>
      </c>
      <c r="E55">
        <v>0</v>
      </c>
    </row>
    <row r="56" spans="1:5" x14ac:dyDescent="0.25">
      <c r="A56">
        <v>2013</v>
      </c>
      <c r="B56" s="4">
        <f t="shared" si="10"/>
        <v>11886</v>
      </c>
      <c r="C56" s="4">
        <v>11677</v>
      </c>
      <c r="D56" s="4">
        <v>209</v>
      </c>
      <c r="E56">
        <v>0</v>
      </c>
    </row>
    <row r="57" spans="1:5" x14ac:dyDescent="0.25">
      <c r="A57">
        <v>2014</v>
      </c>
      <c r="B57" s="4">
        <f t="shared" si="10"/>
        <v>11536</v>
      </c>
      <c r="C57" s="4">
        <v>11387</v>
      </c>
      <c r="D57" s="4">
        <v>149</v>
      </c>
      <c r="E57">
        <v>0</v>
      </c>
    </row>
    <row r="58" spans="1:5" x14ac:dyDescent="0.25">
      <c r="A58">
        <v>2015</v>
      </c>
      <c r="B58" s="4">
        <f t="shared" si="10"/>
        <v>11806</v>
      </c>
      <c r="C58" s="4">
        <v>11806</v>
      </c>
      <c r="D58">
        <v>0</v>
      </c>
      <c r="E58">
        <v>0</v>
      </c>
    </row>
    <row r="59" spans="1:5" x14ac:dyDescent="0.25">
      <c r="A59">
        <v>2016</v>
      </c>
      <c r="B59" s="4">
        <f t="shared" ref="B59" si="11">SUM(C59:E59)</f>
        <v>11337</v>
      </c>
      <c r="C59" s="4">
        <v>11337</v>
      </c>
      <c r="D59">
        <v>0</v>
      </c>
      <c r="E59">
        <v>0</v>
      </c>
    </row>
    <row r="60" spans="1:5" x14ac:dyDescent="0.25">
      <c r="A60">
        <v>2017</v>
      </c>
      <c r="B60" s="4">
        <f t="shared" ref="B60" si="12">SUM(C60:E60)</f>
        <v>11900</v>
      </c>
      <c r="C60" s="4">
        <v>11900</v>
      </c>
      <c r="D60">
        <v>0</v>
      </c>
      <c r="E60">
        <v>0</v>
      </c>
    </row>
    <row r="61" spans="1:5" x14ac:dyDescent="0.25">
      <c r="A61">
        <v>2018</v>
      </c>
      <c r="B61" s="4">
        <v>10828</v>
      </c>
      <c r="C61" s="4">
        <v>10828</v>
      </c>
      <c r="D61">
        <v>0</v>
      </c>
      <c r="E61">
        <v>0</v>
      </c>
    </row>
    <row r="62" spans="1:5" x14ac:dyDescent="0.25">
      <c r="A62">
        <v>2019</v>
      </c>
      <c r="B62" s="10">
        <v>10769</v>
      </c>
      <c r="C62" s="10">
        <v>10769</v>
      </c>
      <c r="D62">
        <v>0</v>
      </c>
      <c r="E62">
        <v>0</v>
      </c>
    </row>
    <row r="63" spans="1:5" x14ac:dyDescent="0.25">
      <c r="A63">
        <v>2020</v>
      </c>
      <c r="B63" s="4">
        <f t="shared" ref="B63" si="13">SUM(C63:E63)</f>
        <v>11724</v>
      </c>
      <c r="C63" s="4">
        <v>11724</v>
      </c>
      <c r="D63">
        <v>0</v>
      </c>
      <c r="E63">
        <v>0</v>
      </c>
    </row>
  </sheetData>
  <hyperlinks>
    <hyperlink ref="B2" r:id="rId1" display="http://www.scp.nl/"/>
    <hyperlink ref="B3" r:id="rId2" display="http://www.scp.nl/Formulieren/Contact"/>
    <hyperlink ref="B12" r:id="rId3" display="http://www.wodc.nl/"/>
    <hyperlink ref="B18" r:id="rId4" display="wodc@minvenj.nl"/>
    <hyperlink ref="B13" r:id="rId5" display="http://www.wodc.nl/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1"/>
  <sheetViews>
    <sheetView topLeftCell="A61" workbookViewId="0">
      <selection activeCell="A77" sqref="A77:E77"/>
    </sheetView>
  </sheetViews>
  <sheetFormatPr defaultRowHeight="12.5" x14ac:dyDescent="0.25"/>
  <cols>
    <col min="2" max="4" width="12.7265625" customWidth="1"/>
    <col min="5" max="5" width="12.81640625" customWidth="1"/>
  </cols>
  <sheetData>
    <row r="1" spans="1:5" ht="13" x14ac:dyDescent="0.3">
      <c r="A1" s="1" t="s">
        <v>32</v>
      </c>
    </row>
    <row r="2" spans="1:5" ht="13" x14ac:dyDescent="0.3">
      <c r="A2" s="1" t="s">
        <v>36</v>
      </c>
    </row>
    <row r="4" spans="1:5" ht="13" x14ac:dyDescent="0.3">
      <c r="A4" s="1" t="s">
        <v>15</v>
      </c>
    </row>
    <row r="6" spans="1:5" ht="26" x14ac:dyDescent="0.3">
      <c r="B6" s="3" t="s">
        <v>7</v>
      </c>
      <c r="C6" s="3" t="s">
        <v>8</v>
      </c>
      <c r="D6" s="3" t="s">
        <v>9</v>
      </c>
      <c r="E6" s="3" t="s">
        <v>10</v>
      </c>
    </row>
    <row r="7" spans="1:5" x14ac:dyDescent="0.25">
      <c r="A7">
        <v>2010</v>
      </c>
      <c r="B7" s="4">
        <f>SUM(C7:E7)</f>
        <v>209566</v>
      </c>
      <c r="C7" s="4">
        <v>188958</v>
      </c>
      <c r="D7">
        <v>19667</v>
      </c>
      <c r="E7" s="4">
        <v>941</v>
      </c>
    </row>
    <row r="8" spans="1:5" x14ac:dyDescent="0.25">
      <c r="A8">
        <v>2011</v>
      </c>
      <c r="B8" s="4">
        <f t="shared" ref="B8:B12" si="0">SUM(C8:E8)</f>
        <v>210005</v>
      </c>
      <c r="C8" s="4">
        <v>188659</v>
      </c>
      <c r="D8">
        <v>19611</v>
      </c>
      <c r="E8" s="4">
        <v>1735</v>
      </c>
    </row>
    <row r="9" spans="1:5" x14ac:dyDescent="0.25">
      <c r="A9">
        <v>2012</v>
      </c>
      <c r="B9" s="4">
        <f t="shared" si="0"/>
        <v>206567</v>
      </c>
      <c r="C9" s="4">
        <v>182928</v>
      </c>
      <c r="D9">
        <v>22256</v>
      </c>
      <c r="E9" s="4">
        <v>1383</v>
      </c>
    </row>
    <row r="10" spans="1:5" x14ac:dyDescent="0.25">
      <c r="A10">
        <v>2013</v>
      </c>
      <c r="B10" s="4">
        <f t="shared" si="0"/>
        <v>199047</v>
      </c>
      <c r="C10" s="4">
        <v>177294</v>
      </c>
      <c r="D10">
        <v>20020</v>
      </c>
      <c r="E10" s="4">
        <v>1733</v>
      </c>
    </row>
    <row r="11" spans="1:5" x14ac:dyDescent="0.25">
      <c r="A11">
        <v>2014</v>
      </c>
      <c r="B11" s="4">
        <f t="shared" si="0"/>
        <v>176593</v>
      </c>
      <c r="C11" s="4">
        <v>153934</v>
      </c>
      <c r="D11">
        <v>20681</v>
      </c>
      <c r="E11" s="4">
        <v>1978</v>
      </c>
    </row>
    <row r="12" spans="1:5" x14ac:dyDescent="0.25">
      <c r="A12">
        <v>2015</v>
      </c>
      <c r="B12" s="4">
        <f t="shared" si="0"/>
        <v>179086</v>
      </c>
      <c r="C12" s="4">
        <v>151402</v>
      </c>
      <c r="D12">
        <v>27143</v>
      </c>
      <c r="E12" s="4">
        <v>541</v>
      </c>
    </row>
    <row r="13" spans="1:5" x14ac:dyDescent="0.25">
      <c r="A13">
        <v>2016</v>
      </c>
      <c r="B13" s="4">
        <f t="shared" ref="B13" si="1">SUM(C13:E13)</f>
        <v>182709</v>
      </c>
      <c r="C13" s="4">
        <v>153181</v>
      </c>
      <c r="D13" s="4">
        <v>29021</v>
      </c>
      <c r="E13" s="4">
        <v>507</v>
      </c>
    </row>
    <row r="14" spans="1:5" x14ac:dyDescent="0.25">
      <c r="A14">
        <v>2017</v>
      </c>
      <c r="B14" s="4">
        <f t="shared" ref="B14" si="2">SUM(C14:E14)</f>
        <v>190278</v>
      </c>
      <c r="C14" s="4">
        <v>151067</v>
      </c>
      <c r="D14" s="4">
        <v>38620</v>
      </c>
      <c r="E14" s="4">
        <v>591</v>
      </c>
    </row>
    <row r="15" spans="1:5" x14ac:dyDescent="0.25">
      <c r="A15">
        <v>2018</v>
      </c>
      <c r="B15" s="6">
        <v>187889</v>
      </c>
      <c r="C15" s="6">
        <v>146457</v>
      </c>
      <c r="D15" s="4">
        <v>40830</v>
      </c>
      <c r="E15" s="6">
        <v>602</v>
      </c>
    </row>
    <row r="16" spans="1:5" x14ac:dyDescent="0.25">
      <c r="A16">
        <v>2019</v>
      </c>
      <c r="B16" s="6">
        <v>194982</v>
      </c>
      <c r="C16" s="6">
        <v>149391</v>
      </c>
      <c r="D16" s="4">
        <v>44604</v>
      </c>
      <c r="E16" s="6">
        <v>987</v>
      </c>
    </row>
    <row r="17" spans="1:7" x14ac:dyDescent="0.25">
      <c r="A17">
        <v>2020</v>
      </c>
      <c r="B17" s="4">
        <f t="shared" ref="B17" si="3">SUM(C17:E17)</f>
        <v>201370</v>
      </c>
      <c r="C17" s="4">
        <v>153283</v>
      </c>
      <c r="D17" s="4">
        <v>47627</v>
      </c>
      <c r="E17" s="6">
        <v>460</v>
      </c>
    </row>
    <row r="19" spans="1:7" ht="13" x14ac:dyDescent="0.3">
      <c r="A19" s="1" t="s">
        <v>16</v>
      </c>
    </row>
    <row r="20" spans="1:7" x14ac:dyDescent="0.25">
      <c r="C20" s="4"/>
      <c r="D20" s="4"/>
      <c r="E20" s="4"/>
    </row>
    <row r="21" spans="1:7" ht="26" x14ac:dyDescent="0.3">
      <c r="B21" s="3" t="s">
        <v>7</v>
      </c>
      <c r="C21" s="3" t="s">
        <v>8</v>
      </c>
      <c r="D21" s="3" t="s">
        <v>9</v>
      </c>
      <c r="E21" s="3" t="s">
        <v>10</v>
      </c>
    </row>
    <row r="22" spans="1:7" x14ac:dyDescent="0.25">
      <c r="A22">
        <v>2010</v>
      </c>
      <c r="B22" s="4">
        <f>SUM(C22:E22)</f>
        <v>36373</v>
      </c>
      <c r="C22" s="4">
        <v>6907</v>
      </c>
      <c r="D22" s="4">
        <v>29466</v>
      </c>
      <c r="E22" s="4">
        <v>0</v>
      </c>
    </row>
    <row r="23" spans="1:7" x14ac:dyDescent="0.25">
      <c r="A23">
        <v>2011</v>
      </c>
      <c r="B23" s="4">
        <f t="shared" ref="B23:B26" si="4">SUM(C23:E23)</f>
        <v>38677</v>
      </c>
      <c r="C23" s="4">
        <v>12894</v>
      </c>
      <c r="D23" s="4">
        <v>25783</v>
      </c>
      <c r="E23" s="4">
        <v>0</v>
      </c>
      <c r="G23" s="4"/>
    </row>
    <row r="24" spans="1:7" x14ac:dyDescent="0.25">
      <c r="A24">
        <v>2012</v>
      </c>
      <c r="B24" s="4">
        <f>B23+(B23-B22)</f>
        <v>40981</v>
      </c>
      <c r="C24" s="4">
        <f>B24*(C23/B23)</f>
        <v>13662.099283812084</v>
      </c>
      <c r="D24" s="4">
        <f>B24*(D23/B23)</f>
        <v>27318.900716187913</v>
      </c>
      <c r="E24" s="4">
        <v>0</v>
      </c>
    </row>
    <row r="25" spans="1:7" x14ac:dyDescent="0.25">
      <c r="A25">
        <v>2013</v>
      </c>
      <c r="B25" s="4">
        <f t="shared" si="4"/>
        <v>61836</v>
      </c>
      <c r="C25" s="4">
        <v>20502</v>
      </c>
      <c r="D25" s="4">
        <v>25586</v>
      </c>
      <c r="E25" s="4">
        <v>15748</v>
      </c>
    </row>
    <row r="26" spans="1:7" x14ac:dyDescent="0.25">
      <c r="A26">
        <v>2014</v>
      </c>
      <c r="B26" s="4">
        <f t="shared" si="4"/>
        <v>62530</v>
      </c>
      <c r="C26" s="4">
        <v>26862</v>
      </c>
      <c r="D26" s="4">
        <v>23834</v>
      </c>
      <c r="E26" s="4">
        <v>11834</v>
      </c>
    </row>
    <row r="27" spans="1:7" x14ac:dyDescent="0.25">
      <c r="A27">
        <v>2015</v>
      </c>
      <c r="B27" s="4">
        <f>SUM(C27:E27)</f>
        <v>55100</v>
      </c>
      <c r="C27" s="4">
        <v>22436</v>
      </c>
      <c r="D27" s="4">
        <f>13255+6576</f>
        <v>19831</v>
      </c>
      <c r="E27" s="4">
        <v>12833</v>
      </c>
    </row>
    <row r="28" spans="1:7" x14ac:dyDescent="0.25">
      <c r="A28">
        <v>2016</v>
      </c>
      <c r="B28" s="4">
        <f t="shared" ref="B28" si="5">SUM(C28:E28)</f>
        <v>49718</v>
      </c>
      <c r="C28" s="4">
        <v>37867</v>
      </c>
      <c r="D28" s="4">
        <v>8300</v>
      </c>
      <c r="E28" s="4">
        <v>3551</v>
      </c>
    </row>
    <row r="29" spans="1:7" x14ac:dyDescent="0.25">
      <c r="A29">
        <v>2017</v>
      </c>
      <c r="B29" s="4">
        <f t="shared" ref="B29" si="6">SUM(C29:E29)</f>
        <v>52870</v>
      </c>
      <c r="C29" s="4">
        <v>40730</v>
      </c>
      <c r="D29" s="4">
        <v>9646</v>
      </c>
      <c r="E29" s="4">
        <v>2494</v>
      </c>
    </row>
    <row r="30" spans="1:7" x14ac:dyDescent="0.25">
      <c r="A30">
        <v>2018</v>
      </c>
      <c r="B30" s="6">
        <v>53819</v>
      </c>
      <c r="C30" s="6">
        <v>26014</v>
      </c>
      <c r="D30" s="6">
        <v>22985</v>
      </c>
      <c r="E30" s="6">
        <v>4820</v>
      </c>
    </row>
    <row r="31" spans="1:7" x14ac:dyDescent="0.25">
      <c r="A31">
        <v>2019</v>
      </c>
      <c r="B31" s="6">
        <v>56146</v>
      </c>
      <c r="C31" s="6">
        <v>29718</v>
      </c>
      <c r="D31" s="6">
        <v>20347</v>
      </c>
      <c r="E31" s="6">
        <v>6082</v>
      </c>
    </row>
    <row r="32" spans="1:7" x14ac:dyDescent="0.25">
      <c r="A32">
        <v>2020</v>
      </c>
      <c r="B32" s="4">
        <f t="shared" ref="B32" si="7">SUM(C32:E32)</f>
        <v>54017</v>
      </c>
      <c r="C32" s="4">
        <v>39044</v>
      </c>
      <c r="D32" s="4">
        <v>10486</v>
      </c>
      <c r="E32" s="4">
        <v>4487</v>
      </c>
    </row>
    <row r="34" spans="1:5" ht="13" x14ac:dyDescent="0.3">
      <c r="A34" s="1" t="s">
        <v>17</v>
      </c>
    </row>
    <row r="36" spans="1:5" ht="26" x14ac:dyDescent="0.3">
      <c r="B36" s="3" t="s">
        <v>7</v>
      </c>
      <c r="C36" s="3" t="s">
        <v>8</v>
      </c>
      <c r="D36" s="3" t="s">
        <v>9</v>
      </c>
      <c r="E36" s="3" t="s">
        <v>10</v>
      </c>
    </row>
    <row r="37" spans="1:5" x14ac:dyDescent="0.25">
      <c r="A37">
        <v>2010</v>
      </c>
      <c r="B37" s="4">
        <f>SUM(C37:E37)</f>
        <v>58079</v>
      </c>
      <c r="C37" s="4">
        <v>38089</v>
      </c>
      <c r="D37">
        <v>19765</v>
      </c>
      <c r="E37" s="6">
        <v>225</v>
      </c>
    </row>
    <row r="38" spans="1:5" x14ac:dyDescent="0.25">
      <c r="A38">
        <v>2011</v>
      </c>
      <c r="B38" s="4">
        <f t="shared" ref="B38:B44" si="8">SUM(C38:E38)</f>
        <v>58746</v>
      </c>
      <c r="C38" s="4">
        <v>39488</v>
      </c>
      <c r="D38">
        <v>19181</v>
      </c>
      <c r="E38" s="4">
        <v>77</v>
      </c>
    </row>
    <row r="39" spans="1:5" x14ac:dyDescent="0.25">
      <c r="A39">
        <v>2012</v>
      </c>
      <c r="B39" s="4">
        <f t="shared" si="8"/>
        <v>64219</v>
      </c>
      <c r="C39" s="4">
        <v>42814</v>
      </c>
      <c r="D39">
        <v>21405</v>
      </c>
      <c r="E39" s="4"/>
    </row>
    <row r="40" spans="1:5" x14ac:dyDescent="0.25">
      <c r="A40">
        <v>2013</v>
      </c>
      <c r="B40" s="4">
        <f t="shared" si="8"/>
        <v>59774</v>
      </c>
      <c r="C40" s="4">
        <v>38571</v>
      </c>
      <c r="D40">
        <v>20462</v>
      </c>
      <c r="E40" s="4">
        <v>741</v>
      </c>
    </row>
    <row r="41" spans="1:5" x14ac:dyDescent="0.25">
      <c r="A41">
        <v>2014</v>
      </c>
      <c r="B41" s="4">
        <f t="shared" si="8"/>
        <v>58953</v>
      </c>
      <c r="C41" s="4">
        <v>39587</v>
      </c>
      <c r="D41">
        <v>19133</v>
      </c>
      <c r="E41" s="4">
        <v>233</v>
      </c>
    </row>
    <row r="42" spans="1:5" x14ac:dyDescent="0.25">
      <c r="A42">
        <v>2015</v>
      </c>
      <c r="B42" s="4">
        <f t="shared" si="8"/>
        <v>66717</v>
      </c>
      <c r="C42" s="4">
        <v>46668</v>
      </c>
      <c r="D42">
        <v>19417</v>
      </c>
      <c r="E42" s="4">
        <v>632</v>
      </c>
    </row>
    <row r="43" spans="1:5" x14ac:dyDescent="0.25">
      <c r="A43">
        <v>2016</v>
      </c>
      <c r="B43" s="4">
        <f t="shared" si="8"/>
        <v>73959</v>
      </c>
      <c r="C43" s="4">
        <v>50919</v>
      </c>
      <c r="D43" s="4">
        <v>23039</v>
      </c>
      <c r="E43" s="4">
        <v>1</v>
      </c>
    </row>
    <row r="44" spans="1:5" x14ac:dyDescent="0.25">
      <c r="A44">
        <v>2017</v>
      </c>
      <c r="B44" s="4">
        <f t="shared" si="8"/>
        <v>77754</v>
      </c>
      <c r="C44" s="4">
        <v>54309</v>
      </c>
      <c r="D44" s="4">
        <v>23445</v>
      </c>
      <c r="E44" s="4">
        <v>0</v>
      </c>
    </row>
    <row r="45" spans="1:5" x14ac:dyDescent="0.25">
      <c r="A45">
        <v>2018</v>
      </c>
      <c r="B45" s="6">
        <v>83207</v>
      </c>
      <c r="C45" s="6">
        <v>57766</v>
      </c>
      <c r="D45" s="4">
        <v>25368</v>
      </c>
      <c r="E45" s="6">
        <v>73</v>
      </c>
    </row>
    <row r="46" spans="1:5" x14ac:dyDescent="0.25">
      <c r="A46">
        <v>2019</v>
      </c>
      <c r="B46" s="6">
        <v>85248</v>
      </c>
      <c r="C46" s="6">
        <v>57918</v>
      </c>
      <c r="D46" s="4">
        <v>28032</v>
      </c>
      <c r="E46" s="9">
        <v>-702</v>
      </c>
    </row>
    <row r="47" spans="1:5" x14ac:dyDescent="0.25">
      <c r="A47">
        <v>2020</v>
      </c>
      <c r="B47" s="4">
        <f t="shared" ref="B47" si="9">SUM(C47:E47)</f>
        <v>88487</v>
      </c>
      <c r="C47" s="4">
        <v>57356</v>
      </c>
      <c r="D47" s="4">
        <v>31127</v>
      </c>
      <c r="E47" s="4">
        <v>4</v>
      </c>
    </row>
    <row r="49" spans="1:5" ht="13" x14ac:dyDescent="0.3">
      <c r="A49" s="1" t="s">
        <v>18</v>
      </c>
    </row>
    <row r="51" spans="1:5" ht="26" x14ac:dyDescent="0.3">
      <c r="B51" s="3" t="s">
        <v>7</v>
      </c>
      <c r="C51" s="3" t="s">
        <v>8</v>
      </c>
      <c r="D51" s="3" t="s">
        <v>9</v>
      </c>
      <c r="E51" s="3" t="s">
        <v>10</v>
      </c>
    </row>
    <row r="52" spans="1:5" x14ac:dyDescent="0.25">
      <c r="A52">
        <v>2010</v>
      </c>
      <c r="B52" s="4">
        <f>SUM(C52:E52)</f>
        <v>70569</v>
      </c>
      <c r="C52" s="4">
        <v>66311</v>
      </c>
      <c r="D52" s="4">
        <v>4258</v>
      </c>
      <c r="E52" s="4">
        <v>0</v>
      </c>
    </row>
    <row r="53" spans="1:5" x14ac:dyDescent="0.25">
      <c r="A53">
        <v>2011</v>
      </c>
      <c r="B53" s="4">
        <f t="shared" ref="B53:B59" si="10">SUM(C53:E53)</f>
        <v>78804</v>
      </c>
      <c r="C53" s="4">
        <v>73386</v>
      </c>
      <c r="D53" s="4">
        <v>5418</v>
      </c>
      <c r="E53" s="4">
        <v>0</v>
      </c>
    </row>
    <row r="54" spans="1:5" x14ac:dyDescent="0.25">
      <c r="A54">
        <v>2012</v>
      </c>
      <c r="B54" s="4">
        <f t="shared" si="10"/>
        <v>79027</v>
      </c>
      <c r="C54" s="4">
        <v>70587</v>
      </c>
      <c r="D54" s="4">
        <v>8440</v>
      </c>
      <c r="E54" s="4">
        <v>0</v>
      </c>
    </row>
    <row r="55" spans="1:5" x14ac:dyDescent="0.25">
      <c r="A55">
        <v>2013</v>
      </c>
      <c r="B55" s="4">
        <f t="shared" si="10"/>
        <v>77014</v>
      </c>
      <c r="C55" s="4">
        <v>68273</v>
      </c>
      <c r="D55" s="4">
        <v>8741</v>
      </c>
      <c r="E55" s="4">
        <v>0</v>
      </c>
    </row>
    <row r="56" spans="1:5" x14ac:dyDescent="0.25">
      <c r="A56">
        <v>2014</v>
      </c>
      <c r="B56" s="4">
        <f t="shared" si="10"/>
        <v>75335</v>
      </c>
      <c r="C56" s="4">
        <v>67123</v>
      </c>
      <c r="D56" s="4">
        <v>8148</v>
      </c>
      <c r="E56" s="4">
        <v>64</v>
      </c>
    </row>
    <row r="57" spans="1:5" x14ac:dyDescent="0.25">
      <c r="A57">
        <v>2015</v>
      </c>
      <c r="B57" s="4">
        <f t="shared" si="10"/>
        <v>80930</v>
      </c>
      <c r="C57" s="4">
        <v>71525</v>
      </c>
      <c r="D57">
        <f>7711+887</f>
        <v>8598</v>
      </c>
      <c r="E57">
        <v>807</v>
      </c>
    </row>
    <row r="58" spans="1:5" x14ac:dyDescent="0.25">
      <c r="A58">
        <v>2016</v>
      </c>
      <c r="B58" s="4">
        <f t="shared" si="10"/>
        <v>98153</v>
      </c>
      <c r="C58" s="4">
        <v>89975</v>
      </c>
      <c r="D58">
        <f>5094+388</f>
        <v>5482</v>
      </c>
      <c r="E58">
        <f>2671+25</f>
        <v>2696</v>
      </c>
    </row>
    <row r="59" spans="1:5" x14ac:dyDescent="0.25">
      <c r="A59">
        <v>2017</v>
      </c>
      <c r="B59" s="4">
        <f t="shared" si="10"/>
        <v>77026</v>
      </c>
      <c r="C59" s="4">
        <v>70785</v>
      </c>
      <c r="D59" s="4">
        <v>5406</v>
      </c>
      <c r="E59" s="4">
        <v>835</v>
      </c>
    </row>
    <row r="60" spans="1:5" x14ac:dyDescent="0.25">
      <c r="A60">
        <v>2018</v>
      </c>
      <c r="B60" s="6">
        <v>79367</v>
      </c>
      <c r="C60" s="6">
        <v>72213</v>
      </c>
      <c r="D60" s="4">
        <v>6321</v>
      </c>
      <c r="E60" s="6">
        <v>833</v>
      </c>
    </row>
    <row r="61" spans="1:5" x14ac:dyDescent="0.25">
      <c r="A61">
        <v>2019</v>
      </c>
      <c r="B61" s="6">
        <v>84368</v>
      </c>
      <c r="C61" s="6">
        <v>76578</v>
      </c>
      <c r="D61" s="4">
        <v>6655</v>
      </c>
      <c r="E61" s="6">
        <v>1135</v>
      </c>
    </row>
    <row r="62" spans="1:5" x14ac:dyDescent="0.25">
      <c r="A62">
        <v>2020</v>
      </c>
      <c r="B62" s="4">
        <f t="shared" ref="B62" si="11">SUM(C62:E62)</f>
        <v>87391</v>
      </c>
      <c r="C62" s="6">
        <v>76563</v>
      </c>
      <c r="D62" s="4">
        <v>9777</v>
      </c>
      <c r="E62" s="6">
        <v>1051</v>
      </c>
    </row>
    <row r="64" spans="1:5" ht="13" x14ac:dyDescent="0.3">
      <c r="A64" s="1" t="s">
        <v>19</v>
      </c>
    </row>
    <row r="66" spans="1:5" ht="26" x14ac:dyDescent="0.3">
      <c r="B66" s="3" t="s">
        <v>7</v>
      </c>
      <c r="C66" s="3" t="s">
        <v>8</v>
      </c>
      <c r="D66" s="3" t="s">
        <v>9</v>
      </c>
      <c r="E66" s="3" t="s">
        <v>10</v>
      </c>
    </row>
    <row r="67" spans="1:5" x14ac:dyDescent="0.25">
      <c r="A67">
        <v>2010</v>
      </c>
      <c r="B67">
        <f>(SUM(C67:E67))</f>
        <v>358784</v>
      </c>
      <c r="C67" s="4">
        <f>20886+110428+105083</f>
        <v>236397</v>
      </c>
      <c r="D67">
        <f>224309-105083</f>
        <v>119226</v>
      </c>
      <c r="E67" s="4">
        <v>3161</v>
      </c>
    </row>
    <row r="68" spans="1:5" x14ac:dyDescent="0.25">
      <c r="A68">
        <v>2011</v>
      </c>
      <c r="B68">
        <f t="shared" ref="B68:B73" si="12">(SUM(C68:E68))</f>
        <v>390367</v>
      </c>
      <c r="C68" s="4">
        <f>29759+130301+102613</f>
        <v>262673</v>
      </c>
      <c r="D68">
        <f>228317-102613</f>
        <v>125704</v>
      </c>
      <c r="E68" s="4">
        <v>1990</v>
      </c>
    </row>
    <row r="69" spans="1:5" x14ac:dyDescent="0.25">
      <c r="A69">
        <v>2012</v>
      </c>
      <c r="B69">
        <f t="shared" si="12"/>
        <v>370466</v>
      </c>
      <c r="C69" s="4">
        <f>32873+142633+93733</f>
        <v>269239</v>
      </c>
      <c r="D69">
        <f>192043-93733</f>
        <v>98310</v>
      </c>
      <c r="E69" s="4">
        <v>2917</v>
      </c>
    </row>
    <row r="70" spans="1:5" x14ac:dyDescent="0.25">
      <c r="A70">
        <v>2013</v>
      </c>
      <c r="B70">
        <f t="shared" si="12"/>
        <v>340902</v>
      </c>
      <c r="C70" s="4">
        <f>151730+98143</f>
        <v>249873</v>
      </c>
      <c r="D70">
        <f>183672-98143</f>
        <v>85529</v>
      </c>
      <c r="E70" s="4">
        <v>5500</v>
      </c>
    </row>
    <row r="71" spans="1:5" x14ac:dyDescent="0.25">
      <c r="A71">
        <v>2014</v>
      </c>
      <c r="B71">
        <f t="shared" si="12"/>
        <v>339365</v>
      </c>
      <c r="C71" s="4">
        <f>159026+93845</f>
        <v>252871</v>
      </c>
      <c r="D71">
        <f>179599-93845</f>
        <v>85754</v>
      </c>
      <c r="E71" s="4">
        <v>740</v>
      </c>
    </row>
    <row r="72" spans="1:5" x14ac:dyDescent="0.25">
      <c r="A72">
        <v>2015</v>
      </c>
      <c r="B72">
        <f t="shared" si="12"/>
        <v>336837</v>
      </c>
      <c r="C72" s="4">
        <v>245963</v>
      </c>
      <c r="D72">
        <v>89961</v>
      </c>
      <c r="E72" s="4">
        <v>913</v>
      </c>
    </row>
    <row r="73" spans="1:5" x14ac:dyDescent="0.25">
      <c r="A73">
        <v>2016</v>
      </c>
      <c r="B73">
        <f t="shared" si="12"/>
        <v>351806</v>
      </c>
      <c r="C73" s="4">
        <v>247393</v>
      </c>
      <c r="D73">
        <f>80471+21478</f>
        <v>101949</v>
      </c>
      <c r="E73" s="4">
        <v>2464</v>
      </c>
    </row>
    <row r="74" spans="1:5" x14ac:dyDescent="0.25">
      <c r="A74">
        <v>2017</v>
      </c>
      <c r="B74" s="4">
        <v>324299</v>
      </c>
      <c r="C74" s="6">
        <v>222037</v>
      </c>
      <c r="D74" s="4">
        <v>101560</v>
      </c>
      <c r="E74" s="4">
        <v>702</v>
      </c>
    </row>
    <row r="75" spans="1:5" x14ac:dyDescent="0.25">
      <c r="A75">
        <v>2018</v>
      </c>
      <c r="B75" s="6">
        <v>332850</v>
      </c>
      <c r="C75" s="9">
        <v>224768</v>
      </c>
      <c r="D75" s="4">
        <v>106896</v>
      </c>
      <c r="E75" s="6">
        <v>1186</v>
      </c>
    </row>
    <row r="76" spans="1:5" x14ac:dyDescent="0.25">
      <c r="A76">
        <v>2019</v>
      </c>
      <c r="B76" s="4">
        <v>379419</v>
      </c>
      <c r="C76" s="4">
        <v>264282</v>
      </c>
      <c r="D76" s="4">
        <v>112827</v>
      </c>
      <c r="E76" s="4">
        <v>2310</v>
      </c>
    </row>
    <row r="77" spans="1:5" x14ac:dyDescent="0.25">
      <c r="A77">
        <v>2020</v>
      </c>
      <c r="B77" s="4">
        <v>475609</v>
      </c>
      <c r="C77" s="4">
        <v>352491</v>
      </c>
      <c r="D77" s="4">
        <v>122960</v>
      </c>
      <c r="E77" s="4">
        <v>158</v>
      </c>
    </row>
    <row r="78" spans="1:5" x14ac:dyDescent="0.25">
      <c r="B78" s="4"/>
      <c r="C78" s="4"/>
      <c r="D78" s="4"/>
      <c r="E78" s="4"/>
    </row>
    <row r="79" spans="1:5" x14ac:dyDescent="0.25">
      <c r="B79" s="4"/>
      <c r="C79" s="4"/>
      <c r="D79" s="4"/>
      <c r="E79" s="4"/>
    </row>
    <row r="80" spans="1:5" x14ac:dyDescent="0.25">
      <c r="B80" s="4"/>
      <c r="C80" s="4"/>
      <c r="D80" s="4"/>
      <c r="E80" s="4"/>
    </row>
    <row r="81" spans="2:5" x14ac:dyDescent="0.25">
      <c r="B81" s="4"/>
      <c r="C81" s="4"/>
      <c r="D81" s="4"/>
      <c r="E81" s="4"/>
    </row>
  </sheetData>
  <hyperlinks>
    <hyperlink ref="B11" r:id="rId1" display="http://www.nederlandsforensischinstituut.nl/"/>
    <hyperlink ref="U32" r:id="rId2" display="http://www.rijksbegroting.nl/2011/verantwoording/jaarverslag,kst169969_22.html"/>
    <hyperlink ref="U31" r:id="rId3" display="http://www.rijksbegroting.nl/2010/verantwoording/jaarverslag,kst156088_19.html"/>
    <hyperlink ref="U26" r:id="rId4" display="http://www.rijksbegroting.nl/2009/verantwoording/jaarverslag,kst139627_19.html"/>
    <hyperlink ref="A11" r:id="rId5" display="http://www.nederlandsforensischinstituut.nl/"/>
    <hyperlink ref="T32" r:id="rId6" display="http://www.rijksbegroting.nl/2011/verantwoording/jaarverslag,kst169969_22.html"/>
    <hyperlink ref="T31" r:id="rId7" display="http://www.rijksbegroting.nl/2010/verantwoording/jaarverslag,kst156088_19.html"/>
    <hyperlink ref="T26" r:id="rId8" display="http://www.rijksbegroting.nl/2009/verantwoording/jaarverslag,kst139627_19.html"/>
    <hyperlink ref="R32" r:id="rId9" display="http://www.rijksbegroting.nl/2011/verantwoording/jaarverslag,kst169969_22.html"/>
    <hyperlink ref="R31" r:id="rId10" display="http://www.rijksbegroting.nl/2010/verantwoording/jaarverslag,kst156088_19.html"/>
    <hyperlink ref="R26" r:id="rId11" display="http://www.rijksbegroting.nl/2009/verantwoording/jaarverslag,kst139627_19.html"/>
    <hyperlink ref="A41" r:id="rId12" display="info@rivm.nl"/>
    <hyperlink ref="A40" r:id="rId13" display="http://www.rivm.nl/"/>
    <hyperlink ref="B27" r:id="rId14" display="info@rivm.nl"/>
    <hyperlink ref="B26" r:id="rId15" display="http://www.rivm.nl/"/>
    <hyperlink ref="B29" r:id="rId16" display="info@rivm.nl"/>
    <hyperlink ref="B28" r:id="rId17" display="info@rivm.nl"/>
    <hyperlink ref="B32" r:id="rId18" display="info@rivm.nl"/>
  </hyperlinks>
  <pageMargins left="0.7" right="0.7" top="0.75" bottom="0.75" header="0.3" footer="0.3"/>
  <legacyDrawing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opLeftCell="A70" workbookViewId="0">
      <selection activeCell="A89" sqref="A89:E89"/>
    </sheetView>
  </sheetViews>
  <sheetFormatPr defaultRowHeight="12.5" x14ac:dyDescent="0.25"/>
  <cols>
    <col min="2" max="5" width="12.7265625" customWidth="1"/>
  </cols>
  <sheetData>
    <row r="1" spans="1:5" ht="13" x14ac:dyDescent="0.3">
      <c r="A1" s="1" t="s">
        <v>33</v>
      </c>
    </row>
    <row r="2" spans="1:5" ht="13" x14ac:dyDescent="0.3">
      <c r="A2" s="1" t="s">
        <v>36</v>
      </c>
    </row>
    <row r="4" spans="1:5" ht="13" x14ac:dyDescent="0.3">
      <c r="A4" s="1" t="s">
        <v>0</v>
      </c>
    </row>
    <row r="6" spans="1:5" ht="26" x14ac:dyDescent="0.3">
      <c r="A6" s="2"/>
      <c r="B6" s="3" t="s">
        <v>7</v>
      </c>
      <c r="C6" s="3" t="s">
        <v>8</v>
      </c>
      <c r="D6" s="3" t="s">
        <v>9</v>
      </c>
      <c r="E6" s="3" t="s">
        <v>10</v>
      </c>
    </row>
    <row r="7" spans="1:5" x14ac:dyDescent="0.25">
      <c r="A7">
        <v>2010</v>
      </c>
      <c r="B7" s="4">
        <f>SUM(C7:E7)</f>
        <v>112900</v>
      </c>
      <c r="C7" s="4">
        <v>14100</v>
      </c>
      <c r="D7">
        <v>98800</v>
      </c>
      <c r="E7">
        <v>0</v>
      </c>
    </row>
    <row r="8" spans="1:5" x14ac:dyDescent="0.25">
      <c r="A8">
        <v>2011</v>
      </c>
      <c r="B8" s="4">
        <f t="shared" ref="B8:B12" si="0">SUM(C8:E8)</f>
        <v>112100</v>
      </c>
      <c r="C8" s="4">
        <v>13300</v>
      </c>
      <c r="D8">
        <v>98800</v>
      </c>
      <c r="E8">
        <v>0</v>
      </c>
    </row>
    <row r="9" spans="1:5" x14ac:dyDescent="0.25">
      <c r="A9">
        <v>2012</v>
      </c>
      <c r="B9" s="4">
        <f t="shared" si="0"/>
        <v>110900</v>
      </c>
      <c r="C9" s="4">
        <v>12200</v>
      </c>
      <c r="D9">
        <v>98700</v>
      </c>
      <c r="E9">
        <v>0</v>
      </c>
    </row>
    <row r="10" spans="1:5" x14ac:dyDescent="0.25">
      <c r="A10">
        <v>2013</v>
      </c>
      <c r="B10" s="4">
        <f t="shared" si="0"/>
        <v>106000</v>
      </c>
      <c r="C10" s="4">
        <v>12100</v>
      </c>
      <c r="D10">
        <v>93900</v>
      </c>
      <c r="E10">
        <v>0</v>
      </c>
    </row>
    <row r="11" spans="1:5" x14ac:dyDescent="0.25">
      <c r="A11">
        <v>2014</v>
      </c>
      <c r="B11" s="4">
        <f t="shared" si="0"/>
        <v>104100</v>
      </c>
      <c r="C11" s="4">
        <v>11300</v>
      </c>
      <c r="D11">
        <v>92800</v>
      </c>
      <c r="E11">
        <v>0</v>
      </c>
    </row>
    <row r="12" spans="1:5" x14ac:dyDescent="0.25">
      <c r="A12">
        <v>2015</v>
      </c>
      <c r="B12" s="4">
        <f t="shared" si="0"/>
        <v>107971</v>
      </c>
      <c r="C12" s="4">
        <v>11067</v>
      </c>
      <c r="D12">
        <v>96904</v>
      </c>
      <c r="E12">
        <v>0</v>
      </c>
    </row>
    <row r="13" spans="1:5" x14ac:dyDescent="0.25">
      <c r="A13">
        <v>2016</v>
      </c>
      <c r="B13" s="4">
        <f t="shared" ref="B13" si="1">SUM(C13:E13)</f>
        <v>109000</v>
      </c>
      <c r="C13" s="5">
        <v>9810</v>
      </c>
      <c r="D13" s="7">
        <v>99190</v>
      </c>
      <c r="E13" s="7">
        <v>0</v>
      </c>
    </row>
    <row r="14" spans="1:5" x14ac:dyDescent="0.25">
      <c r="A14" s="7">
        <v>2017</v>
      </c>
      <c r="B14" s="5">
        <v>109000</v>
      </c>
      <c r="C14" s="5">
        <v>9810</v>
      </c>
      <c r="D14" s="7">
        <v>99190</v>
      </c>
      <c r="E14" s="7">
        <v>0</v>
      </c>
    </row>
    <row r="15" spans="1:5" x14ac:dyDescent="0.25">
      <c r="A15" s="7">
        <v>2018</v>
      </c>
      <c r="B15" s="4">
        <v>114466</v>
      </c>
      <c r="C15" s="4">
        <v>14493</v>
      </c>
      <c r="D15" s="4">
        <v>99973</v>
      </c>
      <c r="E15" s="7">
        <v>0</v>
      </c>
    </row>
    <row r="16" spans="1:5" x14ac:dyDescent="0.25">
      <c r="A16" s="7">
        <v>2019</v>
      </c>
      <c r="B16" s="4">
        <v>118754</v>
      </c>
      <c r="C16" s="4">
        <v>19179</v>
      </c>
      <c r="D16" s="4">
        <v>99575</v>
      </c>
      <c r="E16" s="5">
        <v>0</v>
      </c>
    </row>
    <row r="17" spans="1:6" x14ac:dyDescent="0.25">
      <c r="A17" s="11">
        <v>2020</v>
      </c>
      <c r="B17" s="4">
        <f t="shared" ref="B17" si="2">SUM(C17:E17)</f>
        <v>112797</v>
      </c>
      <c r="C17" s="4">
        <v>19376</v>
      </c>
      <c r="D17" s="4">
        <v>93421</v>
      </c>
      <c r="E17" s="5">
        <v>0</v>
      </c>
    </row>
    <row r="19" spans="1:6" ht="13" x14ac:dyDescent="0.3">
      <c r="A19" s="1" t="s">
        <v>37</v>
      </c>
    </row>
    <row r="21" spans="1:6" ht="26" x14ac:dyDescent="0.3">
      <c r="A21" s="2"/>
      <c r="B21" s="3" t="s">
        <v>7</v>
      </c>
      <c r="C21" s="3" t="s">
        <v>8</v>
      </c>
      <c r="D21" s="3" t="s">
        <v>9</v>
      </c>
      <c r="E21" s="3" t="s">
        <v>10</v>
      </c>
      <c r="F21" s="4"/>
    </row>
    <row r="22" spans="1:6" x14ac:dyDescent="0.25">
      <c r="A22">
        <v>2010</v>
      </c>
      <c r="B22" s="4">
        <f>SUM(C22:E22)</f>
        <v>83569</v>
      </c>
      <c r="C22" s="4">
        <v>33436</v>
      </c>
      <c r="D22" s="4">
        <v>46511</v>
      </c>
      <c r="E22" s="4">
        <v>3622</v>
      </c>
      <c r="F22" s="4"/>
    </row>
    <row r="23" spans="1:6" x14ac:dyDescent="0.25">
      <c r="A23">
        <v>2011</v>
      </c>
      <c r="B23" s="4">
        <f t="shared" ref="B23:B27" si="3">SUM(C23:E23)</f>
        <v>74748</v>
      </c>
      <c r="C23" s="4">
        <v>29442</v>
      </c>
      <c r="D23" s="4">
        <v>42018</v>
      </c>
      <c r="E23" s="4">
        <v>3288</v>
      </c>
      <c r="F23" s="4"/>
    </row>
    <row r="24" spans="1:6" x14ac:dyDescent="0.25">
      <c r="A24">
        <v>2012</v>
      </c>
      <c r="B24" s="4">
        <f t="shared" si="3"/>
        <v>75616</v>
      </c>
      <c r="C24" s="4">
        <v>25307</v>
      </c>
      <c r="D24" s="4">
        <v>46627</v>
      </c>
      <c r="E24" s="4">
        <v>3682</v>
      </c>
      <c r="F24" s="4"/>
    </row>
    <row r="25" spans="1:6" x14ac:dyDescent="0.25">
      <c r="A25">
        <v>2013</v>
      </c>
      <c r="B25" s="4">
        <f t="shared" si="3"/>
        <v>80710</v>
      </c>
      <c r="C25" s="4">
        <v>25583</v>
      </c>
      <c r="D25" s="4">
        <v>53037</v>
      </c>
      <c r="E25" s="4">
        <v>2090</v>
      </c>
      <c r="F25" s="4"/>
    </row>
    <row r="26" spans="1:6" x14ac:dyDescent="0.25">
      <c r="A26">
        <v>2014</v>
      </c>
      <c r="B26" s="4">
        <f t="shared" si="3"/>
        <v>76164</v>
      </c>
      <c r="C26" s="4">
        <v>23512</v>
      </c>
      <c r="D26" s="4">
        <v>50690</v>
      </c>
      <c r="E26" s="4">
        <v>1962</v>
      </c>
      <c r="F26" s="4"/>
    </row>
    <row r="27" spans="1:6" x14ac:dyDescent="0.25">
      <c r="A27">
        <v>2015</v>
      </c>
      <c r="B27" s="4">
        <f t="shared" si="3"/>
        <v>70445</v>
      </c>
      <c r="C27" s="4">
        <v>23106</v>
      </c>
      <c r="D27" s="4">
        <v>46774</v>
      </c>
      <c r="E27" s="4">
        <v>565</v>
      </c>
      <c r="F27" s="4"/>
    </row>
    <row r="28" spans="1:6" x14ac:dyDescent="0.25">
      <c r="A28">
        <v>2016</v>
      </c>
      <c r="B28" s="4">
        <f t="shared" ref="B28" si="4">SUM(C28:E28)</f>
        <v>66543</v>
      </c>
      <c r="C28" s="4">
        <v>22273</v>
      </c>
      <c r="D28" s="4">
        <v>44035</v>
      </c>
      <c r="E28" s="4">
        <v>235</v>
      </c>
      <c r="F28" s="4"/>
    </row>
    <row r="29" spans="1:6" x14ac:dyDescent="0.25">
      <c r="A29">
        <v>2017</v>
      </c>
      <c r="B29" s="4">
        <v>69816</v>
      </c>
      <c r="C29" s="4">
        <v>21866</v>
      </c>
      <c r="D29" s="4">
        <v>46526</v>
      </c>
      <c r="E29" s="4">
        <v>1424</v>
      </c>
    </row>
    <row r="31" spans="1:6" ht="13" x14ac:dyDescent="0.3">
      <c r="A31" s="1" t="s">
        <v>1</v>
      </c>
    </row>
    <row r="33" spans="1:5" ht="26" x14ac:dyDescent="0.3">
      <c r="A33" s="2"/>
      <c r="B33" s="3" t="s">
        <v>7</v>
      </c>
      <c r="C33" s="3" t="s">
        <v>8</v>
      </c>
      <c r="D33" s="3" t="s">
        <v>9</v>
      </c>
      <c r="E33" s="3" t="s">
        <v>10</v>
      </c>
    </row>
    <row r="34" spans="1:5" x14ac:dyDescent="0.25">
      <c r="A34">
        <v>2010</v>
      </c>
      <c r="B34" s="4">
        <f>SUM(C34:E34)</f>
        <v>39578</v>
      </c>
      <c r="C34" s="5">
        <v>4312</v>
      </c>
      <c r="D34">
        <v>35269</v>
      </c>
      <c r="E34">
        <v>-3</v>
      </c>
    </row>
    <row r="35" spans="1:5" x14ac:dyDescent="0.25">
      <c r="A35">
        <v>2011</v>
      </c>
      <c r="B35" s="4">
        <f t="shared" ref="B35:B39" si="5">SUM(C35:E35)</f>
        <v>38245</v>
      </c>
      <c r="C35" s="5">
        <v>4065</v>
      </c>
      <c r="D35">
        <v>34182</v>
      </c>
      <c r="E35">
        <v>-2</v>
      </c>
    </row>
    <row r="36" spans="1:5" x14ac:dyDescent="0.25">
      <c r="A36">
        <v>2012</v>
      </c>
      <c r="B36" s="4">
        <f t="shared" si="5"/>
        <v>42262</v>
      </c>
      <c r="C36" s="5">
        <v>4886</v>
      </c>
      <c r="D36">
        <v>37376</v>
      </c>
      <c r="E36">
        <v>0</v>
      </c>
    </row>
    <row r="37" spans="1:5" x14ac:dyDescent="0.25">
      <c r="A37">
        <v>2013</v>
      </c>
      <c r="B37" s="4">
        <f t="shared" si="5"/>
        <v>43129</v>
      </c>
      <c r="C37" s="5">
        <v>4708</v>
      </c>
      <c r="D37">
        <v>38411</v>
      </c>
      <c r="E37">
        <v>10</v>
      </c>
    </row>
    <row r="38" spans="1:5" x14ac:dyDescent="0.25">
      <c r="A38">
        <v>2014</v>
      </c>
      <c r="B38" s="4">
        <f t="shared" si="5"/>
        <v>42720</v>
      </c>
      <c r="C38" s="5">
        <v>4672</v>
      </c>
      <c r="D38">
        <v>38048</v>
      </c>
      <c r="E38">
        <v>0</v>
      </c>
    </row>
    <row r="39" spans="1:5" x14ac:dyDescent="0.25">
      <c r="A39">
        <v>2015</v>
      </c>
      <c r="B39" s="4">
        <f t="shared" si="5"/>
        <v>45100</v>
      </c>
      <c r="C39" s="5">
        <v>4100</v>
      </c>
      <c r="D39">
        <v>41000</v>
      </c>
      <c r="E39">
        <v>0</v>
      </c>
    </row>
    <row r="40" spans="1:5" x14ac:dyDescent="0.25">
      <c r="A40">
        <v>2016</v>
      </c>
      <c r="B40" s="4">
        <f t="shared" ref="B40:B41" si="6">SUM(C40:E40)</f>
        <v>42919</v>
      </c>
      <c r="C40" s="5">
        <v>4803</v>
      </c>
      <c r="D40" s="5">
        <v>38116</v>
      </c>
      <c r="E40">
        <v>0</v>
      </c>
    </row>
    <row r="41" spans="1:5" x14ac:dyDescent="0.25">
      <c r="A41">
        <v>2017</v>
      </c>
      <c r="B41" s="4">
        <f t="shared" si="6"/>
        <v>39547</v>
      </c>
      <c r="C41" s="5">
        <v>4049</v>
      </c>
      <c r="D41" s="5">
        <v>35498</v>
      </c>
      <c r="E41" s="5">
        <v>0</v>
      </c>
    </row>
    <row r="42" spans="1:5" x14ac:dyDescent="0.25">
      <c r="A42">
        <v>2018</v>
      </c>
      <c r="B42" s="4">
        <v>47275</v>
      </c>
      <c r="C42" s="4">
        <v>7287</v>
      </c>
      <c r="D42" s="5">
        <v>39988</v>
      </c>
      <c r="E42" s="5">
        <v>0</v>
      </c>
    </row>
    <row r="43" spans="1:5" x14ac:dyDescent="0.25">
      <c r="A43">
        <v>2019</v>
      </c>
      <c r="B43" s="4">
        <v>51007</v>
      </c>
      <c r="C43" s="4">
        <v>8290</v>
      </c>
      <c r="D43" s="4">
        <v>42670</v>
      </c>
      <c r="E43" s="5">
        <f>54+(-7)</f>
        <v>47</v>
      </c>
    </row>
    <row r="44" spans="1:5" x14ac:dyDescent="0.25">
      <c r="A44" s="11">
        <v>2020</v>
      </c>
      <c r="B44" s="4">
        <f t="shared" ref="B44" si="7">SUM(C44:E44)</f>
        <v>47265</v>
      </c>
      <c r="C44" s="4">
        <v>9087</v>
      </c>
      <c r="D44" s="4">
        <v>38178</v>
      </c>
      <c r="E44" s="5">
        <v>0</v>
      </c>
    </row>
    <row r="46" spans="1:5" ht="13" x14ac:dyDescent="0.3">
      <c r="A46" s="1" t="s">
        <v>20</v>
      </c>
    </row>
    <row r="48" spans="1:5" ht="26" x14ac:dyDescent="0.3">
      <c r="A48" s="2"/>
      <c r="B48" s="3" t="s">
        <v>7</v>
      </c>
      <c r="C48" s="3" t="s">
        <v>8</v>
      </c>
      <c r="D48" s="3" t="s">
        <v>9</v>
      </c>
      <c r="E48" s="3" t="s">
        <v>10</v>
      </c>
    </row>
    <row r="49" spans="1:5" x14ac:dyDescent="0.25">
      <c r="A49">
        <v>2010</v>
      </c>
      <c r="B49" s="4">
        <f>SUM(C49:E49)</f>
        <v>80705</v>
      </c>
      <c r="C49" s="4">
        <f>19607+5354</f>
        <v>24961</v>
      </c>
      <c r="D49">
        <v>55744</v>
      </c>
      <c r="E49">
        <v>0</v>
      </c>
    </row>
    <row r="50" spans="1:5" x14ac:dyDescent="0.25">
      <c r="A50">
        <v>2011</v>
      </c>
      <c r="B50" s="4">
        <f t="shared" ref="B50:B56" si="8">SUM(C50:E50)</f>
        <v>79608</v>
      </c>
      <c r="C50" s="4">
        <f>19750+5931</f>
        <v>25681</v>
      </c>
      <c r="D50">
        <v>53927</v>
      </c>
      <c r="E50">
        <v>0</v>
      </c>
    </row>
    <row r="51" spans="1:5" x14ac:dyDescent="0.25">
      <c r="A51">
        <v>2012</v>
      </c>
      <c r="B51" s="4">
        <f t="shared" si="8"/>
        <v>79030</v>
      </c>
      <c r="C51" s="4">
        <f>18313+5768</f>
        <v>24081</v>
      </c>
      <c r="D51">
        <v>54949</v>
      </c>
      <c r="E51">
        <v>0</v>
      </c>
    </row>
    <row r="52" spans="1:5" x14ac:dyDescent="0.25">
      <c r="A52">
        <v>2013</v>
      </c>
      <c r="B52" s="4">
        <f t="shared" si="8"/>
        <v>79089</v>
      </c>
      <c r="C52" s="4">
        <f>18067+6736</f>
        <v>24803</v>
      </c>
      <c r="D52">
        <v>54286</v>
      </c>
      <c r="E52">
        <v>0</v>
      </c>
    </row>
    <row r="53" spans="1:5" x14ac:dyDescent="0.25">
      <c r="A53">
        <v>2014</v>
      </c>
      <c r="B53" s="4">
        <f t="shared" si="8"/>
        <v>80153</v>
      </c>
      <c r="C53" s="4">
        <f>17489+7197</f>
        <v>24686</v>
      </c>
      <c r="D53">
        <v>55467</v>
      </c>
      <c r="E53">
        <v>0</v>
      </c>
    </row>
    <row r="54" spans="1:5" x14ac:dyDescent="0.25">
      <c r="A54">
        <v>2015</v>
      </c>
      <c r="B54" s="4">
        <f t="shared" si="8"/>
        <v>81181</v>
      </c>
      <c r="C54" s="4">
        <f>17136+5711</f>
        <v>22847</v>
      </c>
      <c r="D54" s="4">
        <v>58334</v>
      </c>
      <c r="E54">
        <v>0</v>
      </c>
    </row>
    <row r="55" spans="1:5" x14ac:dyDescent="0.25">
      <c r="A55">
        <v>2016</v>
      </c>
      <c r="B55" s="4">
        <f t="shared" si="8"/>
        <v>80725</v>
      </c>
      <c r="C55" s="4">
        <v>22391</v>
      </c>
      <c r="D55" s="4">
        <v>58334</v>
      </c>
      <c r="E55" s="4">
        <v>0</v>
      </c>
    </row>
    <row r="56" spans="1:5" x14ac:dyDescent="0.25">
      <c r="A56">
        <v>2017</v>
      </c>
      <c r="B56" s="4">
        <f t="shared" si="8"/>
        <v>82730</v>
      </c>
      <c r="C56" s="4">
        <v>21191</v>
      </c>
      <c r="D56" s="4">
        <v>61539</v>
      </c>
      <c r="E56" s="4">
        <v>0</v>
      </c>
    </row>
    <row r="57" spans="1:5" x14ac:dyDescent="0.25">
      <c r="A57">
        <v>2018</v>
      </c>
      <c r="B57" s="4">
        <v>88218</v>
      </c>
      <c r="C57" s="4">
        <v>22578</v>
      </c>
      <c r="D57" s="4">
        <v>65640</v>
      </c>
      <c r="E57" s="4">
        <v>0</v>
      </c>
    </row>
    <row r="58" spans="1:5" x14ac:dyDescent="0.25">
      <c r="A58">
        <v>2019</v>
      </c>
      <c r="B58" s="4">
        <v>93195</v>
      </c>
      <c r="C58" s="4">
        <v>25761</v>
      </c>
      <c r="D58" s="4">
        <v>67434</v>
      </c>
      <c r="E58" s="4">
        <v>0</v>
      </c>
    </row>
    <row r="59" spans="1:5" x14ac:dyDescent="0.25">
      <c r="A59" s="11">
        <v>2020</v>
      </c>
      <c r="B59" s="4">
        <f t="shared" ref="B59" si="9">SUM(C59:E59)</f>
        <v>96543</v>
      </c>
      <c r="C59" s="4">
        <v>28513</v>
      </c>
      <c r="D59" s="4">
        <v>68030</v>
      </c>
      <c r="E59" s="4">
        <v>0</v>
      </c>
    </row>
    <row r="61" spans="1:5" ht="13" x14ac:dyDescent="0.3">
      <c r="A61" s="1" t="s">
        <v>21</v>
      </c>
    </row>
    <row r="62" spans="1:5" x14ac:dyDescent="0.25">
      <c r="C62" s="4"/>
      <c r="D62" s="4"/>
    </row>
    <row r="63" spans="1:5" ht="26" x14ac:dyDescent="0.3">
      <c r="A63" s="2"/>
      <c r="B63" s="3" t="s">
        <v>7</v>
      </c>
      <c r="C63" s="3" t="s">
        <v>8</v>
      </c>
      <c r="D63" s="3" t="s">
        <v>9</v>
      </c>
      <c r="E63" s="3" t="s">
        <v>10</v>
      </c>
    </row>
    <row r="64" spans="1:5" x14ac:dyDescent="0.25">
      <c r="A64">
        <v>2010</v>
      </c>
      <c r="B64" s="4">
        <f>SUM(C64:E64)</f>
        <v>508421</v>
      </c>
      <c r="C64" s="4">
        <v>194761</v>
      </c>
      <c r="D64" s="4">
        <v>297229</v>
      </c>
      <c r="E64">
        <v>16431</v>
      </c>
    </row>
    <row r="65" spans="1:5" x14ac:dyDescent="0.25">
      <c r="A65">
        <v>2011</v>
      </c>
      <c r="B65" s="4">
        <f t="shared" ref="B65:B69" si="10">SUM(C65:E65)</f>
        <v>500901</v>
      </c>
      <c r="C65" s="4">
        <v>188922</v>
      </c>
      <c r="D65" s="4">
        <v>289184</v>
      </c>
      <c r="E65" s="4">
        <v>22795</v>
      </c>
    </row>
    <row r="66" spans="1:5" x14ac:dyDescent="0.25">
      <c r="A66">
        <v>2012</v>
      </c>
      <c r="B66" s="4">
        <f t="shared" si="10"/>
        <v>505656</v>
      </c>
      <c r="C66" s="4">
        <v>192266</v>
      </c>
      <c r="D66" s="4">
        <v>289748</v>
      </c>
      <c r="E66" s="4">
        <v>23642</v>
      </c>
    </row>
    <row r="67" spans="1:5" x14ac:dyDescent="0.25">
      <c r="A67">
        <v>2013</v>
      </c>
      <c r="B67" s="4">
        <f t="shared" si="10"/>
        <v>478564</v>
      </c>
      <c r="C67" s="4">
        <v>180479</v>
      </c>
      <c r="D67" s="4">
        <v>276064</v>
      </c>
      <c r="E67">
        <v>22021</v>
      </c>
    </row>
    <row r="68" spans="1:5" x14ac:dyDescent="0.25">
      <c r="A68">
        <v>2014</v>
      </c>
      <c r="B68" s="4">
        <f t="shared" si="10"/>
        <v>447019</v>
      </c>
      <c r="C68" s="4">
        <v>171172</v>
      </c>
      <c r="D68" s="4">
        <v>253020</v>
      </c>
      <c r="E68">
        <v>22827</v>
      </c>
    </row>
    <row r="69" spans="1:5" x14ac:dyDescent="0.25">
      <c r="A69">
        <v>2015</v>
      </c>
      <c r="B69" s="4">
        <f t="shared" si="10"/>
        <v>440943</v>
      </c>
      <c r="C69" s="4">
        <v>167934</v>
      </c>
      <c r="D69" s="4">
        <v>248196</v>
      </c>
      <c r="E69">
        <v>24813</v>
      </c>
    </row>
    <row r="70" spans="1:5" x14ac:dyDescent="0.25">
      <c r="A70">
        <v>2016</v>
      </c>
      <c r="B70" s="4">
        <v>453182</v>
      </c>
      <c r="C70" s="4">
        <v>176257</v>
      </c>
      <c r="D70" s="4">
        <v>254420</v>
      </c>
      <c r="E70" s="4">
        <v>22505</v>
      </c>
    </row>
    <row r="71" spans="1:5" x14ac:dyDescent="0.25">
      <c r="A71">
        <v>2017</v>
      </c>
      <c r="B71" s="4">
        <f>SUM(C71:E71)</f>
        <v>443110</v>
      </c>
      <c r="C71" s="4">
        <v>176493</v>
      </c>
      <c r="D71" s="4">
        <v>249118</v>
      </c>
      <c r="E71" s="4">
        <v>17499</v>
      </c>
    </row>
    <row r="72" spans="1:5" x14ac:dyDescent="0.25">
      <c r="A72">
        <v>2018</v>
      </c>
      <c r="B72" s="4">
        <v>503897</v>
      </c>
      <c r="C72" s="4">
        <v>216323</v>
      </c>
      <c r="D72" s="4">
        <v>265914</v>
      </c>
      <c r="E72" s="4">
        <v>21660</v>
      </c>
    </row>
    <row r="73" spans="1:5" x14ac:dyDescent="0.25">
      <c r="A73" s="11">
        <v>2019</v>
      </c>
      <c r="B73" s="6">
        <v>553080</v>
      </c>
      <c r="C73" s="6">
        <v>242646</v>
      </c>
      <c r="D73" s="6">
        <v>291927</v>
      </c>
      <c r="E73" s="6">
        <v>18507</v>
      </c>
    </row>
    <row r="74" spans="1:5" x14ac:dyDescent="0.25">
      <c r="A74" s="11">
        <v>2020</v>
      </c>
      <c r="B74" s="4">
        <f t="shared" ref="B74" si="11">SUM(C74:E74)</f>
        <v>552412</v>
      </c>
      <c r="C74" s="6">
        <v>258764</v>
      </c>
      <c r="D74" s="6">
        <v>281293</v>
      </c>
      <c r="E74" s="6">
        <v>12355</v>
      </c>
    </row>
    <row r="76" spans="1:5" ht="13" x14ac:dyDescent="0.3">
      <c r="A76" s="1" t="s">
        <v>22</v>
      </c>
      <c r="C76" s="4"/>
      <c r="D76" s="4"/>
      <c r="E76" s="4"/>
    </row>
    <row r="77" spans="1:5" x14ac:dyDescent="0.25">
      <c r="C77" s="4"/>
      <c r="D77" s="4"/>
      <c r="E77" s="4"/>
    </row>
    <row r="78" spans="1:5" ht="26" x14ac:dyDescent="0.3">
      <c r="A78" s="2"/>
      <c r="B78" s="3" t="s">
        <v>7</v>
      </c>
      <c r="C78" s="3" t="s">
        <v>8</v>
      </c>
      <c r="D78" s="3" t="s">
        <v>9</v>
      </c>
      <c r="E78" s="3" t="s">
        <v>10</v>
      </c>
    </row>
    <row r="79" spans="1:5" x14ac:dyDescent="0.25">
      <c r="A79">
        <v>2010</v>
      </c>
      <c r="B79">
        <f>SUM(C79:E79)</f>
        <v>357702</v>
      </c>
      <c r="C79">
        <v>155436</v>
      </c>
      <c r="D79" s="4">
        <v>146863</v>
      </c>
      <c r="E79" s="4">
        <v>55403</v>
      </c>
    </row>
    <row r="80" spans="1:5" x14ac:dyDescent="0.25">
      <c r="A80">
        <v>2011</v>
      </c>
      <c r="B80">
        <f t="shared" ref="B80:B83" si="12">SUM(C80:E80)</f>
        <v>352537</v>
      </c>
      <c r="C80">
        <v>143679</v>
      </c>
      <c r="D80" s="4">
        <v>151805</v>
      </c>
      <c r="E80" s="4">
        <v>57053</v>
      </c>
    </row>
    <row r="81" spans="1:5" x14ac:dyDescent="0.25">
      <c r="A81">
        <v>2012</v>
      </c>
      <c r="B81">
        <f t="shared" si="12"/>
        <v>343373</v>
      </c>
      <c r="C81">
        <v>136490</v>
      </c>
      <c r="D81" s="4">
        <v>155456</v>
      </c>
      <c r="E81" s="4">
        <v>51427</v>
      </c>
    </row>
    <row r="82" spans="1:5" x14ac:dyDescent="0.25">
      <c r="A82">
        <v>2013</v>
      </c>
      <c r="B82">
        <f t="shared" si="12"/>
        <v>333672</v>
      </c>
      <c r="C82">
        <v>134218</v>
      </c>
      <c r="D82">
        <v>143261</v>
      </c>
      <c r="E82">
        <v>56193</v>
      </c>
    </row>
    <row r="83" spans="1:5" x14ac:dyDescent="0.25">
      <c r="A83">
        <v>2014</v>
      </c>
      <c r="B83">
        <f t="shared" si="12"/>
        <v>330061</v>
      </c>
      <c r="C83">
        <v>131142</v>
      </c>
      <c r="D83">
        <v>149947</v>
      </c>
      <c r="E83">
        <v>48972</v>
      </c>
    </row>
    <row r="84" spans="1:5" x14ac:dyDescent="0.25">
      <c r="A84">
        <v>2015</v>
      </c>
      <c r="B84">
        <f>SUM(C84:E84)</f>
        <v>314413</v>
      </c>
      <c r="C84">
        <f>13075+71692-933+38+41251</f>
        <v>125123</v>
      </c>
      <c r="D84">
        <v>140200</v>
      </c>
      <c r="E84">
        <v>49090</v>
      </c>
    </row>
    <row r="85" spans="1:5" x14ac:dyDescent="0.25">
      <c r="A85">
        <v>2016</v>
      </c>
      <c r="B85">
        <f>SUM(C85:E85)</f>
        <v>299154</v>
      </c>
      <c r="C85" s="4">
        <v>120859</v>
      </c>
      <c r="D85" s="4">
        <v>138452</v>
      </c>
      <c r="E85" s="4">
        <v>39843</v>
      </c>
    </row>
    <row r="86" spans="1:5" x14ac:dyDescent="0.25">
      <c r="A86">
        <v>2017</v>
      </c>
      <c r="B86" s="4">
        <f t="shared" ref="B86" si="13">SUM(C86:E86)</f>
        <v>299414</v>
      </c>
      <c r="C86" s="4">
        <v>114111</v>
      </c>
      <c r="D86" s="4">
        <v>143068</v>
      </c>
      <c r="E86" s="4">
        <v>42235</v>
      </c>
    </row>
    <row r="87" spans="1:5" x14ac:dyDescent="0.25">
      <c r="A87">
        <v>2018</v>
      </c>
      <c r="B87" s="4">
        <v>323128</v>
      </c>
      <c r="C87" s="4">
        <v>136903</v>
      </c>
      <c r="D87">
        <v>143320</v>
      </c>
      <c r="E87" s="4">
        <v>42905</v>
      </c>
    </row>
    <row r="88" spans="1:5" x14ac:dyDescent="0.25">
      <c r="A88" s="11">
        <v>2019</v>
      </c>
      <c r="B88" s="6">
        <v>343953</v>
      </c>
      <c r="C88" s="4">
        <v>149208</v>
      </c>
      <c r="D88" s="12">
        <f>B88-C88-E88</f>
        <v>153950</v>
      </c>
      <c r="E88" s="12">
        <v>40795</v>
      </c>
    </row>
    <row r="89" spans="1:5" x14ac:dyDescent="0.25">
      <c r="A89" s="11">
        <v>2020</v>
      </c>
      <c r="B89" s="13">
        <f>SUM(C89:E89)</f>
        <v>355056</v>
      </c>
      <c r="C89" s="13">
        <v>154350</v>
      </c>
      <c r="D89" s="13">
        <v>151547</v>
      </c>
      <c r="E89" s="13">
        <v>49159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1"/>
  <sheetViews>
    <sheetView topLeftCell="A124" workbookViewId="0">
      <selection activeCell="A151" sqref="A151:E151"/>
    </sheetView>
  </sheetViews>
  <sheetFormatPr defaultRowHeight="12.5" x14ac:dyDescent="0.25"/>
  <cols>
    <col min="2" max="5" width="12.7265625" customWidth="1"/>
  </cols>
  <sheetData>
    <row r="1" spans="1:5" ht="13" x14ac:dyDescent="0.3">
      <c r="A1" s="1" t="s">
        <v>34</v>
      </c>
    </row>
    <row r="2" spans="1:5" ht="13" x14ac:dyDescent="0.3">
      <c r="A2" s="1" t="s">
        <v>36</v>
      </c>
    </row>
    <row r="4" spans="1:5" ht="13" x14ac:dyDescent="0.3">
      <c r="A4" s="1" t="s">
        <v>23</v>
      </c>
    </row>
    <row r="6" spans="1:5" s="2" customFormat="1" ht="26" x14ac:dyDescent="0.3">
      <c r="B6" s="3" t="s">
        <v>7</v>
      </c>
      <c r="C6" s="3" t="s">
        <v>8</v>
      </c>
      <c r="D6" s="3" t="s">
        <v>9</v>
      </c>
      <c r="E6" s="3" t="s">
        <v>10</v>
      </c>
    </row>
    <row r="7" spans="1:5" x14ac:dyDescent="0.25">
      <c r="A7">
        <v>2010</v>
      </c>
      <c r="B7" s="4">
        <f>SUM(C7:E7)</f>
        <v>1220.8780000000002</v>
      </c>
      <c r="C7" s="4">
        <v>996.87800000000004</v>
      </c>
      <c r="D7" s="4">
        <v>224</v>
      </c>
      <c r="E7" s="4">
        <v>0</v>
      </c>
    </row>
    <row r="8" spans="1:5" x14ac:dyDescent="0.25">
      <c r="A8">
        <v>2011</v>
      </c>
      <c r="B8" s="4">
        <f t="shared" ref="B8:B14" si="0">SUM(C8:E8)</f>
        <v>1345.211</v>
      </c>
      <c r="C8" s="4">
        <v>1003.776</v>
      </c>
      <c r="D8" s="4">
        <v>237.43600000000001</v>
      </c>
      <c r="E8" s="4">
        <v>103.999</v>
      </c>
    </row>
    <row r="9" spans="1:5" x14ac:dyDescent="0.25">
      <c r="A9">
        <v>2012</v>
      </c>
      <c r="B9" s="4">
        <f t="shared" si="0"/>
        <v>1307.0040000000001</v>
      </c>
      <c r="C9" s="4">
        <v>987.20699999999999</v>
      </c>
      <c r="D9" s="4">
        <v>221.99</v>
      </c>
      <c r="E9" s="4">
        <v>97.806999999999988</v>
      </c>
    </row>
    <row r="10" spans="1:5" x14ac:dyDescent="0.25">
      <c r="A10">
        <v>2013</v>
      </c>
      <c r="B10" s="4">
        <f t="shared" si="0"/>
        <v>1193.346</v>
      </c>
      <c r="C10" s="4">
        <v>724.17</v>
      </c>
      <c r="D10" s="4">
        <v>339.97699999999998</v>
      </c>
      <c r="E10" s="4">
        <v>129.19899999999998</v>
      </c>
    </row>
    <row r="11" spans="1:5" x14ac:dyDescent="0.25">
      <c r="A11">
        <v>2014</v>
      </c>
      <c r="B11" s="4">
        <f t="shared" si="0"/>
        <v>1167.7370000000001</v>
      </c>
      <c r="C11" s="4">
        <v>726.5</v>
      </c>
      <c r="D11" s="4">
        <v>319</v>
      </c>
      <c r="E11" s="4">
        <v>122.23699999999999</v>
      </c>
    </row>
    <row r="12" spans="1:5" x14ac:dyDescent="0.25">
      <c r="A12">
        <v>2015</v>
      </c>
      <c r="B12" s="4">
        <f t="shared" si="0"/>
        <v>1151.1590000000001</v>
      </c>
      <c r="C12" s="4">
        <v>727.49599999999998</v>
      </c>
      <c r="D12" s="4">
        <v>307</v>
      </c>
      <c r="E12" s="4">
        <v>116.663</v>
      </c>
    </row>
    <row r="13" spans="1:5" x14ac:dyDescent="0.25">
      <c r="A13">
        <v>2016</v>
      </c>
      <c r="B13" s="4">
        <f t="shared" si="0"/>
        <v>1068.213</v>
      </c>
      <c r="C13" s="4">
        <v>737.24400000000003</v>
      </c>
      <c r="D13" s="4">
        <v>218.554</v>
      </c>
      <c r="E13" s="4">
        <v>112.41500000000001</v>
      </c>
    </row>
    <row r="14" spans="1:5" x14ac:dyDescent="0.25">
      <c r="A14">
        <v>2017</v>
      </c>
      <c r="B14" s="4">
        <f t="shared" si="0"/>
        <v>1147.3719999999998</v>
      </c>
      <c r="C14" s="4">
        <v>744.30399999999997</v>
      </c>
      <c r="D14" s="4">
        <v>295.09199999999998</v>
      </c>
      <c r="E14" s="4">
        <v>107.976</v>
      </c>
    </row>
    <row r="15" spans="1:5" x14ac:dyDescent="0.25">
      <c r="A15">
        <v>2018</v>
      </c>
      <c r="B15" s="4">
        <v>1331.7249999999999</v>
      </c>
      <c r="C15" s="4">
        <v>761.70299999999997</v>
      </c>
      <c r="D15" s="4">
        <v>499.05799999999999</v>
      </c>
      <c r="E15" s="4">
        <v>70.963999999999999</v>
      </c>
    </row>
    <row r="16" spans="1:5" x14ac:dyDescent="0.25">
      <c r="A16" s="7">
        <v>2019</v>
      </c>
      <c r="B16" s="5">
        <v>1248.018</v>
      </c>
      <c r="C16" s="9">
        <v>782.26900000000001</v>
      </c>
      <c r="D16" s="9">
        <v>383.18599999999998</v>
      </c>
      <c r="E16" s="9">
        <v>82.563000000000002</v>
      </c>
    </row>
    <row r="17" spans="1:5" x14ac:dyDescent="0.25">
      <c r="A17" s="7">
        <v>2020</v>
      </c>
      <c r="B17" s="5">
        <f>SUM(C17:E17)</f>
        <v>1644.395</v>
      </c>
      <c r="C17" s="9">
        <v>804.88599999999997</v>
      </c>
      <c r="D17" s="9">
        <v>764.92100000000005</v>
      </c>
      <c r="E17" s="9">
        <v>74.587999999999994</v>
      </c>
    </row>
    <row r="19" spans="1:5" ht="13" x14ac:dyDescent="0.3">
      <c r="A19" s="1" t="s">
        <v>2</v>
      </c>
    </row>
    <row r="21" spans="1:5" ht="26" x14ac:dyDescent="0.3">
      <c r="A21" s="2"/>
      <c r="B21" s="3" t="s">
        <v>7</v>
      </c>
      <c r="C21" s="3" t="s">
        <v>8</v>
      </c>
      <c r="D21" s="3" t="s">
        <v>9</v>
      </c>
      <c r="E21" s="3" t="s">
        <v>10</v>
      </c>
    </row>
    <row r="22" spans="1:5" x14ac:dyDescent="0.25">
      <c r="A22">
        <v>2010</v>
      </c>
      <c r="B22" s="4">
        <f>SUM(C22:E22)</f>
        <v>5428.924</v>
      </c>
      <c r="C22" s="5">
        <v>718.06700000000001</v>
      </c>
      <c r="D22">
        <v>4710.857</v>
      </c>
      <c r="E22">
        <v>0</v>
      </c>
    </row>
    <row r="23" spans="1:5" x14ac:dyDescent="0.25">
      <c r="A23">
        <v>2011</v>
      </c>
      <c r="B23" s="4">
        <f t="shared" ref="B23:B27" si="1">SUM(C23:E23)</f>
        <v>2860.1590000000001</v>
      </c>
      <c r="C23" s="5">
        <v>718.06700000000001</v>
      </c>
      <c r="D23">
        <v>2142.0920000000001</v>
      </c>
      <c r="E23">
        <v>0</v>
      </c>
    </row>
    <row r="24" spans="1:5" x14ac:dyDescent="0.25">
      <c r="A24">
        <v>2012</v>
      </c>
      <c r="B24" s="4">
        <f t="shared" si="1"/>
        <v>3331.6030000000001</v>
      </c>
      <c r="C24" s="5">
        <v>718.06700000000001</v>
      </c>
      <c r="D24">
        <v>2613.5360000000001</v>
      </c>
      <c r="E24">
        <v>0</v>
      </c>
    </row>
    <row r="25" spans="1:5" x14ac:dyDescent="0.25">
      <c r="A25">
        <v>2013</v>
      </c>
      <c r="B25" s="4">
        <f t="shared" si="1"/>
        <v>3460.6390000000001</v>
      </c>
      <c r="C25" s="5">
        <v>715.28899999999999</v>
      </c>
      <c r="D25">
        <v>2745.35</v>
      </c>
      <c r="E25">
        <v>0</v>
      </c>
    </row>
    <row r="26" spans="1:5" x14ac:dyDescent="0.25">
      <c r="A26">
        <v>2014</v>
      </c>
      <c r="B26" s="4">
        <f t="shared" si="1"/>
        <v>4149.8429999999998</v>
      </c>
      <c r="C26" s="5">
        <v>695.28899999999999</v>
      </c>
      <c r="D26">
        <v>3454.5540000000001</v>
      </c>
      <c r="E26">
        <v>0</v>
      </c>
    </row>
    <row r="27" spans="1:5" x14ac:dyDescent="0.25">
      <c r="A27">
        <v>2015</v>
      </c>
      <c r="B27" s="4">
        <f t="shared" si="1"/>
        <v>3854.4619999999995</v>
      </c>
      <c r="C27" s="5">
        <v>695.28899999999999</v>
      </c>
      <c r="D27">
        <v>3159.1729999999998</v>
      </c>
      <c r="E27">
        <v>0</v>
      </c>
    </row>
    <row r="28" spans="1:5" x14ac:dyDescent="0.25">
      <c r="A28">
        <v>2016</v>
      </c>
      <c r="B28" s="4">
        <f t="shared" ref="B28:B29" si="2">SUM(C28:E28)</f>
        <v>4389.2420000000002</v>
      </c>
      <c r="C28" s="5">
        <v>695.28899999999999</v>
      </c>
      <c r="D28" s="5">
        <v>3693.953</v>
      </c>
      <c r="E28" s="5">
        <v>0</v>
      </c>
    </row>
    <row r="29" spans="1:5" x14ac:dyDescent="0.25">
      <c r="A29">
        <v>2017</v>
      </c>
      <c r="B29" s="4">
        <f t="shared" si="2"/>
        <v>5814.0630000000001</v>
      </c>
      <c r="C29" s="5">
        <v>695.28899999999999</v>
      </c>
      <c r="D29" s="5">
        <v>5118.7740000000003</v>
      </c>
      <c r="E29" s="5">
        <v>0</v>
      </c>
    </row>
    <row r="30" spans="1:5" x14ac:dyDescent="0.25">
      <c r="A30">
        <v>2018</v>
      </c>
      <c r="B30" s="4">
        <v>5904.5879999999997</v>
      </c>
      <c r="C30" s="5">
        <v>595.28899999999999</v>
      </c>
      <c r="D30" s="5">
        <v>5309.299</v>
      </c>
      <c r="E30" s="5">
        <v>0</v>
      </c>
    </row>
    <row r="31" spans="1:5" x14ac:dyDescent="0.25">
      <c r="A31" s="11">
        <v>2019</v>
      </c>
      <c r="B31" s="6">
        <v>6850.5230000000001</v>
      </c>
      <c r="C31" s="9">
        <v>595.28899999999999</v>
      </c>
      <c r="D31" s="9">
        <v>6255.2340000000004</v>
      </c>
      <c r="E31">
        <v>0</v>
      </c>
    </row>
    <row r="32" spans="1:5" x14ac:dyDescent="0.25">
      <c r="A32" s="11">
        <v>2020</v>
      </c>
      <c r="B32" s="6">
        <f>SUM(C32:E32)</f>
        <v>7361.8270000000002</v>
      </c>
      <c r="C32" s="9">
        <v>685.197</v>
      </c>
      <c r="D32" s="9">
        <v>6676.63</v>
      </c>
      <c r="E32">
        <v>0</v>
      </c>
    </row>
    <row r="34" spans="1:9" ht="13" x14ac:dyDescent="0.3">
      <c r="A34" s="1" t="s">
        <v>3</v>
      </c>
    </row>
    <row r="35" spans="1:9" x14ac:dyDescent="0.25">
      <c r="G35" s="4"/>
      <c r="H35" s="4"/>
      <c r="I35" s="4"/>
    </row>
    <row r="36" spans="1:9" ht="26" x14ac:dyDescent="0.3">
      <c r="A36" s="2"/>
      <c r="B36" s="3" t="s">
        <v>7</v>
      </c>
      <c r="C36" s="3" t="s">
        <v>8</v>
      </c>
      <c r="D36" s="3" t="s">
        <v>9</v>
      </c>
      <c r="E36" s="3" t="s">
        <v>10</v>
      </c>
      <c r="G36" s="4"/>
      <c r="H36" s="4"/>
      <c r="I36" s="4"/>
    </row>
    <row r="37" spans="1:9" x14ac:dyDescent="0.25">
      <c r="A37">
        <v>2010</v>
      </c>
      <c r="B37" s="4">
        <f>SUM(C37:E37)</f>
        <v>20184.827000000001</v>
      </c>
      <c r="C37" s="5">
        <v>10937.181000000002</v>
      </c>
      <c r="D37">
        <v>7791.558</v>
      </c>
      <c r="E37">
        <v>1456.0880000000002</v>
      </c>
      <c r="G37" s="4"/>
      <c r="H37" s="4"/>
      <c r="I37" s="4"/>
    </row>
    <row r="38" spans="1:9" x14ac:dyDescent="0.25">
      <c r="A38">
        <v>2011</v>
      </c>
      <c r="B38" s="4">
        <f t="shared" ref="B38:B44" si="3">SUM(C38:E38)</f>
        <v>19963.535000000003</v>
      </c>
      <c r="C38" s="5">
        <v>9879.9189999999999</v>
      </c>
      <c r="D38">
        <v>8720.4700000000012</v>
      </c>
      <c r="E38">
        <v>1363.146</v>
      </c>
      <c r="G38" s="4"/>
      <c r="H38" s="4"/>
      <c r="I38" s="4"/>
    </row>
    <row r="39" spans="1:9" x14ac:dyDescent="0.25">
      <c r="A39">
        <v>2012</v>
      </c>
      <c r="B39" s="4">
        <f t="shared" si="3"/>
        <v>16293.83</v>
      </c>
      <c r="C39" s="5">
        <v>8414.9789999999994</v>
      </c>
      <c r="D39">
        <v>6154.3919999999998</v>
      </c>
      <c r="E39">
        <v>1724.4590000000001</v>
      </c>
      <c r="G39" s="4"/>
      <c r="H39" s="4"/>
      <c r="I39" s="4"/>
    </row>
    <row r="40" spans="1:9" x14ac:dyDescent="0.25">
      <c r="A40">
        <v>2013</v>
      </c>
      <c r="B40" s="4">
        <f t="shared" si="3"/>
        <v>14220.535999999998</v>
      </c>
      <c r="C40" s="5">
        <v>8106.3530000000001</v>
      </c>
      <c r="D40">
        <v>4651.8379999999997</v>
      </c>
      <c r="E40">
        <v>1462.345</v>
      </c>
      <c r="G40" s="4"/>
      <c r="H40" s="4"/>
      <c r="I40" s="4"/>
    </row>
    <row r="41" spans="1:9" x14ac:dyDescent="0.25">
      <c r="A41">
        <v>2014</v>
      </c>
      <c r="B41" s="4">
        <f t="shared" si="3"/>
        <v>14441.113000000001</v>
      </c>
      <c r="C41" s="5">
        <v>8198.0190000000002</v>
      </c>
      <c r="D41">
        <v>4877.1260000000002</v>
      </c>
      <c r="E41">
        <v>1365.9680000000001</v>
      </c>
      <c r="G41" s="4"/>
      <c r="H41" s="4"/>
      <c r="I41" s="4"/>
    </row>
    <row r="42" spans="1:9" x14ac:dyDescent="0.25">
      <c r="A42">
        <v>2015</v>
      </c>
      <c r="B42" s="4">
        <f t="shared" si="3"/>
        <v>15207.305</v>
      </c>
      <c r="C42" s="5">
        <v>8203.6959999999999</v>
      </c>
      <c r="D42">
        <v>5767.4030000000002</v>
      </c>
      <c r="E42">
        <v>1236.2060000000001</v>
      </c>
      <c r="G42" s="4"/>
      <c r="H42" s="4"/>
      <c r="I42" s="4"/>
    </row>
    <row r="43" spans="1:9" x14ac:dyDescent="0.25">
      <c r="A43">
        <v>2016</v>
      </c>
      <c r="B43" s="4">
        <f t="shared" si="3"/>
        <v>13507.517999999998</v>
      </c>
      <c r="C43" s="4">
        <v>7312.5749999999998</v>
      </c>
      <c r="D43">
        <v>5124.8119999999999</v>
      </c>
      <c r="E43">
        <v>1070.1310000000001</v>
      </c>
      <c r="G43" s="4"/>
      <c r="H43" s="4"/>
      <c r="I43" s="4"/>
    </row>
    <row r="44" spans="1:9" x14ac:dyDescent="0.25">
      <c r="A44">
        <v>2017</v>
      </c>
      <c r="B44" s="4">
        <f t="shared" si="3"/>
        <v>13520.851999999999</v>
      </c>
      <c r="C44" s="4">
        <v>7528.4719999999998</v>
      </c>
      <c r="D44" s="5">
        <v>5153.884</v>
      </c>
      <c r="E44" s="5">
        <v>838.49599999999998</v>
      </c>
      <c r="G44" s="4"/>
      <c r="H44" s="4"/>
      <c r="I44" s="4"/>
    </row>
    <row r="45" spans="1:9" x14ac:dyDescent="0.25">
      <c r="A45">
        <v>2018</v>
      </c>
      <c r="B45" s="4">
        <v>14251.920999999998</v>
      </c>
      <c r="C45" s="4">
        <v>7568.9709999999995</v>
      </c>
      <c r="D45" s="5">
        <v>5906.3549999999996</v>
      </c>
      <c r="E45" s="5">
        <v>776.59500000000003</v>
      </c>
    </row>
    <row r="46" spans="1:9" x14ac:dyDescent="0.25">
      <c r="A46" s="11">
        <v>2019</v>
      </c>
      <c r="B46" s="6">
        <v>14823.62</v>
      </c>
      <c r="C46" s="6">
        <v>7862.192</v>
      </c>
      <c r="D46" s="9">
        <v>6657.509</v>
      </c>
      <c r="E46" s="9">
        <v>303.91899999999998</v>
      </c>
    </row>
    <row r="48" spans="1:9" ht="13" x14ac:dyDescent="0.3">
      <c r="A48" s="1" t="s">
        <v>24</v>
      </c>
    </row>
    <row r="49" spans="1:9" x14ac:dyDescent="0.25">
      <c r="G49" s="4"/>
      <c r="H49" s="4"/>
      <c r="I49" s="4"/>
    </row>
    <row r="50" spans="1:9" ht="26" x14ac:dyDescent="0.3">
      <c r="A50" s="2"/>
      <c r="B50" s="3" t="s">
        <v>7</v>
      </c>
      <c r="C50" s="3" t="s">
        <v>8</v>
      </c>
      <c r="D50" s="3" t="s">
        <v>9</v>
      </c>
      <c r="E50" s="3" t="s">
        <v>10</v>
      </c>
      <c r="G50" s="4"/>
      <c r="H50" s="4"/>
      <c r="I50" s="4"/>
    </row>
    <row r="51" spans="1:9" x14ac:dyDescent="0.25">
      <c r="A51">
        <v>2010</v>
      </c>
      <c r="B51" s="4">
        <f>SUM(C51:E51)</f>
        <v>1948</v>
      </c>
      <c r="C51" s="5">
        <v>874</v>
      </c>
      <c r="D51" s="5">
        <v>1074</v>
      </c>
      <c r="E51">
        <v>0</v>
      </c>
      <c r="G51" s="4"/>
      <c r="H51" s="4"/>
      <c r="I51" s="4"/>
    </row>
    <row r="52" spans="1:9" x14ac:dyDescent="0.25">
      <c r="A52">
        <v>2011</v>
      </c>
      <c r="B52" s="4">
        <f t="shared" ref="B52:B56" si="4">SUM(C52:E52)</f>
        <v>1814</v>
      </c>
      <c r="C52" s="5">
        <v>645</v>
      </c>
      <c r="D52" s="5">
        <v>1169</v>
      </c>
      <c r="E52">
        <v>0</v>
      </c>
      <c r="G52" s="4"/>
      <c r="H52" s="4"/>
      <c r="I52" s="4"/>
    </row>
    <row r="53" spans="1:9" x14ac:dyDescent="0.25">
      <c r="A53">
        <v>2012</v>
      </c>
      <c r="B53" s="4">
        <f t="shared" si="4"/>
        <v>2049</v>
      </c>
      <c r="C53" s="5">
        <v>769</v>
      </c>
      <c r="D53" s="5">
        <v>1280</v>
      </c>
      <c r="E53">
        <v>0</v>
      </c>
      <c r="G53" s="4"/>
      <c r="H53" s="4"/>
      <c r="I53" s="4"/>
    </row>
    <row r="54" spans="1:9" x14ac:dyDescent="0.25">
      <c r="A54">
        <v>2013</v>
      </c>
      <c r="B54" s="4">
        <f t="shared" si="4"/>
        <v>2042</v>
      </c>
      <c r="C54" s="5">
        <v>1155</v>
      </c>
      <c r="D54" s="5">
        <v>887</v>
      </c>
      <c r="E54">
        <v>0</v>
      </c>
    </row>
    <row r="55" spans="1:9" x14ac:dyDescent="0.25">
      <c r="A55">
        <v>2014</v>
      </c>
      <c r="B55" s="4">
        <f t="shared" si="4"/>
        <v>1946</v>
      </c>
      <c r="C55" s="5">
        <v>875</v>
      </c>
      <c r="D55" s="5">
        <v>1071</v>
      </c>
      <c r="E55">
        <v>0</v>
      </c>
    </row>
    <row r="56" spans="1:9" x14ac:dyDescent="0.25">
      <c r="A56">
        <v>2015</v>
      </c>
      <c r="B56" s="4">
        <f t="shared" si="4"/>
        <v>1962</v>
      </c>
      <c r="C56" s="5">
        <v>1087</v>
      </c>
      <c r="D56" s="5">
        <v>875</v>
      </c>
      <c r="E56">
        <v>0</v>
      </c>
    </row>
    <row r="57" spans="1:9" x14ac:dyDescent="0.25">
      <c r="A57">
        <v>2016</v>
      </c>
      <c r="B57" s="4">
        <f t="shared" ref="B57:B58" si="5">SUM(C57:E57)</f>
        <v>2186</v>
      </c>
      <c r="C57" s="5">
        <v>1252</v>
      </c>
      <c r="D57" s="5">
        <v>934</v>
      </c>
      <c r="E57" s="5">
        <v>0</v>
      </c>
    </row>
    <row r="58" spans="1:9" x14ac:dyDescent="0.25">
      <c r="A58">
        <v>2017</v>
      </c>
      <c r="B58" s="4">
        <f t="shared" si="5"/>
        <v>2439.9809999999998</v>
      </c>
      <c r="C58" s="5">
        <v>1341.99</v>
      </c>
      <c r="D58" s="5">
        <v>1097.991</v>
      </c>
      <c r="E58" s="5">
        <v>0</v>
      </c>
    </row>
    <row r="59" spans="1:9" x14ac:dyDescent="0.25">
      <c r="A59">
        <v>2018</v>
      </c>
      <c r="B59" s="4">
        <v>2445.61</v>
      </c>
      <c r="C59" s="5">
        <v>1345.0855000000001</v>
      </c>
      <c r="D59" s="5">
        <v>1100.5245</v>
      </c>
      <c r="E59" s="5">
        <v>0</v>
      </c>
    </row>
    <row r="60" spans="1:9" x14ac:dyDescent="0.25">
      <c r="A60">
        <v>2019</v>
      </c>
      <c r="B60" s="4">
        <v>3027.0529999999999</v>
      </c>
      <c r="C60" s="5">
        <v>1664.8789999999999</v>
      </c>
      <c r="D60" s="5">
        <v>1362.174</v>
      </c>
      <c r="E60" s="5">
        <v>0</v>
      </c>
    </row>
    <row r="61" spans="1:9" x14ac:dyDescent="0.25">
      <c r="A61">
        <v>2020</v>
      </c>
      <c r="B61" s="4">
        <f>SUM(C61:E61)</f>
        <v>3635</v>
      </c>
      <c r="C61" s="5">
        <v>1999.2500000000002</v>
      </c>
      <c r="D61" s="5">
        <v>1635.75</v>
      </c>
      <c r="E61" s="5">
        <v>0</v>
      </c>
    </row>
    <row r="62" spans="1:9" x14ac:dyDescent="0.25">
      <c r="C62" s="5"/>
      <c r="D62" s="5"/>
    </row>
    <row r="63" spans="1:9" ht="13" x14ac:dyDescent="0.3">
      <c r="A63" s="1" t="s">
        <v>25</v>
      </c>
      <c r="G63" s="4"/>
      <c r="H63" s="4"/>
      <c r="I63" s="4"/>
    </row>
    <row r="64" spans="1:9" x14ac:dyDescent="0.25">
      <c r="G64" s="4"/>
      <c r="H64" s="4"/>
      <c r="I64" s="4"/>
    </row>
    <row r="65" spans="1:9" ht="26" x14ac:dyDescent="0.3">
      <c r="A65" s="2"/>
      <c r="B65" s="3" t="s">
        <v>7</v>
      </c>
      <c r="C65" s="3" t="s">
        <v>8</v>
      </c>
      <c r="D65" s="3" t="s">
        <v>9</v>
      </c>
      <c r="E65" s="3" t="s">
        <v>10</v>
      </c>
      <c r="G65" s="4"/>
      <c r="H65" s="4"/>
      <c r="I65" s="4"/>
    </row>
    <row r="66" spans="1:9" x14ac:dyDescent="0.25">
      <c r="A66">
        <v>2010</v>
      </c>
      <c r="B66" s="4">
        <f>SUM(C66:E66)</f>
        <v>18748.667000000001</v>
      </c>
      <c r="C66" s="4">
        <v>6602.5659999999998</v>
      </c>
      <c r="D66" s="4">
        <v>8730.5789999999997</v>
      </c>
      <c r="E66" s="4">
        <f>3132.114+283.408</f>
        <v>3415.5219999999999</v>
      </c>
      <c r="G66" s="4"/>
      <c r="H66" s="4"/>
      <c r="I66" s="4"/>
    </row>
    <row r="67" spans="1:9" x14ac:dyDescent="0.25">
      <c r="A67">
        <v>2011</v>
      </c>
      <c r="B67" s="4">
        <f t="shared" ref="B67:B71" si="6">SUM(C67:E67)</f>
        <v>18745.786</v>
      </c>
      <c r="C67" s="4">
        <v>6004.4620000000004</v>
      </c>
      <c r="D67" s="4">
        <v>8527.8119999999999</v>
      </c>
      <c r="E67" s="4">
        <f>4088.112+125.4</f>
        <v>4213.5119999999997</v>
      </c>
      <c r="G67" s="4"/>
      <c r="H67" s="4"/>
      <c r="I67" s="4"/>
    </row>
    <row r="68" spans="1:9" x14ac:dyDescent="0.25">
      <c r="A68">
        <v>2012</v>
      </c>
      <c r="B68" s="4">
        <f t="shared" si="6"/>
        <v>17245.024999999998</v>
      </c>
      <c r="C68" s="4">
        <v>5674.5140000000001</v>
      </c>
      <c r="D68" s="4">
        <v>7235.0529999999999</v>
      </c>
      <c r="E68" s="4">
        <f>4192.642+142.816</f>
        <v>4335.4579999999996</v>
      </c>
      <c r="G68" s="4"/>
      <c r="H68" s="4"/>
      <c r="I68" s="4"/>
    </row>
    <row r="69" spans="1:9" x14ac:dyDescent="0.25">
      <c r="A69">
        <v>2013</v>
      </c>
      <c r="B69" s="4">
        <f t="shared" si="6"/>
        <v>16717.697</v>
      </c>
      <c r="C69" s="4">
        <v>5193.2110000000002</v>
      </c>
      <c r="D69" s="4">
        <v>8809.268</v>
      </c>
      <c r="E69" s="4">
        <f>2542.454+172.764</f>
        <v>2715.2180000000003</v>
      </c>
      <c r="G69" s="4"/>
      <c r="H69" s="4"/>
      <c r="I69" s="4"/>
    </row>
    <row r="70" spans="1:9" x14ac:dyDescent="0.25">
      <c r="A70">
        <v>2014</v>
      </c>
      <c r="B70" s="4">
        <f t="shared" si="6"/>
        <v>14327.252</v>
      </c>
      <c r="C70" s="4">
        <v>5236.7280000000001</v>
      </c>
      <c r="D70" s="4">
        <v>7482.0680000000002</v>
      </c>
      <c r="E70" s="4">
        <v>1608.4559999999999</v>
      </c>
      <c r="G70" s="4"/>
      <c r="H70" s="4"/>
      <c r="I70" s="4"/>
    </row>
    <row r="71" spans="1:9" x14ac:dyDescent="0.25">
      <c r="A71">
        <v>2015</v>
      </c>
      <c r="B71" s="4">
        <f t="shared" si="6"/>
        <v>14545.069</v>
      </c>
      <c r="C71" s="4">
        <v>5120.6899999999996</v>
      </c>
      <c r="D71" s="4">
        <v>7700.3269999999993</v>
      </c>
      <c r="E71" s="4">
        <f>1490.07+233.982</f>
        <v>1724.0519999999999</v>
      </c>
      <c r="G71" s="4"/>
      <c r="H71" s="4"/>
      <c r="I71" s="4"/>
    </row>
    <row r="72" spans="1:9" x14ac:dyDescent="0.25">
      <c r="A72">
        <v>2016</v>
      </c>
      <c r="B72" s="4">
        <f t="shared" ref="B72" si="7">SUM(C72:E72)</f>
        <v>14857.934999999998</v>
      </c>
      <c r="C72" s="4">
        <v>4759.1019999999999</v>
      </c>
      <c r="D72" s="4">
        <v>9325.5849999999991</v>
      </c>
      <c r="E72" s="4">
        <v>773.24800000000005</v>
      </c>
    </row>
    <row r="73" spans="1:9" x14ac:dyDescent="0.25">
      <c r="A73">
        <v>2017</v>
      </c>
      <c r="B73" s="4">
        <f t="shared" ref="B73" si="8">SUM(C73:E73)</f>
        <v>15570.465000000002</v>
      </c>
      <c r="C73" s="4">
        <v>4929.9859999999999</v>
      </c>
      <c r="D73" s="4">
        <v>10545.325000000001</v>
      </c>
      <c r="E73" s="4">
        <v>95.153999999999996</v>
      </c>
    </row>
    <row r="74" spans="1:9" x14ac:dyDescent="0.25">
      <c r="A74">
        <v>2018</v>
      </c>
      <c r="B74" s="4">
        <v>15038.905000000002</v>
      </c>
      <c r="C74" s="4">
        <v>5168.5600000000004</v>
      </c>
      <c r="D74" s="4">
        <v>9848.4480000000003</v>
      </c>
      <c r="E74" s="4">
        <v>21.896999999999998</v>
      </c>
    </row>
    <row r="75" spans="1:9" x14ac:dyDescent="0.25">
      <c r="A75">
        <v>2019</v>
      </c>
      <c r="B75" s="4">
        <v>15782.365</v>
      </c>
      <c r="C75" s="4">
        <v>8533.2720000000008</v>
      </c>
      <c r="D75" s="4">
        <f>5183.72+1987.749</f>
        <v>7171.4690000000001</v>
      </c>
      <c r="E75" s="4">
        <v>77.623999999999995</v>
      </c>
    </row>
    <row r="76" spans="1:9" x14ac:dyDescent="0.25">
      <c r="A76">
        <v>2020</v>
      </c>
      <c r="B76" s="4">
        <f>SUM(C76:E76)</f>
        <v>15099</v>
      </c>
      <c r="C76" s="4">
        <v>9751.2999999999993</v>
      </c>
      <c r="D76" s="4">
        <v>5250.7000000000007</v>
      </c>
      <c r="E76" s="4">
        <v>97</v>
      </c>
    </row>
    <row r="77" spans="1:9" x14ac:dyDescent="0.25">
      <c r="H77" s="4"/>
      <c r="I77" s="4"/>
    </row>
    <row r="78" spans="1:9" ht="13" x14ac:dyDescent="0.3">
      <c r="A78" s="1" t="s">
        <v>26</v>
      </c>
      <c r="H78" s="4"/>
      <c r="I78" s="4"/>
    </row>
    <row r="80" spans="1:9" ht="26" x14ac:dyDescent="0.3">
      <c r="A80" s="2"/>
      <c r="B80" s="3" t="s">
        <v>7</v>
      </c>
      <c r="C80" s="3" t="s">
        <v>8</v>
      </c>
      <c r="D80" s="3" t="s">
        <v>9</v>
      </c>
      <c r="E80" s="3" t="s">
        <v>10</v>
      </c>
    </row>
    <row r="81" spans="1:5" x14ac:dyDescent="0.25">
      <c r="A81">
        <v>2010</v>
      </c>
      <c r="B81" s="4">
        <f>SUM(C81:E81)</f>
        <v>13874.833999999999</v>
      </c>
      <c r="C81" s="4">
        <v>5848.0379999999996</v>
      </c>
      <c r="D81" s="4">
        <v>8026.7960000000003</v>
      </c>
      <c r="E81" s="4">
        <v>0</v>
      </c>
    </row>
    <row r="82" spans="1:5" x14ac:dyDescent="0.25">
      <c r="A82">
        <v>2011</v>
      </c>
      <c r="B82" s="4">
        <f t="shared" ref="B82:B86" si="9">SUM(C82:E82)</f>
        <v>16299.173000000001</v>
      </c>
      <c r="C82" s="4">
        <v>6064.42</v>
      </c>
      <c r="D82" s="4">
        <v>10234.753000000001</v>
      </c>
      <c r="E82" s="4">
        <v>0</v>
      </c>
    </row>
    <row r="83" spans="1:5" x14ac:dyDescent="0.25">
      <c r="A83">
        <v>2012</v>
      </c>
      <c r="B83" s="4">
        <f t="shared" si="9"/>
        <v>16178.15</v>
      </c>
      <c r="C83" s="4">
        <v>5737.0990000000002</v>
      </c>
      <c r="D83" s="4">
        <v>10441.050999999999</v>
      </c>
      <c r="E83" s="4">
        <v>0</v>
      </c>
    </row>
    <row r="84" spans="1:5" x14ac:dyDescent="0.25">
      <c r="A84">
        <v>2013</v>
      </c>
      <c r="B84" s="4">
        <f t="shared" si="9"/>
        <v>16128.98</v>
      </c>
      <c r="C84" s="4">
        <v>5092.7539999999999</v>
      </c>
      <c r="D84" s="4">
        <v>11036.226000000001</v>
      </c>
      <c r="E84" s="4">
        <v>0</v>
      </c>
    </row>
    <row r="85" spans="1:5" x14ac:dyDescent="0.25">
      <c r="A85">
        <v>2014</v>
      </c>
      <c r="B85" s="4">
        <f t="shared" si="9"/>
        <v>15345</v>
      </c>
      <c r="C85" s="4">
        <v>5187.4269999999997</v>
      </c>
      <c r="D85" s="4">
        <v>10157.573</v>
      </c>
      <c r="E85" s="4">
        <v>0</v>
      </c>
    </row>
    <row r="86" spans="1:5" x14ac:dyDescent="0.25">
      <c r="A86">
        <v>2015</v>
      </c>
      <c r="B86" s="4">
        <f t="shared" si="9"/>
        <v>12242</v>
      </c>
      <c r="C86" s="4">
        <v>5835</v>
      </c>
      <c r="D86" s="4">
        <v>6407</v>
      </c>
      <c r="E86" s="4">
        <v>0</v>
      </c>
    </row>
    <row r="87" spans="1:5" x14ac:dyDescent="0.25">
      <c r="A87">
        <v>2016</v>
      </c>
      <c r="B87" s="4">
        <f t="shared" ref="B87:B88" si="10">SUM(C87:E87)</f>
        <v>13112</v>
      </c>
      <c r="C87" s="4">
        <v>5710</v>
      </c>
      <c r="D87" s="4">
        <v>7402</v>
      </c>
      <c r="E87" s="4">
        <v>0</v>
      </c>
    </row>
    <row r="88" spans="1:5" x14ac:dyDescent="0.25">
      <c r="A88">
        <v>2017</v>
      </c>
      <c r="B88" s="4">
        <f t="shared" si="10"/>
        <v>12301</v>
      </c>
      <c r="C88" s="4">
        <v>5771</v>
      </c>
      <c r="D88" s="4">
        <v>6530</v>
      </c>
      <c r="E88" s="4">
        <v>0</v>
      </c>
    </row>
    <row r="89" spans="1:5" x14ac:dyDescent="0.25">
      <c r="A89">
        <v>2018</v>
      </c>
      <c r="B89" s="4">
        <v>12854.655000000001</v>
      </c>
      <c r="C89" s="4">
        <v>5392.02</v>
      </c>
      <c r="D89" s="4">
        <v>6736.152</v>
      </c>
      <c r="E89" s="4">
        <v>726.48299999999995</v>
      </c>
    </row>
    <row r="90" spans="1:5" x14ac:dyDescent="0.25">
      <c r="A90">
        <v>2019</v>
      </c>
      <c r="B90" s="4">
        <v>13125.210999999999</v>
      </c>
      <c r="C90" s="4">
        <v>6080.03</v>
      </c>
      <c r="D90" s="4">
        <v>6364.4549999999999</v>
      </c>
      <c r="E90" s="4">
        <v>680.726</v>
      </c>
    </row>
    <row r="91" spans="1:5" x14ac:dyDescent="0.25">
      <c r="A91">
        <v>2020</v>
      </c>
      <c r="B91" s="4">
        <f>SUM(C91:E91)</f>
        <v>13767.936999999998</v>
      </c>
      <c r="C91" s="4">
        <v>6385</v>
      </c>
      <c r="D91" s="4">
        <v>7234.1369999999997</v>
      </c>
      <c r="E91" s="4">
        <v>148.80000000000001</v>
      </c>
    </row>
    <row r="92" spans="1:5" x14ac:dyDescent="0.25">
      <c r="D92" s="4"/>
    </row>
    <row r="93" spans="1:5" ht="13" x14ac:dyDescent="0.3">
      <c r="A93" s="1" t="s">
        <v>27</v>
      </c>
    </row>
    <row r="95" spans="1:5" ht="26" x14ac:dyDescent="0.3">
      <c r="A95" s="2"/>
      <c r="B95" s="3" t="s">
        <v>7</v>
      </c>
      <c r="C95" s="3" t="s">
        <v>8</v>
      </c>
      <c r="D95" s="3" t="s">
        <v>9</v>
      </c>
      <c r="E95" s="3" t="s">
        <v>10</v>
      </c>
    </row>
    <row r="96" spans="1:5" x14ac:dyDescent="0.25">
      <c r="A96">
        <v>2010</v>
      </c>
      <c r="B96" s="4">
        <f>SUM(C96:E96)</f>
        <v>5410.0089999999991</v>
      </c>
      <c r="C96" s="5">
        <v>4440.0739999999996</v>
      </c>
      <c r="D96" s="5">
        <v>937.08400000000006</v>
      </c>
      <c r="E96" s="4">
        <f>27.227+5.624</f>
        <v>32.850999999999999</v>
      </c>
    </row>
    <row r="97" spans="1:9" x14ac:dyDescent="0.25">
      <c r="A97">
        <v>2011</v>
      </c>
      <c r="B97" s="4">
        <f t="shared" ref="B97:B101" si="11">SUM(C97:E97)</f>
        <v>5211.1789999999992</v>
      </c>
      <c r="C97" s="5">
        <v>4193.0789999999997</v>
      </c>
      <c r="D97" s="5">
        <v>983.19099999999992</v>
      </c>
      <c r="E97" s="4">
        <f>27.227+7.682</f>
        <v>34.908999999999999</v>
      </c>
    </row>
    <row r="98" spans="1:9" x14ac:dyDescent="0.25">
      <c r="A98">
        <v>2012</v>
      </c>
      <c r="B98" s="4">
        <f t="shared" si="11"/>
        <v>4610.0829999999996</v>
      </c>
      <c r="C98" s="5">
        <v>3949.2890000000002</v>
      </c>
      <c r="D98" s="5">
        <v>629.07299999999998</v>
      </c>
      <c r="E98" s="4">
        <f>22.689+9.032</f>
        <v>31.721</v>
      </c>
    </row>
    <row r="99" spans="1:9" x14ac:dyDescent="0.25">
      <c r="A99">
        <v>2013</v>
      </c>
      <c r="B99" s="4">
        <f t="shared" si="11"/>
        <v>5199.4110000000001</v>
      </c>
      <c r="C99" s="5">
        <v>4276.5360000000001</v>
      </c>
      <c r="D99" s="5">
        <v>899.43600000000004</v>
      </c>
      <c r="E99" s="4">
        <f>22.689+0.75</f>
        <v>23.439</v>
      </c>
    </row>
    <row r="100" spans="1:9" x14ac:dyDescent="0.25">
      <c r="A100">
        <v>2014</v>
      </c>
      <c r="B100" s="4">
        <f t="shared" si="11"/>
        <v>5684.2219999999998</v>
      </c>
      <c r="C100" s="5">
        <v>3726.91</v>
      </c>
      <c r="D100" s="5">
        <v>1929.13</v>
      </c>
      <c r="E100" s="4">
        <v>28.181999999999999</v>
      </c>
    </row>
    <row r="101" spans="1:9" x14ac:dyDescent="0.25">
      <c r="A101">
        <v>2015</v>
      </c>
      <c r="B101" s="4">
        <f t="shared" si="11"/>
        <v>5415.6760000000004</v>
      </c>
      <c r="C101" s="5">
        <v>3741.5880000000002</v>
      </c>
      <c r="D101" s="5">
        <v>1654.088</v>
      </c>
      <c r="E101" s="4">
        <v>20</v>
      </c>
    </row>
    <row r="102" spans="1:9" x14ac:dyDescent="0.25">
      <c r="A102">
        <v>2016</v>
      </c>
      <c r="B102" s="4">
        <f t="shared" ref="B102" si="12">SUM(C102:E102)</f>
        <v>5311.076</v>
      </c>
      <c r="C102" s="5">
        <v>3794.7840000000001</v>
      </c>
      <c r="D102" s="5">
        <v>1496.2919999999999</v>
      </c>
      <c r="E102" s="4">
        <v>20</v>
      </c>
    </row>
    <row r="103" spans="1:9" x14ac:dyDescent="0.25">
      <c r="A103">
        <v>2017</v>
      </c>
      <c r="B103" s="4">
        <f t="shared" ref="B103" si="13">SUM(C103:E103)</f>
        <v>5508.5680000000002</v>
      </c>
      <c r="C103" s="5">
        <v>3867.8310000000001</v>
      </c>
      <c r="D103" s="5">
        <v>1620.7370000000001</v>
      </c>
      <c r="E103" s="4">
        <v>20</v>
      </c>
    </row>
    <row r="104" spans="1:9" x14ac:dyDescent="0.25">
      <c r="A104">
        <v>2018</v>
      </c>
      <c r="B104" s="4">
        <v>5130.7889999999998</v>
      </c>
      <c r="C104" s="5">
        <v>3956.357</v>
      </c>
      <c r="D104" s="5">
        <v>1154.432</v>
      </c>
      <c r="E104" s="4">
        <v>20</v>
      </c>
      <c r="G104" s="4"/>
      <c r="H104" s="4"/>
      <c r="I104" s="4"/>
    </row>
    <row r="105" spans="1:9" x14ac:dyDescent="0.25">
      <c r="A105">
        <v>2019</v>
      </c>
      <c r="B105" s="4">
        <v>5726.0079999999998</v>
      </c>
      <c r="C105" s="5">
        <v>4237.3339999999998</v>
      </c>
      <c r="D105" s="5">
        <v>1468.674</v>
      </c>
      <c r="E105" s="4">
        <v>20</v>
      </c>
      <c r="G105" s="4"/>
      <c r="H105" s="4"/>
      <c r="I105" s="4"/>
    </row>
    <row r="106" spans="1:9" x14ac:dyDescent="0.25">
      <c r="A106">
        <v>2020</v>
      </c>
      <c r="B106" s="4">
        <f>SUM(C106:E106)</f>
        <v>6217.7530000000006</v>
      </c>
      <c r="C106" s="4">
        <v>4238.0820000000003</v>
      </c>
      <c r="D106" s="4">
        <v>1959.671</v>
      </c>
      <c r="E106" s="4">
        <v>20</v>
      </c>
      <c r="G106" s="4"/>
      <c r="H106" s="4"/>
      <c r="I106" s="4"/>
    </row>
    <row r="107" spans="1:9" x14ac:dyDescent="0.25">
      <c r="G107" s="4"/>
      <c r="H107" s="4"/>
      <c r="I107" s="4"/>
    </row>
    <row r="108" spans="1:9" ht="13" x14ac:dyDescent="0.3">
      <c r="A108" s="1" t="s">
        <v>28</v>
      </c>
      <c r="G108" s="4"/>
      <c r="H108" s="4"/>
      <c r="I108" s="4"/>
    </row>
    <row r="109" spans="1:9" x14ac:dyDescent="0.25">
      <c r="G109" s="4"/>
      <c r="H109" s="4"/>
      <c r="I109" s="4"/>
    </row>
    <row r="110" spans="1:9" ht="26" x14ac:dyDescent="0.3">
      <c r="A110" s="2"/>
      <c r="B110" s="3" t="s">
        <v>7</v>
      </c>
      <c r="C110" s="3" t="s">
        <v>8</v>
      </c>
      <c r="D110" s="3" t="s">
        <v>9</v>
      </c>
      <c r="E110" s="3" t="s">
        <v>10</v>
      </c>
      <c r="G110" s="4"/>
      <c r="H110" s="4"/>
      <c r="I110" s="4"/>
    </row>
    <row r="111" spans="1:9" x14ac:dyDescent="0.25">
      <c r="A111">
        <v>2010</v>
      </c>
      <c r="B111" s="4">
        <f>SUM(C111:E111)</f>
        <v>21588.206999999999</v>
      </c>
      <c r="C111" s="5">
        <v>4688.0029999999997</v>
      </c>
      <c r="D111" s="5">
        <v>16466.661999999997</v>
      </c>
      <c r="E111" s="5">
        <v>433.54199999999997</v>
      </c>
      <c r="G111" s="4"/>
      <c r="H111" s="4"/>
      <c r="I111" s="4"/>
    </row>
    <row r="112" spans="1:9" x14ac:dyDescent="0.25">
      <c r="A112">
        <v>2011</v>
      </c>
      <c r="B112" s="4">
        <f t="shared" ref="B112:B116" si="14">SUM(C112:E112)</f>
        <v>21835.495999999999</v>
      </c>
      <c r="C112" s="5">
        <v>4924.4070000000002</v>
      </c>
      <c r="D112" s="5">
        <v>16248.800999999999</v>
      </c>
      <c r="E112" s="5">
        <v>662.28800000000001</v>
      </c>
      <c r="G112" s="4"/>
      <c r="H112" s="4"/>
      <c r="I112" s="4"/>
    </row>
    <row r="113" spans="1:5" x14ac:dyDescent="0.25">
      <c r="A113">
        <v>2012</v>
      </c>
      <c r="B113" s="4">
        <f t="shared" si="14"/>
        <v>17085.879000000001</v>
      </c>
      <c r="C113" s="5">
        <v>5179.4369999999999</v>
      </c>
      <c r="D113" s="5">
        <v>11058.787</v>
      </c>
      <c r="E113" s="5">
        <v>847.65499999999997</v>
      </c>
    </row>
    <row r="114" spans="1:5" x14ac:dyDescent="0.25">
      <c r="A114">
        <v>2013</v>
      </c>
      <c r="B114" s="4">
        <f t="shared" si="14"/>
        <v>17895.181</v>
      </c>
      <c r="C114" s="5">
        <v>7566.982</v>
      </c>
      <c r="D114" s="5">
        <v>9404.6540000000023</v>
      </c>
      <c r="E114" s="5">
        <v>923.54499999999996</v>
      </c>
    </row>
    <row r="115" spans="1:5" x14ac:dyDescent="0.25">
      <c r="A115">
        <v>2014</v>
      </c>
      <c r="B115" s="4">
        <f t="shared" si="14"/>
        <v>17894.813000000002</v>
      </c>
      <c r="C115" s="5">
        <v>8046.1090000000004</v>
      </c>
      <c r="D115" s="5">
        <v>9334.473</v>
      </c>
      <c r="E115" s="5">
        <v>514.23099999999999</v>
      </c>
    </row>
    <row r="116" spans="1:5" x14ac:dyDescent="0.25">
      <c r="A116">
        <v>2015</v>
      </c>
      <c r="B116" s="4">
        <f t="shared" si="14"/>
        <v>16698.510999999999</v>
      </c>
      <c r="C116" s="5">
        <v>8107.9579999999996</v>
      </c>
      <c r="D116" s="5">
        <v>7949.8549999999996</v>
      </c>
      <c r="E116" s="5">
        <v>640.69799999999998</v>
      </c>
    </row>
    <row r="117" spans="1:5" x14ac:dyDescent="0.25">
      <c r="A117">
        <v>2016</v>
      </c>
      <c r="B117" s="4">
        <f t="shared" ref="B117:B118" si="15">SUM(C117:E117)</f>
        <v>18442.396000000001</v>
      </c>
      <c r="C117" s="5">
        <v>6475.8190000000004</v>
      </c>
      <c r="D117" s="5">
        <v>11150.12</v>
      </c>
      <c r="E117" s="5">
        <v>816.45699999999999</v>
      </c>
    </row>
    <row r="118" spans="1:5" x14ac:dyDescent="0.25">
      <c r="A118">
        <v>2017</v>
      </c>
      <c r="B118" s="4">
        <f t="shared" si="15"/>
        <v>19671.961800000001</v>
      </c>
      <c r="C118" s="5">
        <v>7460.82</v>
      </c>
      <c r="D118" s="5">
        <v>11448.209000000001</v>
      </c>
      <c r="E118" s="5">
        <v>762.93280000000004</v>
      </c>
    </row>
    <row r="119" spans="1:5" x14ac:dyDescent="0.25">
      <c r="A119">
        <v>2018</v>
      </c>
      <c r="B119" s="4">
        <v>18412.117000000002</v>
      </c>
      <c r="C119" s="4">
        <v>8215.4</v>
      </c>
      <c r="D119" s="5">
        <v>9364.8369999999995</v>
      </c>
      <c r="E119" s="4">
        <v>831.88</v>
      </c>
    </row>
    <row r="120" spans="1:5" x14ac:dyDescent="0.25">
      <c r="A120">
        <v>2019</v>
      </c>
      <c r="B120" s="4">
        <v>20400.945</v>
      </c>
      <c r="C120" s="4">
        <v>9589.4210000000003</v>
      </c>
      <c r="D120" s="5">
        <v>10175.52</v>
      </c>
      <c r="E120" s="4">
        <v>636.00400000000002</v>
      </c>
    </row>
    <row r="121" spans="1:5" x14ac:dyDescent="0.25">
      <c r="A121">
        <v>2020</v>
      </c>
      <c r="B121" s="4">
        <f>SUM(C121:E121)</f>
        <v>22150.983</v>
      </c>
      <c r="C121" s="4">
        <v>10670.1</v>
      </c>
      <c r="D121" s="5">
        <v>10971.987999999999</v>
      </c>
      <c r="E121" s="4">
        <v>508.89499999999998</v>
      </c>
    </row>
    <row r="123" spans="1:5" ht="13" x14ac:dyDescent="0.3">
      <c r="A123" s="1" t="s">
        <v>4</v>
      </c>
    </row>
    <row r="125" spans="1:5" ht="26" x14ac:dyDescent="0.3">
      <c r="A125" s="2"/>
      <c r="B125" s="3" t="s">
        <v>7</v>
      </c>
      <c r="C125" s="3" t="s">
        <v>8</v>
      </c>
      <c r="D125" s="3" t="s">
        <v>9</v>
      </c>
      <c r="E125" s="3" t="s">
        <v>10</v>
      </c>
    </row>
    <row r="126" spans="1:5" x14ac:dyDescent="0.25">
      <c r="A126">
        <v>2010</v>
      </c>
      <c r="B126" s="4">
        <f>SUM(C126:E126)</f>
        <v>9104.9320000000007</v>
      </c>
      <c r="C126" s="5">
        <v>4195.54</v>
      </c>
      <c r="D126" s="5">
        <v>4909.3919999999998</v>
      </c>
      <c r="E126" s="5">
        <v>0</v>
      </c>
    </row>
    <row r="127" spans="1:5" x14ac:dyDescent="0.25">
      <c r="A127">
        <v>2011</v>
      </c>
      <c r="B127" s="4">
        <f t="shared" ref="B127:B131" si="16">SUM(C127:E127)</f>
        <v>9545.7829999999994</v>
      </c>
      <c r="C127" s="5">
        <v>4000</v>
      </c>
      <c r="D127" s="5">
        <v>5168.2119999999995</v>
      </c>
      <c r="E127" s="4">
        <v>377.57100000000003</v>
      </c>
    </row>
    <row r="128" spans="1:5" x14ac:dyDescent="0.25">
      <c r="A128">
        <v>2012</v>
      </c>
      <c r="B128" s="4">
        <f t="shared" si="16"/>
        <v>8611.2780000000002</v>
      </c>
      <c r="C128" s="5">
        <v>4000</v>
      </c>
      <c r="D128" s="5">
        <v>3999.2879999999996</v>
      </c>
      <c r="E128" s="4">
        <v>611.99</v>
      </c>
    </row>
    <row r="129" spans="1:9" x14ac:dyDescent="0.25">
      <c r="A129">
        <v>2013</v>
      </c>
      <c r="B129" s="4">
        <f t="shared" si="16"/>
        <v>7209.2029999999995</v>
      </c>
      <c r="C129" s="5">
        <v>4000</v>
      </c>
      <c r="D129" s="5">
        <v>2755.0039999999999</v>
      </c>
      <c r="E129" s="4">
        <v>454.19900000000001</v>
      </c>
    </row>
    <row r="130" spans="1:9" x14ac:dyDescent="0.25">
      <c r="A130">
        <v>2014</v>
      </c>
      <c r="B130" s="4">
        <f t="shared" si="16"/>
        <v>6030.7840000000006</v>
      </c>
      <c r="C130" s="5">
        <v>4134.4390000000003</v>
      </c>
      <c r="D130" s="5">
        <v>1628.152</v>
      </c>
      <c r="E130" s="4">
        <f>238.327+29.866</f>
        <v>268.19299999999998</v>
      </c>
    </row>
    <row r="131" spans="1:9" x14ac:dyDescent="0.25">
      <c r="A131">
        <v>2015</v>
      </c>
      <c r="B131" s="4">
        <f t="shared" si="16"/>
        <v>5774.3530000000001</v>
      </c>
      <c r="C131" s="5">
        <v>5534.4769999999999</v>
      </c>
      <c r="D131" s="5">
        <v>0</v>
      </c>
      <c r="E131" s="4">
        <v>239.876</v>
      </c>
    </row>
    <row r="132" spans="1:9" x14ac:dyDescent="0.25">
      <c r="A132">
        <v>2016</v>
      </c>
      <c r="B132" s="4">
        <f t="shared" ref="B132" si="17">SUM(C132:E132)</f>
        <v>5700.61</v>
      </c>
      <c r="C132" s="5">
        <v>3751.8519999999999</v>
      </c>
      <c r="D132" s="5">
        <v>1915.567</v>
      </c>
      <c r="E132" s="4">
        <v>33.191000000000003</v>
      </c>
      <c r="G132" s="4"/>
      <c r="H132" s="4"/>
      <c r="I132" s="4"/>
    </row>
    <row r="133" spans="1:9" x14ac:dyDescent="0.25">
      <c r="A133">
        <v>2017</v>
      </c>
      <c r="B133" s="4">
        <f t="shared" ref="B133" si="18">SUM(C133:E133)</f>
        <v>6516.0060000000003</v>
      </c>
      <c r="C133" s="5">
        <v>3835.9250000000002</v>
      </c>
      <c r="D133" s="5">
        <v>2647.0810000000001</v>
      </c>
      <c r="E133" s="4">
        <v>33</v>
      </c>
      <c r="G133" s="4"/>
      <c r="H133" s="4"/>
      <c r="I133" s="4"/>
    </row>
    <row r="134" spans="1:9" x14ac:dyDescent="0.25">
      <c r="A134">
        <v>2018</v>
      </c>
      <c r="B134" s="4">
        <v>7024.8410000000003</v>
      </c>
      <c r="C134" s="5">
        <v>4296.84</v>
      </c>
      <c r="D134" s="5">
        <v>2686.7300000000005</v>
      </c>
      <c r="E134" s="4">
        <v>41.271000000000001</v>
      </c>
      <c r="G134" s="4"/>
      <c r="H134" s="4"/>
      <c r="I134" s="4"/>
    </row>
    <row r="135" spans="1:9" x14ac:dyDescent="0.25">
      <c r="A135">
        <v>2019</v>
      </c>
      <c r="B135" s="4">
        <v>7711.7640000000001</v>
      </c>
      <c r="C135" s="5">
        <v>4696.5240000000003</v>
      </c>
      <c r="D135" s="5">
        <v>2956.6880000000001</v>
      </c>
      <c r="E135" s="4">
        <v>58.552</v>
      </c>
      <c r="G135" s="4"/>
      <c r="H135" s="4"/>
      <c r="I135" s="4"/>
    </row>
    <row r="136" spans="1:9" x14ac:dyDescent="0.25">
      <c r="A136">
        <v>2020</v>
      </c>
      <c r="B136" s="4">
        <f t="shared" ref="B136" si="19">SUM(C136:E136)</f>
        <v>7138.0959999999995</v>
      </c>
      <c r="C136" s="5">
        <v>4603.6530000000002</v>
      </c>
      <c r="D136" s="5">
        <v>2510.2959999999994</v>
      </c>
      <c r="E136" s="4">
        <v>24.146999999999998</v>
      </c>
      <c r="G136" s="4"/>
      <c r="H136" s="4"/>
      <c r="I136" s="4"/>
    </row>
    <row r="137" spans="1:9" x14ac:dyDescent="0.25">
      <c r="G137" s="4"/>
      <c r="H137" s="4"/>
      <c r="I137" s="4"/>
    </row>
    <row r="138" spans="1:9" ht="13" x14ac:dyDescent="0.3">
      <c r="A138" s="1" t="s">
        <v>5</v>
      </c>
    </row>
    <row r="140" spans="1:9" ht="26" x14ac:dyDescent="0.3">
      <c r="A140" s="2"/>
      <c r="B140" s="3" t="s">
        <v>7</v>
      </c>
      <c r="C140" s="3" t="s">
        <v>8</v>
      </c>
      <c r="D140" s="3" t="s">
        <v>9</v>
      </c>
      <c r="E140" s="3" t="s">
        <v>10</v>
      </c>
    </row>
    <row r="141" spans="1:9" x14ac:dyDescent="0.25">
      <c r="A141">
        <v>2010</v>
      </c>
      <c r="B141" s="4">
        <f>SUM(C141:E141)</f>
        <v>22812.727999999999</v>
      </c>
      <c r="C141" s="4">
        <v>6202.4179999999997</v>
      </c>
      <c r="D141" s="4">
        <v>15463.564999999999</v>
      </c>
      <c r="E141" s="4">
        <v>1146.7450000000001</v>
      </c>
    </row>
    <row r="142" spans="1:9" x14ac:dyDescent="0.25">
      <c r="A142">
        <v>2011</v>
      </c>
      <c r="B142" s="4">
        <f t="shared" ref="B142:B146" si="20">SUM(C142:E142)</f>
        <v>28795.502000000004</v>
      </c>
      <c r="C142" s="4">
        <v>6324.4539999999997</v>
      </c>
      <c r="D142" s="4">
        <v>20804.329000000002</v>
      </c>
      <c r="E142" s="4">
        <v>1666.7189999999998</v>
      </c>
    </row>
    <row r="143" spans="1:9" x14ac:dyDescent="0.25">
      <c r="A143">
        <v>2012</v>
      </c>
      <c r="B143" s="4">
        <f t="shared" si="20"/>
        <v>34123.120999999999</v>
      </c>
      <c r="C143" s="4">
        <v>6251.08</v>
      </c>
      <c r="D143" s="4">
        <v>26228.634999999998</v>
      </c>
      <c r="E143" s="4">
        <v>1643.4059999999999</v>
      </c>
    </row>
    <row r="144" spans="1:9" x14ac:dyDescent="0.25">
      <c r="A144">
        <v>2013</v>
      </c>
      <c r="B144" s="4">
        <f t="shared" si="20"/>
        <v>32673.212000000003</v>
      </c>
      <c r="C144" s="4">
        <v>5252.8249999999998</v>
      </c>
      <c r="D144" s="4">
        <v>25872.720000000001</v>
      </c>
      <c r="E144" s="4">
        <v>1547.6669999999999</v>
      </c>
    </row>
    <row r="145" spans="1:5" x14ac:dyDescent="0.25">
      <c r="A145">
        <v>2014</v>
      </c>
      <c r="B145" s="4">
        <f t="shared" si="20"/>
        <v>31004.811000000002</v>
      </c>
      <c r="C145" s="4">
        <v>5315.2520000000004</v>
      </c>
      <c r="D145" s="4">
        <v>24082.931</v>
      </c>
      <c r="E145" s="4">
        <v>1606.6279999999999</v>
      </c>
    </row>
    <row r="146" spans="1:5" x14ac:dyDescent="0.25">
      <c r="A146">
        <v>2015</v>
      </c>
      <c r="B146" s="4">
        <f t="shared" si="20"/>
        <v>33354.17</v>
      </c>
      <c r="C146" s="4">
        <v>5157.6719999999996</v>
      </c>
      <c r="D146" s="4">
        <v>25839.84</v>
      </c>
      <c r="E146" s="4">
        <v>2356.6579999999999</v>
      </c>
    </row>
    <row r="147" spans="1:5" x14ac:dyDescent="0.25">
      <c r="A147">
        <v>2016</v>
      </c>
      <c r="B147" s="4">
        <f t="shared" ref="B147:B148" si="21">SUM(C147:E147)</f>
        <v>35012.123</v>
      </c>
      <c r="C147" s="4">
        <v>4754.2809999999999</v>
      </c>
      <c r="D147" s="4">
        <v>26795.316999999999</v>
      </c>
      <c r="E147" s="4">
        <v>3462.5250000000001</v>
      </c>
    </row>
    <row r="148" spans="1:5" x14ac:dyDescent="0.25">
      <c r="A148">
        <v>2017</v>
      </c>
      <c r="B148" s="4">
        <f t="shared" si="21"/>
        <v>38281.498000000007</v>
      </c>
      <c r="C148" s="4">
        <v>4831.8710000000001</v>
      </c>
      <c r="D148" s="4">
        <v>30454.789000000001</v>
      </c>
      <c r="E148" s="4">
        <v>2994.8380000000002</v>
      </c>
    </row>
    <row r="149" spans="1:5" x14ac:dyDescent="0.25">
      <c r="A149">
        <v>2018</v>
      </c>
      <c r="B149">
        <v>37741.898000000001</v>
      </c>
      <c r="C149" s="4">
        <v>5174.8649999999998</v>
      </c>
      <c r="D149">
        <v>29479.577000000001</v>
      </c>
      <c r="E149" s="4">
        <v>3087.4560000000001</v>
      </c>
    </row>
    <row r="150" spans="1:5" x14ac:dyDescent="0.25">
      <c r="A150">
        <v>2019</v>
      </c>
      <c r="B150" s="4">
        <v>36087.205999999998</v>
      </c>
      <c r="C150" s="4">
        <v>6514.2809999999999</v>
      </c>
      <c r="D150" s="4">
        <v>26274.04</v>
      </c>
      <c r="E150" s="4">
        <f>3298.886</f>
        <v>3298.886</v>
      </c>
    </row>
    <row r="151" spans="1:5" x14ac:dyDescent="0.25">
      <c r="A151">
        <v>2020</v>
      </c>
      <c r="B151" s="4">
        <f t="shared" ref="B151" si="22">SUM(C151:E151)</f>
        <v>41954.789000000004</v>
      </c>
      <c r="C151" s="13">
        <v>7400</v>
      </c>
      <c r="D151" s="13">
        <v>31554.789000000001</v>
      </c>
      <c r="E151">
        <v>3000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H40" sqref="H40"/>
    </sheetView>
  </sheetViews>
  <sheetFormatPr defaultRowHeight="12.5" x14ac:dyDescent="0.25"/>
  <cols>
    <col min="2" max="5" width="12.7265625" customWidth="1"/>
  </cols>
  <sheetData>
    <row r="1" spans="1:5" ht="13" x14ac:dyDescent="0.3">
      <c r="A1" s="1" t="s">
        <v>35</v>
      </c>
    </row>
    <row r="2" spans="1:5" ht="13" x14ac:dyDescent="0.3">
      <c r="A2" s="1" t="s">
        <v>36</v>
      </c>
    </row>
    <row r="4" spans="1:5" ht="13" x14ac:dyDescent="0.3">
      <c r="A4" s="1" t="s">
        <v>29</v>
      </c>
    </row>
    <row r="6" spans="1:5" ht="26" x14ac:dyDescent="0.3">
      <c r="A6" s="2"/>
      <c r="B6" s="3" t="s">
        <v>7</v>
      </c>
      <c r="C6" s="3" t="s">
        <v>8</v>
      </c>
      <c r="D6" s="3" t="s">
        <v>9</v>
      </c>
      <c r="E6" s="3" t="s">
        <v>10</v>
      </c>
    </row>
    <row r="7" spans="1:5" x14ac:dyDescent="0.25">
      <c r="A7">
        <v>2010</v>
      </c>
      <c r="B7" s="4">
        <f>SUM(C7:E7)</f>
        <v>9800</v>
      </c>
      <c r="C7" s="4">
        <f>2800+1000</f>
        <v>3800</v>
      </c>
      <c r="D7" s="5">
        <v>6000</v>
      </c>
      <c r="E7" s="5">
        <v>0</v>
      </c>
    </row>
    <row r="8" spans="1:5" x14ac:dyDescent="0.25">
      <c r="A8">
        <v>2011</v>
      </c>
      <c r="B8" s="4">
        <f t="shared" ref="B8:B12" si="0">SUM(C8:E8)</f>
        <v>9200</v>
      </c>
      <c r="C8" s="4">
        <f>2800+1000</f>
        <v>3800</v>
      </c>
      <c r="D8" s="5">
        <v>5400</v>
      </c>
      <c r="E8" s="4">
        <v>0</v>
      </c>
    </row>
    <row r="9" spans="1:5" x14ac:dyDescent="0.25">
      <c r="A9">
        <v>2012</v>
      </c>
      <c r="B9" s="4">
        <f t="shared" si="0"/>
        <v>8300</v>
      </c>
      <c r="C9" s="4">
        <f>2600+800</f>
        <v>3400</v>
      </c>
      <c r="D9" s="5">
        <v>4900</v>
      </c>
      <c r="E9" s="4">
        <v>0</v>
      </c>
    </row>
    <row r="10" spans="1:5" x14ac:dyDescent="0.25">
      <c r="A10">
        <v>2013</v>
      </c>
      <c r="B10" s="4">
        <f t="shared" si="0"/>
        <v>9400</v>
      </c>
      <c r="C10" s="4">
        <f>2400+900</f>
        <v>3300</v>
      </c>
      <c r="D10" s="5">
        <v>6100</v>
      </c>
      <c r="E10" s="4">
        <v>0</v>
      </c>
    </row>
    <row r="11" spans="1:5" x14ac:dyDescent="0.25">
      <c r="A11">
        <v>2014</v>
      </c>
      <c r="B11" s="4">
        <f t="shared" si="0"/>
        <v>9700</v>
      </c>
      <c r="C11" s="4">
        <f>2300+1000</f>
        <v>3300</v>
      </c>
      <c r="D11" s="5">
        <v>6400</v>
      </c>
      <c r="E11" s="4">
        <v>0</v>
      </c>
    </row>
    <row r="12" spans="1:5" x14ac:dyDescent="0.25">
      <c r="A12">
        <v>2015</v>
      </c>
      <c r="B12" s="4">
        <f t="shared" si="0"/>
        <v>13100</v>
      </c>
      <c r="C12" s="4">
        <f>2600+900</f>
        <v>3500</v>
      </c>
      <c r="D12" s="5">
        <v>9600</v>
      </c>
      <c r="E12" s="4">
        <v>0</v>
      </c>
    </row>
    <row r="13" spans="1:5" x14ac:dyDescent="0.25">
      <c r="A13">
        <v>2016</v>
      </c>
      <c r="B13" s="4">
        <f t="shared" ref="B13:B14" si="1">SUM(C13:E13)</f>
        <v>13490</v>
      </c>
      <c r="C13" s="4">
        <v>1100</v>
      </c>
      <c r="D13" s="5">
        <v>12390</v>
      </c>
      <c r="E13" s="4">
        <v>0</v>
      </c>
    </row>
    <row r="14" spans="1:5" x14ac:dyDescent="0.25">
      <c r="A14">
        <v>2017</v>
      </c>
      <c r="B14" s="4">
        <f t="shared" si="1"/>
        <v>13700</v>
      </c>
      <c r="C14" s="4">
        <v>1100</v>
      </c>
      <c r="D14" s="5">
        <v>12600</v>
      </c>
      <c r="E14" s="4">
        <v>0</v>
      </c>
    </row>
    <row r="15" spans="1:5" x14ac:dyDescent="0.25">
      <c r="A15">
        <v>2018</v>
      </c>
      <c r="B15" s="4">
        <v>14713</v>
      </c>
      <c r="C15" s="4">
        <v>800</v>
      </c>
      <c r="D15" s="5">
        <v>13913</v>
      </c>
      <c r="E15" s="4">
        <v>0</v>
      </c>
    </row>
    <row r="16" spans="1:5" x14ac:dyDescent="0.25">
      <c r="A16">
        <v>2019</v>
      </c>
      <c r="B16" s="4"/>
      <c r="C16" s="4"/>
      <c r="D16" s="5"/>
      <c r="E16" s="4"/>
    </row>
    <row r="18" spans="1:5" ht="13" x14ac:dyDescent="0.3">
      <c r="A18" s="1" t="s">
        <v>30</v>
      </c>
    </row>
    <row r="20" spans="1:5" ht="26" x14ac:dyDescent="0.3">
      <c r="A20" s="2"/>
      <c r="B20" s="3" t="s">
        <v>7</v>
      </c>
      <c r="C20" s="3" t="s">
        <v>8</v>
      </c>
      <c r="D20" s="3" t="s">
        <v>9</v>
      </c>
      <c r="E20" s="3" t="s">
        <v>10</v>
      </c>
    </row>
    <row r="21" spans="1:5" x14ac:dyDescent="0.25">
      <c r="A21">
        <v>2010</v>
      </c>
      <c r="B21" s="4">
        <f>SUM(C21:E21)</f>
        <v>0</v>
      </c>
      <c r="C21" s="4">
        <v>0</v>
      </c>
      <c r="D21" s="5">
        <v>0</v>
      </c>
      <c r="E21" s="5">
        <v>0</v>
      </c>
    </row>
    <row r="22" spans="1:5" x14ac:dyDescent="0.25">
      <c r="A22">
        <v>2011</v>
      </c>
      <c r="B22" s="4">
        <f t="shared" ref="B22:B26" si="2">SUM(C22:E22)</f>
        <v>0</v>
      </c>
      <c r="C22" s="4">
        <v>0</v>
      </c>
      <c r="D22" s="5">
        <v>0</v>
      </c>
      <c r="E22" s="4">
        <v>0</v>
      </c>
    </row>
    <row r="23" spans="1:5" x14ac:dyDescent="0.25">
      <c r="A23">
        <v>2012</v>
      </c>
      <c r="B23" s="4">
        <f t="shared" si="2"/>
        <v>14700</v>
      </c>
      <c r="C23" s="4">
        <v>14700</v>
      </c>
      <c r="D23" s="5">
        <v>0</v>
      </c>
      <c r="E23" s="4">
        <v>0</v>
      </c>
    </row>
    <row r="24" spans="1:5" x14ac:dyDescent="0.25">
      <c r="A24">
        <v>2013</v>
      </c>
      <c r="B24" s="4">
        <f t="shared" si="2"/>
        <v>14700</v>
      </c>
      <c r="C24" s="4">
        <v>14700</v>
      </c>
      <c r="D24" s="5">
        <v>0</v>
      </c>
      <c r="E24" s="4">
        <v>0</v>
      </c>
    </row>
    <row r="25" spans="1:5" x14ac:dyDescent="0.25">
      <c r="A25">
        <v>2014</v>
      </c>
      <c r="B25" s="4">
        <f t="shared" si="2"/>
        <v>13669</v>
      </c>
      <c r="C25" s="4">
        <v>13627</v>
      </c>
      <c r="D25" s="5">
        <v>42</v>
      </c>
      <c r="E25" s="4">
        <v>0</v>
      </c>
    </row>
    <row r="26" spans="1:5" x14ac:dyDescent="0.25">
      <c r="A26">
        <v>2015</v>
      </c>
      <c r="B26" s="4">
        <f t="shared" si="2"/>
        <v>13964</v>
      </c>
      <c r="C26" s="4">
        <f>13964-317</f>
        <v>13647</v>
      </c>
      <c r="D26" s="5">
        <v>317</v>
      </c>
      <c r="E26" s="4">
        <v>0</v>
      </c>
    </row>
    <row r="27" spans="1:5" x14ac:dyDescent="0.25">
      <c r="A27">
        <v>2016</v>
      </c>
      <c r="B27" s="4">
        <f t="shared" ref="B27:B28" si="3">SUM(C27:E27)</f>
        <v>15864.498000000001</v>
      </c>
      <c r="C27" s="4">
        <v>15669.173000000001</v>
      </c>
      <c r="D27" s="5">
        <v>195.32499999999999</v>
      </c>
      <c r="E27" s="4">
        <v>0</v>
      </c>
    </row>
    <row r="28" spans="1:5" x14ac:dyDescent="0.25">
      <c r="A28">
        <v>2017</v>
      </c>
      <c r="B28" s="4">
        <f t="shared" si="3"/>
        <v>15565.252999999999</v>
      </c>
      <c r="C28" s="4">
        <v>15505.31</v>
      </c>
      <c r="D28" s="5">
        <v>59.942999999999998</v>
      </c>
      <c r="E28" s="4">
        <v>0</v>
      </c>
    </row>
    <row r="29" spans="1:5" x14ac:dyDescent="0.25">
      <c r="A29">
        <v>2018</v>
      </c>
      <c r="B29" s="4">
        <v>16140.941000000001</v>
      </c>
      <c r="C29" s="4">
        <v>15985.436000000002</v>
      </c>
      <c r="D29" s="5">
        <v>155.505</v>
      </c>
      <c r="E29" s="4">
        <v>0</v>
      </c>
    </row>
    <row r="30" spans="1:5" x14ac:dyDescent="0.25">
      <c r="A30">
        <v>2019</v>
      </c>
      <c r="B30" s="4">
        <v>16804.332999999999</v>
      </c>
      <c r="C30" s="4">
        <f>B30-D30</f>
        <v>16669.133999999998</v>
      </c>
      <c r="D30" s="4">
        <v>135.19900000000001</v>
      </c>
      <c r="E30" s="4">
        <v>0</v>
      </c>
    </row>
    <row r="31" spans="1:5" x14ac:dyDescent="0.25">
      <c r="A31">
        <v>2020</v>
      </c>
      <c r="B31" s="4">
        <f>SUM(C31:E31)</f>
        <v>15603.956</v>
      </c>
      <c r="C31" s="4">
        <v>15442.822</v>
      </c>
      <c r="D31" s="4">
        <v>161.13399999999999</v>
      </c>
      <c r="E31" s="4">
        <v>0</v>
      </c>
    </row>
    <row r="33" spans="1:9" ht="13" x14ac:dyDescent="0.3">
      <c r="A33" s="1" t="s">
        <v>31</v>
      </c>
    </row>
    <row r="35" spans="1:9" ht="26" x14ac:dyDescent="0.3">
      <c r="A35" s="2"/>
      <c r="B35" s="3" t="s">
        <v>7</v>
      </c>
      <c r="C35" s="3" t="s">
        <v>8</v>
      </c>
      <c r="D35" s="3" t="s">
        <v>9</v>
      </c>
      <c r="E35" s="3" t="s">
        <v>10</v>
      </c>
      <c r="G35" s="4"/>
      <c r="H35" s="4"/>
      <c r="I35" s="4"/>
    </row>
    <row r="36" spans="1:9" x14ac:dyDescent="0.25">
      <c r="A36">
        <v>2010</v>
      </c>
      <c r="B36" s="4">
        <f>SUM(C36:E36)</f>
        <v>208704</v>
      </c>
      <c r="C36">
        <v>131473</v>
      </c>
      <c r="D36">
        <v>77231</v>
      </c>
      <c r="E36">
        <v>0</v>
      </c>
      <c r="G36" s="4"/>
      <c r="H36" s="4"/>
      <c r="I36" s="4"/>
    </row>
    <row r="37" spans="1:9" x14ac:dyDescent="0.25">
      <c r="A37">
        <v>2011</v>
      </c>
      <c r="B37" s="4">
        <f t="shared" ref="B37:B41" si="4">SUM(C37:E37)</f>
        <v>209895</v>
      </c>
      <c r="C37">
        <v>133009</v>
      </c>
      <c r="D37">
        <v>76886</v>
      </c>
      <c r="E37">
        <v>0</v>
      </c>
      <c r="G37" s="4"/>
      <c r="H37" s="4"/>
      <c r="I37" s="4"/>
    </row>
    <row r="38" spans="1:9" x14ac:dyDescent="0.25">
      <c r="A38">
        <v>2012</v>
      </c>
      <c r="B38" s="4">
        <f t="shared" si="4"/>
        <v>205661</v>
      </c>
      <c r="C38">
        <v>127915</v>
      </c>
      <c r="D38">
        <v>77746</v>
      </c>
      <c r="E38">
        <v>0</v>
      </c>
      <c r="G38" s="4"/>
      <c r="H38" s="5"/>
      <c r="I38" s="4"/>
    </row>
    <row r="39" spans="1:9" x14ac:dyDescent="0.25">
      <c r="A39">
        <v>2013</v>
      </c>
      <c r="B39" s="4">
        <f t="shared" si="4"/>
        <v>204212</v>
      </c>
      <c r="C39">
        <v>114547</v>
      </c>
      <c r="D39">
        <v>89665</v>
      </c>
      <c r="E39">
        <v>0</v>
      </c>
      <c r="G39" s="4"/>
      <c r="H39" s="5"/>
      <c r="I39" s="4"/>
    </row>
    <row r="40" spans="1:9" x14ac:dyDescent="0.25">
      <c r="A40">
        <v>2014</v>
      </c>
      <c r="B40" s="4">
        <f t="shared" si="4"/>
        <v>179735</v>
      </c>
      <c r="C40">
        <v>106777</v>
      </c>
      <c r="D40">
        <v>72958</v>
      </c>
      <c r="E40">
        <v>0</v>
      </c>
      <c r="G40" s="4"/>
      <c r="H40" s="5"/>
      <c r="I40" s="4"/>
    </row>
    <row r="41" spans="1:9" x14ac:dyDescent="0.25">
      <c r="A41">
        <v>2015</v>
      </c>
      <c r="B41" s="4">
        <f t="shared" si="4"/>
        <v>169181</v>
      </c>
      <c r="C41">
        <v>100613</v>
      </c>
      <c r="D41">
        <v>68568</v>
      </c>
      <c r="E41">
        <v>0</v>
      </c>
    </row>
    <row r="42" spans="1:9" x14ac:dyDescent="0.25">
      <c r="A42">
        <v>2016</v>
      </c>
      <c r="B42" s="4">
        <f t="shared" ref="B42:B43" si="5">SUM(C42:E42)</f>
        <v>183496</v>
      </c>
      <c r="C42" s="4">
        <v>98311</v>
      </c>
      <c r="D42" s="4">
        <v>85185</v>
      </c>
      <c r="E42" s="4">
        <v>0</v>
      </c>
    </row>
    <row r="43" spans="1:9" x14ac:dyDescent="0.25">
      <c r="A43">
        <v>2017</v>
      </c>
      <c r="B43" s="4">
        <f t="shared" si="5"/>
        <v>161741</v>
      </c>
      <c r="C43" s="4">
        <v>91807.91</v>
      </c>
      <c r="D43" s="4">
        <v>69933.09</v>
      </c>
      <c r="E43" s="4">
        <v>0</v>
      </c>
    </row>
    <row r="44" spans="1:9" x14ac:dyDescent="0.25">
      <c r="A44">
        <v>2018</v>
      </c>
      <c r="B44" s="4">
        <v>168468</v>
      </c>
      <c r="C44" s="4">
        <v>96257.34489731428</v>
      </c>
      <c r="D44" s="4">
        <v>72210.655102685705</v>
      </c>
      <c r="E44" s="4">
        <v>0</v>
      </c>
    </row>
    <row r="45" spans="1:9" x14ac:dyDescent="0.25">
      <c r="A45">
        <v>2019</v>
      </c>
      <c r="B45" s="12">
        <v>164716</v>
      </c>
      <c r="C45" s="12">
        <v>94113.56947376368</v>
      </c>
      <c r="D45" s="12">
        <v>70602.43052623632</v>
      </c>
      <c r="E45" s="4">
        <v>0</v>
      </c>
    </row>
    <row r="46" spans="1:9" x14ac:dyDescent="0.25">
      <c r="A46">
        <v>2020</v>
      </c>
      <c r="B46" s="4">
        <f>SUM(C46:E46)</f>
        <v>178248</v>
      </c>
      <c r="C46" s="4">
        <v>101845.33094271005</v>
      </c>
      <c r="D46" s="4">
        <v>76402.669057289953</v>
      </c>
      <c r="E46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Policy oriented organisations</vt:lpstr>
      <vt:lpstr>Government laboratories</vt:lpstr>
      <vt:lpstr>TO2-institutes</vt:lpstr>
      <vt:lpstr>Sector-oriented foundations</vt:lpstr>
      <vt:lpstr>Prof. research and training</vt:lpstr>
    </vt:vector>
  </TitlesOfParts>
  <Company>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Lionne Koens</dc:creator>
  <cp:lastModifiedBy>Bilal Demirel</cp:lastModifiedBy>
  <dcterms:created xsi:type="dcterms:W3CDTF">2016-12-22T12:42:34Z</dcterms:created>
  <dcterms:modified xsi:type="dcterms:W3CDTF">2021-12-14T15:21:43Z</dcterms:modified>
</cp:coreProperties>
</file>