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Microdata\Factsheets en datapublicaties\1 - Geld\Achterliggende bestanden\"/>
    </mc:Choice>
  </mc:AlternateContent>
  <bookViews>
    <workbookView xWindow="0" yWindow="15" windowWidth="15480" windowHeight="11640" activeTab="3"/>
  </bookViews>
  <sheets>
    <sheet name="content" sheetId="18" r:id="rId1"/>
    <sheet name="TNO-1" sheetId="9" r:id="rId2"/>
    <sheet name="TNO-2" sheetId="8" r:id="rId3"/>
    <sheet name="GTI" sheetId="14" r:id="rId4"/>
    <sheet name="WR" sheetId="10" r:id="rId5"/>
  </sheets>
  <calcPr calcId="162913"/>
</workbook>
</file>

<file path=xl/calcChain.xml><?xml version="1.0" encoding="utf-8"?>
<calcChain xmlns="http://schemas.openxmlformats.org/spreadsheetml/2006/main">
  <c r="T18" i="14" l="1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P7" i="10" l="1"/>
  <c r="P6" i="10" s="1"/>
  <c r="P4" i="10" s="1"/>
  <c r="P15" i="10" s="1"/>
  <c r="P10" i="10"/>
  <c r="P8" i="10"/>
  <c r="P11" i="10"/>
  <c r="P5" i="10"/>
  <c r="P4" i="9"/>
  <c r="P24" i="9" s="1"/>
  <c r="T14" i="14"/>
  <c r="T4" i="14"/>
  <c r="T12" i="14" s="1"/>
  <c r="P17" i="10" l="1"/>
  <c r="P16" i="10"/>
  <c r="P27" i="9"/>
  <c r="P26" i="9"/>
  <c r="P19" i="9"/>
  <c r="P25" i="9"/>
  <c r="P28" i="9"/>
  <c r="T13" i="14"/>
  <c r="T11" i="14" s="1"/>
  <c r="S4" i="14"/>
  <c r="S13" i="14" s="1"/>
  <c r="R12" i="14"/>
  <c r="R13" i="14"/>
  <c r="P18" i="9" l="1"/>
  <c r="S14" i="14"/>
  <c r="S12" i="14"/>
  <c r="S11" i="14" s="1"/>
  <c r="O17" i="10"/>
  <c r="O4" i="10"/>
  <c r="O6" i="10"/>
  <c r="O16" i="10"/>
  <c r="O15" i="10" l="1"/>
  <c r="O28" i="9"/>
  <c r="O25" i="9"/>
  <c r="O24" i="9"/>
  <c r="O4" i="9"/>
  <c r="O27" i="9" s="1"/>
  <c r="O26" i="9" l="1"/>
  <c r="O19" i="9"/>
  <c r="O18" i="9" s="1"/>
  <c r="R14" i="14"/>
  <c r="C4" i="14"/>
  <c r="D4" i="14"/>
  <c r="E4" i="14"/>
  <c r="F4" i="14"/>
  <c r="G4" i="14"/>
  <c r="H4" i="14"/>
  <c r="I4" i="14"/>
  <c r="J4" i="14"/>
  <c r="K4" i="14"/>
  <c r="L4" i="14"/>
  <c r="M4" i="14"/>
  <c r="N4" i="14"/>
  <c r="O4" i="14"/>
  <c r="P4" i="14"/>
  <c r="Q4" i="14"/>
  <c r="R4" i="14"/>
  <c r="N27" i="9"/>
  <c r="N26" i="9"/>
  <c r="N25" i="9"/>
  <c r="N24" i="9"/>
  <c r="N19" i="9"/>
  <c r="M18" i="9"/>
  <c r="L18" i="9"/>
  <c r="K18" i="9"/>
  <c r="J18" i="9"/>
  <c r="I18" i="9"/>
  <c r="H18" i="9"/>
  <c r="G18" i="9"/>
  <c r="F18" i="9"/>
  <c r="E18" i="9"/>
  <c r="D18" i="9"/>
  <c r="C18" i="9"/>
  <c r="B1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N4" i="9"/>
  <c r="M4" i="9"/>
  <c r="L4" i="9"/>
  <c r="K4" i="9"/>
  <c r="J4" i="9"/>
  <c r="I4" i="9"/>
  <c r="H4" i="9"/>
  <c r="G4" i="9"/>
  <c r="F4" i="9"/>
  <c r="E4" i="9"/>
  <c r="D4" i="9"/>
  <c r="C4" i="9"/>
  <c r="B4" i="9"/>
  <c r="R11" i="14" l="1"/>
  <c r="N18" i="9"/>
  <c r="M17" i="10"/>
  <c r="M16" i="10"/>
  <c r="M15" i="10"/>
  <c r="L17" i="10"/>
  <c r="L16" i="10"/>
  <c r="L15" i="10"/>
  <c r="N17" i="10"/>
  <c r="N16" i="10"/>
  <c r="N15" i="10"/>
  <c r="N4" i="10"/>
  <c r="N6" i="10"/>
  <c r="M24" i="9" l="1"/>
  <c r="M27" i="9" l="1"/>
  <c r="M26" i="9"/>
  <c r="M25" i="9"/>
  <c r="M19" i="9"/>
  <c r="Q12" i="14"/>
  <c r="Q13" i="14"/>
  <c r="Q14" i="14"/>
  <c r="Q11" i="14" l="1"/>
  <c r="L11" i="10"/>
  <c r="L4" i="10" s="1"/>
  <c r="L8" i="10"/>
  <c r="L7" i="10"/>
  <c r="P14" i="14"/>
  <c r="O14" i="14"/>
  <c r="N13" i="14"/>
  <c r="M12" i="14"/>
  <c r="L14" i="14"/>
  <c r="K14" i="14"/>
  <c r="J13" i="14"/>
  <c r="I12" i="14"/>
  <c r="H14" i="14"/>
  <c r="G14" i="14"/>
  <c r="F13" i="14"/>
  <c r="E12" i="14"/>
  <c r="D14" i="14"/>
  <c r="C14" i="14"/>
  <c r="B4" i="14"/>
  <c r="B13" i="14" s="1"/>
  <c r="E16" i="8"/>
  <c r="E4" i="8"/>
  <c r="L24" i="9"/>
  <c r="L25" i="9"/>
  <c r="L26" i="9"/>
  <c r="L27" i="9"/>
  <c r="K25" i="9"/>
  <c r="K26" i="9"/>
  <c r="K27" i="9"/>
  <c r="K24" i="9"/>
  <c r="C23" i="9"/>
  <c r="D23" i="9"/>
  <c r="E23" i="9"/>
  <c r="F23" i="9"/>
  <c r="G23" i="9"/>
  <c r="H23" i="9"/>
  <c r="I23" i="9"/>
  <c r="J23" i="9"/>
  <c r="C24" i="9"/>
  <c r="D24" i="9"/>
  <c r="E24" i="9"/>
  <c r="F24" i="9"/>
  <c r="G24" i="9"/>
  <c r="H24" i="9"/>
  <c r="I24" i="9"/>
  <c r="J24" i="9"/>
  <c r="C25" i="9"/>
  <c r="D25" i="9"/>
  <c r="E25" i="9"/>
  <c r="F25" i="9"/>
  <c r="G25" i="9"/>
  <c r="H25" i="9"/>
  <c r="I25" i="9"/>
  <c r="J25" i="9"/>
  <c r="C26" i="9"/>
  <c r="D26" i="9"/>
  <c r="E26" i="9"/>
  <c r="F26" i="9"/>
  <c r="G26" i="9"/>
  <c r="H26" i="9"/>
  <c r="I26" i="9"/>
  <c r="J26" i="9"/>
  <c r="C27" i="9"/>
  <c r="D27" i="9"/>
  <c r="E27" i="9"/>
  <c r="F27" i="9"/>
  <c r="G27" i="9"/>
  <c r="H27" i="9"/>
  <c r="I27" i="9"/>
  <c r="J27" i="9"/>
  <c r="B24" i="9"/>
  <c r="B25" i="9"/>
  <c r="B26" i="9"/>
  <c r="B27" i="9"/>
  <c r="B23" i="9"/>
  <c r="F21" i="9"/>
  <c r="G21" i="9"/>
  <c r="H21" i="9"/>
  <c r="I21" i="9"/>
  <c r="J21" i="9"/>
  <c r="F22" i="9"/>
  <c r="G22" i="9"/>
  <c r="H22" i="9"/>
  <c r="I22" i="9"/>
  <c r="J22" i="9"/>
  <c r="E22" i="9"/>
  <c r="E21" i="9"/>
  <c r="C20" i="9"/>
  <c r="D20" i="9"/>
  <c r="B20" i="9"/>
  <c r="L19" i="9"/>
  <c r="K19" i="9"/>
  <c r="F5" i="8" l="1"/>
  <c r="F9" i="8"/>
  <c r="F14" i="8"/>
  <c r="F6" i="8"/>
  <c r="F10" i="8"/>
  <c r="F4" i="8"/>
  <c r="F7" i="8"/>
  <c r="F11" i="8"/>
  <c r="F8" i="8"/>
  <c r="F12" i="8"/>
  <c r="F16" i="8"/>
  <c r="F12" i="14"/>
  <c r="N12" i="14"/>
  <c r="K13" i="14"/>
  <c r="G12" i="14"/>
  <c r="O12" i="14"/>
  <c r="O13" i="14"/>
  <c r="B12" i="14"/>
  <c r="J12" i="14"/>
  <c r="C13" i="14"/>
  <c r="C12" i="14"/>
  <c r="K12" i="14"/>
  <c r="K11" i="14" s="1"/>
  <c r="G13" i="14"/>
  <c r="D13" i="14"/>
  <c r="H13" i="14"/>
  <c r="L13" i="14"/>
  <c r="P13" i="14"/>
  <c r="E14" i="14"/>
  <c r="I14" i="14"/>
  <c r="M14" i="14"/>
  <c r="D12" i="14"/>
  <c r="H12" i="14"/>
  <c r="L12" i="14"/>
  <c r="P12" i="14"/>
  <c r="E13" i="14"/>
  <c r="I13" i="14"/>
  <c r="M13" i="14"/>
  <c r="B14" i="14"/>
  <c r="B11" i="14" s="1"/>
  <c r="F14" i="14"/>
  <c r="J14" i="14"/>
  <c r="N14" i="14"/>
  <c r="N11" i="14" s="1"/>
  <c r="F11" i="14" l="1"/>
  <c r="J11" i="14"/>
  <c r="G11" i="14"/>
  <c r="C11" i="14"/>
  <c r="O11" i="14"/>
  <c r="I11" i="14"/>
  <c r="M11" i="14"/>
  <c r="E11" i="14"/>
  <c r="D11" i="14"/>
  <c r="P11" i="14"/>
  <c r="L11" i="14"/>
  <c r="H11" i="14"/>
  <c r="K11" i="10" l="1"/>
  <c r="K4" i="10" s="1"/>
  <c r="K8" i="10"/>
  <c r="K7" i="10"/>
  <c r="D16" i="8"/>
  <c r="K15" i="10" l="1"/>
  <c r="K16" i="10"/>
  <c r="K17" i="10"/>
  <c r="D4" i="8"/>
  <c r="J11" i="10" l="1"/>
  <c r="J8" i="10"/>
  <c r="J7" i="10"/>
  <c r="C16" i="8"/>
  <c r="C4" i="8" s="1"/>
  <c r="B16" i="8"/>
  <c r="J4" i="10" l="1"/>
  <c r="J15" i="10" l="1"/>
  <c r="J16" i="10"/>
  <c r="J17" i="10"/>
  <c r="H16" i="10" l="1"/>
  <c r="I11" i="10"/>
  <c r="H11" i="10"/>
  <c r="G11" i="10"/>
  <c r="F11" i="10"/>
  <c r="E11" i="10"/>
  <c r="D11" i="10"/>
  <c r="C11" i="10"/>
  <c r="B11" i="10"/>
  <c r="I8" i="10"/>
  <c r="H8" i="10"/>
  <c r="G8" i="10"/>
  <c r="F8" i="10"/>
  <c r="E8" i="10"/>
  <c r="D8" i="10"/>
  <c r="C8" i="10"/>
  <c r="B8" i="10"/>
  <c r="I7" i="10"/>
  <c r="H7" i="10"/>
  <c r="G7" i="10"/>
  <c r="F7" i="10"/>
  <c r="E7" i="10"/>
  <c r="D7" i="10"/>
  <c r="C7" i="10"/>
  <c r="B7" i="10"/>
  <c r="I4" i="10"/>
  <c r="I16" i="10" s="1"/>
  <c r="H4" i="10"/>
  <c r="H15" i="10" s="1"/>
  <c r="G4" i="10"/>
  <c r="G16" i="10" s="1"/>
  <c r="F4" i="10"/>
  <c r="F15" i="10" s="1"/>
  <c r="E4" i="10"/>
  <c r="E16" i="10" s="1"/>
  <c r="D4" i="10"/>
  <c r="D15" i="10" s="1"/>
  <c r="C4" i="10"/>
  <c r="C16" i="10" s="1"/>
  <c r="B4" i="10"/>
  <c r="B15" i="10" s="1"/>
  <c r="B4" i="8"/>
  <c r="B16" i="10" l="1"/>
  <c r="F16" i="10"/>
  <c r="D16" i="10"/>
  <c r="C17" i="10"/>
  <c r="G17" i="10"/>
  <c r="I15" i="10"/>
  <c r="E15" i="10"/>
  <c r="D17" i="10"/>
  <c r="H17" i="10"/>
  <c r="E17" i="10"/>
  <c r="I17" i="10"/>
  <c r="G15" i="10"/>
  <c r="C15" i="10"/>
  <c r="B17" i="10"/>
  <c r="F17" i="10"/>
</calcChain>
</file>

<file path=xl/sharedStrings.xml><?xml version="1.0" encoding="utf-8"?>
<sst xmlns="http://schemas.openxmlformats.org/spreadsheetml/2006/main" count="137" uniqueCount="80">
  <si>
    <t>Content</t>
  </si>
  <si>
    <t>TNO-1</t>
  </si>
  <si>
    <t>TNO-2</t>
  </si>
  <si>
    <t>GTI</t>
  </si>
  <si>
    <t>DLO</t>
  </si>
  <si>
    <t>Source</t>
  </si>
  <si>
    <t>Source of funding</t>
  </si>
  <si>
    <t>Total</t>
  </si>
  <si>
    <t>Policy and applied research (other ministries)</t>
  </si>
  <si>
    <t>Public assignments (Netherlands)</t>
  </si>
  <si>
    <t>Private assignments (Netherlands)</t>
  </si>
  <si>
    <t>Private assignments (foreign)</t>
  </si>
  <si>
    <t>International assignments</t>
  </si>
  <si>
    <t>Basic funding and targeted / demand funding</t>
  </si>
  <si>
    <t>Total from assignments</t>
  </si>
  <si>
    <t>Other income</t>
  </si>
  <si>
    <t>Ministry of Agriculture, Nature and Food Quality *</t>
  </si>
  <si>
    <t>Totaal</t>
  </si>
  <si>
    <t>-</t>
  </si>
  <si>
    <t>Knowledge as an Asset across Themes</t>
  </si>
  <si>
    <t xml:space="preserve">Knowledge as an Asset </t>
  </si>
  <si>
    <t>Knowledge as an Asset within Themes</t>
  </si>
  <si>
    <t>Annual accounts TNO (consolidated financial accounts)</t>
  </si>
  <si>
    <t>Knowledge as an Asset used to be the basic funding of TNO</t>
  </si>
  <si>
    <t>Policy and applied research used to be targeted funding</t>
  </si>
  <si>
    <t>Technical Sciences</t>
  </si>
  <si>
    <t>Behavioural and Societal Sciences</t>
  </si>
  <si>
    <t>Earth, Environmental and Life Sciences</t>
  </si>
  <si>
    <t>Healty Living</t>
  </si>
  <si>
    <t>Industrial Innovation</t>
  </si>
  <si>
    <t>Defence, Safety and Security</t>
  </si>
  <si>
    <t>Energy</t>
  </si>
  <si>
    <t>Transport and Mobility</t>
  </si>
  <si>
    <t>Information Society</t>
  </si>
  <si>
    <t>Other turnover</t>
  </si>
  <si>
    <t>Income of Large Technological Institutes, by source of funding, from 2000 onwards, in M€ and in percentages of total</t>
  </si>
  <si>
    <t>- EU</t>
  </si>
  <si>
    <t>Contract research total, from …</t>
  </si>
  <si>
    <t>- the government</t>
  </si>
  <si>
    <t>- private parties</t>
  </si>
  <si>
    <t>- other</t>
  </si>
  <si>
    <t xml:space="preserve">In percentages of total </t>
  </si>
  <si>
    <t>Contract research total</t>
  </si>
  <si>
    <t>Wageningen University Research Centre Annual reports</t>
  </si>
  <si>
    <t>18 February 2014</t>
  </si>
  <si>
    <t xml:space="preserve">TNO income, by source of funding, from 2004 onwards, in M€ and in percentages of total </t>
  </si>
  <si>
    <t>in percentages of total</t>
  </si>
  <si>
    <t>Income 2011 (M€)</t>
  </si>
  <si>
    <t>Income 2012 (M€)</t>
  </si>
  <si>
    <t>TNO turnover by theme and areas of expertise, in M€ and in percentages of total</t>
  </si>
  <si>
    <t>* Since the end of 2010 part of the Ministry of Economic Affairs</t>
  </si>
  <si>
    <t xml:space="preserve">Agricultural Research Institutes of DLO income, by source of funding, from 2004 onwards, in M€ and in percentages of total  </t>
  </si>
  <si>
    <t>Program funding government</t>
  </si>
  <si>
    <t>(54)</t>
  </si>
  <si>
    <t>(23)</t>
  </si>
  <si>
    <t>(103)</t>
  </si>
  <si>
    <t>Income 2013 (M€)</t>
  </si>
  <si>
    <t>TNO annual accounts (consolidated annual account)</t>
  </si>
  <si>
    <t>Program funding government is the total of Knowledge as an asset and Policy and applied research</t>
  </si>
  <si>
    <t>19 August 2014</t>
  </si>
  <si>
    <t>2013 data for TNO and DLO</t>
  </si>
  <si>
    <t>27 August 2014</t>
  </si>
  <si>
    <t>2013 data for the Large Technological Institutes</t>
  </si>
  <si>
    <t>Income 2014 (M€)</t>
  </si>
  <si>
    <t>Ministry of Agriculture, Nature and Food Quality * / Ministry of Economic Affairs</t>
  </si>
  <si>
    <t>21 September 2015</t>
  </si>
  <si>
    <t>2014 data added</t>
  </si>
  <si>
    <t>14 October 2016</t>
  </si>
  <si>
    <t xml:space="preserve">update with 2015 data </t>
  </si>
  <si>
    <t>TNO turnover by theme and areas of expertise, 2011-2014, in M€ and in percentages of total (most recent year)</t>
  </si>
  <si>
    <t>Updates</t>
  </si>
  <si>
    <t>Information and annual reports from the Large Technological Institutes</t>
  </si>
  <si>
    <t>2014 in % of total</t>
  </si>
  <si>
    <t>Built Environment</t>
  </si>
  <si>
    <t>03 October 2017</t>
  </si>
  <si>
    <t>update with 2016 data, addition of other income category TNO</t>
  </si>
  <si>
    <t xml:space="preserve">Wageningen Research income, by source of funding, in M€ and in percentages of total </t>
  </si>
  <si>
    <r>
      <t>From 2018 onwards excluding ECN, because ECN has been split up and merged with TNO. ECN has been merged with TNO into '</t>
    </r>
    <r>
      <rPr>
        <i/>
        <sz val="11"/>
        <rFont val="Calibri"/>
        <family val="2"/>
        <scheme val="minor"/>
      </rPr>
      <t xml:space="preserve">ECN part of TNO'. </t>
    </r>
    <r>
      <rPr>
        <sz val="11"/>
        <rFont val="Calibri"/>
        <family val="2"/>
        <scheme val="minor"/>
      </rPr>
      <t xml:space="preserve">A small part has been integrated into anothe public knowledge institute, the Netherlands environmental assessment agency. </t>
    </r>
  </si>
  <si>
    <t>ECNs daughter company which was also included in the figures, NRG (which focuses on Nuclear Energy), has become independent and can no longer be classified as a Large Technological Institute.</t>
  </si>
  <si>
    <t xml:space="preserve">Income of Large Technological Institutes, excluding ECN, by source of funding, from 2000 onwards, in M€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</si>
</sst>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b/>
      <i/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2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09">
    <xf numFmtId="0" fontId="0" fillId="0" borderId="0" xfId="0"/>
    <xf numFmtId="0" fontId="6" fillId="0" borderId="0" xfId="0" applyFont="1"/>
    <xf numFmtId="0" fontId="7" fillId="0" borderId="0" xfId="0" applyFont="1"/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right" wrapText="1"/>
    </xf>
    <xf numFmtId="164" fontId="8" fillId="2" borderId="1" xfId="0" applyNumberFormat="1" applyFont="1" applyFill="1" applyBorder="1" applyAlignment="1">
      <alignment horizontal="right" wrapText="1"/>
    </xf>
    <xf numFmtId="164" fontId="7" fillId="2" borderId="1" xfId="0" applyNumberFormat="1" applyFont="1" applyFill="1" applyBorder="1" applyAlignment="1">
      <alignment wrapText="1"/>
    </xf>
    <xf numFmtId="164" fontId="7" fillId="2" borderId="1" xfId="0" applyNumberFormat="1" applyFont="1" applyFill="1" applyBorder="1" applyAlignment="1">
      <alignment horizontal="right" wrapText="1"/>
    </xf>
    <xf numFmtId="0" fontId="8" fillId="0" borderId="0" xfId="0" applyFont="1"/>
    <xf numFmtId="164" fontId="9" fillId="2" borderId="1" xfId="0" applyNumberFormat="1" applyFont="1" applyFill="1" applyBorder="1" applyAlignment="1">
      <alignment wrapText="1"/>
    </xf>
    <xf numFmtId="164" fontId="9" fillId="2" borderId="1" xfId="0" applyNumberFormat="1" applyFont="1" applyFill="1" applyBorder="1" applyAlignment="1">
      <alignment horizontal="right" wrapText="1"/>
    </xf>
    <xf numFmtId="164" fontId="7" fillId="2" borderId="0" xfId="0" applyNumberFormat="1" applyFont="1" applyFill="1" applyBorder="1" applyAlignment="1">
      <alignment wrapText="1"/>
    </xf>
    <xf numFmtId="164" fontId="7" fillId="2" borderId="0" xfId="0" applyNumberFormat="1" applyFont="1" applyFill="1" applyBorder="1" applyAlignment="1">
      <alignment horizontal="right" wrapText="1"/>
    </xf>
    <xf numFmtId="0" fontId="8" fillId="2" borderId="2" xfId="0" applyFont="1" applyFill="1" applyBorder="1" applyAlignment="1">
      <alignment wrapText="1"/>
    </xf>
    <xf numFmtId="0" fontId="8" fillId="2" borderId="2" xfId="0" applyFont="1" applyFill="1" applyBorder="1" applyAlignment="1">
      <alignment horizontal="right" wrapText="1"/>
    </xf>
    <xf numFmtId="164" fontId="7" fillId="2" borderId="2" xfId="0" applyNumberFormat="1" applyFont="1" applyFill="1" applyBorder="1" applyAlignment="1">
      <alignment wrapText="1"/>
    </xf>
    <xf numFmtId="164" fontId="7" fillId="0" borderId="0" xfId="0" applyNumberFormat="1" applyFont="1"/>
    <xf numFmtId="164" fontId="7" fillId="0" borderId="1" xfId="0" applyNumberFormat="1" applyFont="1" applyBorder="1"/>
    <xf numFmtId="164" fontId="9" fillId="0" borderId="1" xfId="0" applyNumberFormat="1" applyFont="1" applyBorder="1"/>
    <xf numFmtId="15" fontId="7" fillId="0" borderId="0" xfId="0" quotePrefix="1" applyNumberFormat="1" applyFont="1"/>
    <xf numFmtId="0" fontId="7" fillId="0" borderId="0" xfId="0" applyFont="1" applyFill="1" applyBorder="1"/>
    <xf numFmtId="0" fontId="7" fillId="0" borderId="0" xfId="0" quotePrefix="1" applyFont="1"/>
    <xf numFmtId="0" fontId="8" fillId="0" borderId="0" xfId="0" applyFont="1" applyFill="1"/>
    <xf numFmtId="0" fontId="4" fillId="0" borderId="0" xfId="0" applyFont="1" applyFill="1"/>
    <xf numFmtId="0" fontId="3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right"/>
    </xf>
    <xf numFmtId="0" fontId="3" fillId="0" borderId="0" xfId="0" applyFont="1" applyFill="1"/>
    <xf numFmtId="164" fontId="8" fillId="0" borderId="0" xfId="0" applyNumberFormat="1" applyFont="1" applyFill="1"/>
    <xf numFmtId="164" fontId="8" fillId="0" borderId="1" xfId="0" applyNumberFormat="1" applyFont="1" applyFill="1" applyBorder="1"/>
    <xf numFmtId="9" fontId="8" fillId="0" borderId="1" xfId="1" applyFont="1" applyFill="1" applyBorder="1" applyAlignment="1">
      <alignment horizontal="right" wrapText="1"/>
    </xf>
    <xf numFmtId="0" fontId="7" fillId="0" borderId="1" xfId="0" applyFont="1" applyFill="1" applyBorder="1" applyAlignment="1">
      <alignment wrapText="1"/>
    </xf>
    <xf numFmtId="164" fontId="7" fillId="0" borderId="1" xfId="0" applyNumberFormat="1" applyFont="1" applyFill="1" applyBorder="1" applyAlignment="1">
      <alignment horizontal="right" wrapText="1"/>
    </xf>
    <xf numFmtId="164" fontId="7" fillId="0" borderId="0" xfId="0" applyNumberFormat="1" applyFont="1" applyFill="1"/>
    <xf numFmtId="9" fontId="7" fillId="0" borderId="1" xfId="1" applyFont="1" applyFill="1" applyBorder="1" applyAlignment="1">
      <alignment horizontal="right" wrapText="1"/>
    </xf>
    <xf numFmtId="164" fontId="7" fillId="0" borderId="1" xfId="0" quotePrefix="1" applyNumberFormat="1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7" fillId="0" borderId="0" xfId="0" applyFont="1" applyFill="1"/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right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164" fontId="7" fillId="0" borderId="0" xfId="0" applyNumberFormat="1" applyFont="1" applyFill="1" applyBorder="1" applyAlignment="1">
      <alignment horizontal="right" wrapText="1"/>
    </xf>
    <xf numFmtId="0" fontId="9" fillId="0" borderId="0" xfId="0" applyFont="1" applyFill="1" applyBorder="1" applyAlignment="1">
      <alignment horizontal="left" wrapText="1"/>
    </xf>
    <xf numFmtId="0" fontId="14" fillId="0" borderId="0" xfId="2" applyFont="1"/>
    <xf numFmtId="0" fontId="10" fillId="0" borderId="0" xfId="0" applyFont="1" applyFill="1"/>
    <xf numFmtId="0" fontId="11" fillId="0" borderId="1" xfId="0" applyFont="1" applyFill="1" applyBorder="1" applyAlignment="1">
      <alignment wrapText="1"/>
    </xf>
    <xf numFmtId="0" fontId="11" fillId="0" borderId="0" xfId="0" applyFont="1" applyFill="1"/>
    <xf numFmtId="164" fontId="8" fillId="0" borderId="1" xfId="0" applyNumberFormat="1" applyFont="1" applyFill="1" applyBorder="1" applyAlignment="1">
      <alignment horizontal="right" wrapText="1"/>
    </xf>
    <xf numFmtId="0" fontId="10" fillId="0" borderId="1" xfId="0" applyFont="1" applyFill="1" applyBorder="1" applyAlignment="1">
      <alignment wrapText="1"/>
    </xf>
    <xf numFmtId="164" fontId="7" fillId="0" borderId="1" xfId="0" applyNumberFormat="1" applyFont="1" applyFill="1" applyBorder="1" applyAlignment="1">
      <alignment wrapText="1"/>
    </xf>
    <xf numFmtId="164" fontId="9" fillId="0" borderId="1" xfId="0" quotePrefix="1" applyNumberFormat="1" applyFont="1" applyFill="1" applyBorder="1" applyAlignment="1">
      <alignment horizontal="right" wrapText="1"/>
    </xf>
    <xf numFmtId="0" fontId="10" fillId="0" borderId="0" xfId="0" applyFont="1" applyFill="1" applyBorder="1" applyAlignment="1">
      <alignment wrapText="1"/>
    </xf>
    <xf numFmtId="0" fontId="7" fillId="0" borderId="0" xfId="0" applyFont="1" applyFill="1" applyAlignment="1">
      <alignment wrapText="1"/>
    </xf>
    <xf numFmtId="164" fontId="7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left"/>
    </xf>
    <xf numFmtId="0" fontId="9" fillId="0" borderId="1" xfId="0" quotePrefix="1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8" fillId="0" borderId="3" xfId="0" applyFont="1" applyFill="1" applyBorder="1" applyAlignment="1">
      <alignment horizontal="right" wrapText="1"/>
    </xf>
    <xf numFmtId="164" fontId="8" fillId="0" borderId="3" xfId="0" applyNumberFormat="1" applyFont="1" applyFill="1" applyBorder="1" applyAlignment="1">
      <alignment horizontal="right" wrapText="1"/>
    </xf>
    <xf numFmtId="164" fontId="7" fillId="0" borderId="3" xfId="0" applyNumberFormat="1" applyFont="1" applyFill="1" applyBorder="1" applyAlignment="1">
      <alignment horizontal="right" wrapText="1"/>
    </xf>
    <xf numFmtId="164" fontId="7" fillId="0" borderId="3" xfId="0" quotePrefix="1" applyNumberFormat="1" applyFont="1" applyFill="1" applyBorder="1" applyAlignment="1">
      <alignment horizontal="right" wrapText="1"/>
    </xf>
    <xf numFmtId="164" fontId="9" fillId="0" borderId="3" xfId="0" quotePrefix="1" applyNumberFormat="1" applyFont="1" applyFill="1" applyBorder="1" applyAlignment="1">
      <alignment horizontal="right" wrapText="1"/>
    </xf>
    <xf numFmtId="0" fontId="11" fillId="0" borderId="2" xfId="0" applyFont="1" applyFill="1" applyBorder="1"/>
    <xf numFmtId="164" fontId="11" fillId="0" borderId="2" xfId="0" applyNumberFormat="1" applyFont="1" applyFill="1" applyBorder="1"/>
    <xf numFmtId="0" fontId="10" fillId="0" borderId="2" xfId="0" applyFont="1" applyFill="1" applyBorder="1"/>
    <xf numFmtId="0" fontId="8" fillId="0" borderId="2" xfId="0" applyFont="1" applyFill="1" applyBorder="1"/>
    <xf numFmtId="164" fontId="8" fillId="0" borderId="2" xfId="0" applyNumberFormat="1" applyFont="1" applyFill="1" applyBorder="1"/>
    <xf numFmtId="164" fontId="7" fillId="0" borderId="2" xfId="0" applyNumberFormat="1" applyFont="1" applyFill="1" applyBorder="1"/>
    <xf numFmtId="164" fontId="7" fillId="0" borderId="2" xfId="0" applyNumberFormat="1" applyFont="1" applyFill="1" applyBorder="1" applyAlignment="1">
      <alignment wrapText="1"/>
    </xf>
    <xf numFmtId="0" fontId="8" fillId="2" borderId="3" xfId="0" applyFont="1" applyFill="1" applyBorder="1" applyAlignment="1">
      <alignment horizontal="right" wrapText="1"/>
    </xf>
    <xf numFmtId="164" fontId="8" fillId="2" borderId="3" xfId="0" applyNumberFormat="1" applyFont="1" applyFill="1" applyBorder="1" applyAlignment="1">
      <alignment horizontal="right" wrapText="1"/>
    </xf>
    <xf numFmtId="164" fontId="7" fillId="0" borderId="3" xfId="0" applyNumberFormat="1" applyFont="1" applyBorder="1"/>
    <xf numFmtId="164" fontId="9" fillId="0" borderId="3" xfId="0" applyNumberFormat="1" applyFont="1" applyBorder="1"/>
    <xf numFmtId="0" fontId="7" fillId="0" borderId="2" xfId="0" applyFont="1" applyBorder="1"/>
    <xf numFmtId="0" fontId="8" fillId="0" borderId="2" xfId="0" applyFont="1" applyBorder="1"/>
    <xf numFmtId="0" fontId="9" fillId="0" borderId="2" xfId="0" applyFont="1" applyBorder="1"/>
    <xf numFmtId="0" fontId="10" fillId="0" borderId="4" xfId="0" applyFont="1" applyFill="1" applyBorder="1" applyAlignment="1">
      <alignment wrapText="1"/>
    </xf>
    <xf numFmtId="164" fontId="7" fillId="0" borderId="4" xfId="0" applyNumberFormat="1" applyFont="1" applyFill="1" applyBorder="1" applyAlignment="1">
      <alignment wrapText="1"/>
    </xf>
    <xf numFmtId="164" fontId="7" fillId="0" borderId="4" xfId="0" applyNumberFormat="1" applyFont="1" applyFill="1" applyBorder="1" applyAlignment="1">
      <alignment horizontal="right" wrapText="1"/>
    </xf>
    <xf numFmtId="164" fontId="7" fillId="0" borderId="5" xfId="0" applyNumberFormat="1" applyFont="1" applyFill="1" applyBorder="1" applyAlignment="1">
      <alignment horizontal="right" wrapText="1"/>
    </xf>
    <xf numFmtId="0" fontId="10" fillId="0" borderId="6" xfId="0" applyFont="1" applyFill="1" applyBorder="1"/>
    <xf numFmtId="0" fontId="10" fillId="0" borderId="2" xfId="0" applyFont="1" applyFill="1" applyBorder="1" applyAlignment="1">
      <alignment wrapText="1"/>
    </xf>
    <xf numFmtId="164" fontId="7" fillId="0" borderId="2" xfId="0" applyNumberFormat="1" applyFont="1" applyFill="1" applyBorder="1" applyAlignment="1">
      <alignment horizontal="right" wrapText="1"/>
    </xf>
    <xf numFmtId="0" fontId="0" fillId="0" borderId="2" xfId="0" applyBorder="1"/>
    <xf numFmtId="164" fontId="7" fillId="0" borderId="6" xfId="0" applyNumberFormat="1" applyFont="1" applyFill="1" applyBorder="1"/>
    <xf numFmtId="0" fontId="7" fillId="0" borderId="3" xfId="0" applyFont="1" applyFill="1" applyBorder="1" applyAlignment="1">
      <alignment horizontal="left" wrapText="1"/>
    </xf>
    <xf numFmtId="164" fontId="8" fillId="0" borderId="3" xfId="0" applyNumberFormat="1" applyFont="1" applyFill="1" applyBorder="1"/>
    <xf numFmtId="0" fontId="0" fillId="0" borderId="7" xfId="0" applyBorder="1"/>
    <xf numFmtId="0" fontId="8" fillId="0" borderId="7" xfId="0" applyFont="1" applyBorder="1"/>
    <xf numFmtId="164" fontId="8" fillId="0" borderId="5" xfId="0" applyNumberFormat="1" applyFont="1" applyFill="1" applyBorder="1"/>
    <xf numFmtId="164" fontId="7" fillId="0" borderId="7" xfId="0" applyNumberFormat="1" applyFont="1" applyFill="1" applyBorder="1" applyAlignment="1">
      <alignment horizontal="right" wrapText="1"/>
    </xf>
    <xf numFmtId="164" fontId="10" fillId="0" borderId="2" xfId="0" applyNumberFormat="1" applyFont="1" applyFill="1" applyBorder="1"/>
    <xf numFmtId="164" fontId="8" fillId="0" borderId="2" xfId="0" applyNumberFormat="1" applyFont="1" applyBorder="1"/>
    <xf numFmtId="164" fontId="7" fillId="0" borderId="2" xfId="0" applyNumberFormat="1" applyFont="1" applyBorder="1"/>
    <xf numFmtId="0" fontId="1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wrapText="1"/>
    </xf>
    <xf numFmtId="164" fontId="8" fillId="0" borderId="7" xfId="0" applyNumberFormat="1" applyFont="1" applyFill="1" applyBorder="1" applyAlignment="1">
      <alignment horizontal="right" wrapText="1"/>
    </xf>
    <xf numFmtId="164" fontId="8" fillId="0" borderId="2" xfId="0" applyNumberFormat="1" applyFont="1" applyFill="1" applyBorder="1" applyAlignment="1">
      <alignment horizontal="right"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7"/>
  <sheetViews>
    <sheetView workbookViewId="0">
      <selection activeCell="G1" sqref="G1"/>
    </sheetView>
  </sheetViews>
  <sheetFormatPr defaultRowHeight="15"/>
  <cols>
    <col min="1" max="1" width="9.140625" style="2"/>
    <col min="2" max="2" width="14.28515625" style="2" customWidth="1"/>
    <col min="3" max="3" width="9.5703125" style="2" bestFit="1" customWidth="1"/>
    <col min="4" max="16384" width="9.140625" style="2"/>
  </cols>
  <sheetData>
    <row r="1" spans="2:5" ht="20.100000000000001" customHeight="1">
      <c r="B1" s="1" t="s">
        <v>0</v>
      </c>
    </row>
    <row r="6" spans="2:5">
      <c r="B6" s="47" t="s">
        <v>1</v>
      </c>
      <c r="C6" s="2" t="s">
        <v>45</v>
      </c>
    </row>
    <row r="7" spans="2:5">
      <c r="B7" s="47" t="s">
        <v>2</v>
      </c>
      <c r="C7" s="2" t="s">
        <v>69</v>
      </c>
    </row>
    <row r="8" spans="2:5">
      <c r="B8" s="47" t="s">
        <v>3</v>
      </c>
      <c r="C8" s="2" t="s">
        <v>35</v>
      </c>
    </row>
    <row r="9" spans="2:5">
      <c r="B9" s="47" t="s">
        <v>4</v>
      </c>
      <c r="C9" s="2" t="s">
        <v>51</v>
      </c>
    </row>
    <row r="12" spans="2:5">
      <c r="B12" s="2" t="s">
        <v>70</v>
      </c>
      <c r="C12" s="2" t="s">
        <v>44</v>
      </c>
    </row>
    <row r="13" spans="2:5">
      <c r="C13" s="19" t="s">
        <v>59</v>
      </c>
      <c r="E13" s="2" t="s">
        <v>60</v>
      </c>
    </row>
    <row r="14" spans="2:5">
      <c r="C14" s="19" t="s">
        <v>61</v>
      </c>
      <c r="E14" s="2" t="s">
        <v>62</v>
      </c>
    </row>
    <row r="15" spans="2:5">
      <c r="C15" s="21" t="s">
        <v>65</v>
      </c>
      <c r="E15" s="2" t="s">
        <v>66</v>
      </c>
    </row>
    <row r="16" spans="2:5">
      <c r="C16" s="19" t="s">
        <v>67</v>
      </c>
      <c r="E16" s="2" t="s">
        <v>68</v>
      </c>
    </row>
    <row r="17" spans="3:5">
      <c r="C17" s="2" t="s">
        <v>74</v>
      </c>
      <c r="E17" s="2" t="s">
        <v>75</v>
      </c>
    </row>
  </sheetData>
  <hyperlinks>
    <hyperlink ref="B6" location="'TNO-1'!A1" display="TNO-1"/>
    <hyperlink ref="B7" location="'TNO-2'!A1" display="TNO-2"/>
    <hyperlink ref="B8" location="'TO-2 Institutes'!A1" display="TO-2 Insitutes"/>
    <hyperlink ref="B9" location="DLO!A1" display="DLO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workbookViewId="0">
      <pane xSplit="1" topLeftCell="H1" activePane="topRight" state="frozen"/>
      <selection pane="topRight" activeCell="T21" sqref="T21"/>
    </sheetView>
  </sheetViews>
  <sheetFormatPr defaultRowHeight="15" customHeight="1"/>
  <cols>
    <col min="1" max="1" width="45.42578125" style="48" customWidth="1"/>
    <col min="2" max="9" width="8.7109375" style="48" customWidth="1"/>
    <col min="10" max="16384" width="9.140625" style="48"/>
  </cols>
  <sheetData>
    <row r="1" spans="1:16" ht="15" customHeight="1">
      <c r="A1" s="22" t="s">
        <v>45</v>
      </c>
    </row>
    <row r="2" spans="1:16" ht="15" customHeight="1">
      <c r="A2" s="103"/>
      <c r="B2" s="103"/>
      <c r="C2" s="103"/>
    </row>
    <row r="3" spans="1:16" s="50" customFormat="1" ht="15" customHeight="1">
      <c r="A3" s="49" t="s">
        <v>6</v>
      </c>
      <c r="B3" s="25">
        <v>2004</v>
      </c>
      <c r="C3" s="25">
        <v>2005</v>
      </c>
      <c r="D3" s="25">
        <v>2006</v>
      </c>
      <c r="E3" s="25">
        <v>2007</v>
      </c>
      <c r="F3" s="25">
        <v>2008</v>
      </c>
      <c r="G3" s="25">
        <v>2009</v>
      </c>
      <c r="H3" s="25">
        <v>2010</v>
      </c>
      <c r="I3" s="41">
        <v>2011</v>
      </c>
      <c r="J3" s="41">
        <v>2012</v>
      </c>
      <c r="K3" s="41">
        <v>2013</v>
      </c>
      <c r="L3" s="41">
        <v>2014</v>
      </c>
      <c r="M3" s="66">
        <v>2015</v>
      </c>
      <c r="N3" s="71">
        <v>2016</v>
      </c>
      <c r="O3" s="71">
        <v>2017</v>
      </c>
      <c r="P3" s="71">
        <v>2018</v>
      </c>
    </row>
    <row r="4" spans="1:16" s="50" customFormat="1" ht="15" customHeight="1">
      <c r="A4" s="49" t="s">
        <v>7</v>
      </c>
      <c r="B4" s="51">
        <f t="shared" ref="B4:L4" si="0">+SUM(B5:B14)</f>
        <v>565.81500000000005</v>
      </c>
      <c r="C4" s="51">
        <f t="shared" si="0"/>
        <v>566.70600000000002</v>
      </c>
      <c r="D4" s="51">
        <f t="shared" si="0"/>
        <v>578.67900000000009</v>
      </c>
      <c r="E4" s="51">
        <f t="shared" si="0"/>
        <v>592.90599999999995</v>
      </c>
      <c r="F4" s="51">
        <f t="shared" si="0"/>
        <v>611.86300000000006</v>
      </c>
      <c r="G4" s="51">
        <f t="shared" si="0"/>
        <v>586.726</v>
      </c>
      <c r="H4" s="51">
        <f t="shared" si="0"/>
        <v>581.06100000000004</v>
      </c>
      <c r="I4" s="51">
        <f t="shared" si="0"/>
        <v>598.90899999999999</v>
      </c>
      <c r="J4" s="51">
        <f t="shared" si="0"/>
        <v>606.02</v>
      </c>
      <c r="K4" s="51">
        <f t="shared" si="0"/>
        <v>579.02499999999998</v>
      </c>
      <c r="L4" s="51">
        <f t="shared" si="0"/>
        <v>540.60799999999995</v>
      </c>
      <c r="M4" s="67">
        <f>SUM(M5:M14)</f>
        <v>534.68099999999993</v>
      </c>
      <c r="N4" s="72">
        <f>SUM(N5:N14)</f>
        <v>545.30000000000007</v>
      </c>
      <c r="O4" s="71">
        <f>SUM(O5:O14)</f>
        <v>477.5</v>
      </c>
      <c r="P4" s="72">
        <f>SUM(P5:P14)</f>
        <v>504.91399999999999</v>
      </c>
    </row>
    <row r="5" spans="1:16" ht="15" customHeight="1">
      <c r="A5" s="52" t="s">
        <v>52</v>
      </c>
      <c r="B5" s="51"/>
      <c r="C5" s="51"/>
      <c r="D5" s="51"/>
      <c r="E5" s="51"/>
      <c r="F5" s="51"/>
      <c r="G5" s="51"/>
      <c r="H5" s="51"/>
      <c r="I5" s="51"/>
      <c r="J5" s="51"/>
      <c r="K5" s="33">
        <v>180.47900000000001</v>
      </c>
      <c r="L5" s="33">
        <v>171.172</v>
      </c>
      <c r="M5" s="68">
        <v>167.934</v>
      </c>
      <c r="N5" s="73">
        <v>176.3</v>
      </c>
      <c r="O5" s="73">
        <v>176.5</v>
      </c>
      <c r="P5" s="100">
        <v>216.32300000000001</v>
      </c>
    </row>
    <row r="6" spans="1:16" ht="15" customHeight="1">
      <c r="A6" s="52" t="s">
        <v>20</v>
      </c>
      <c r="B6" s="53">
        <v>69.957999999999998</v>
      </c>
      <c r="C6" s="53">
        <v>71.872</v>
      </c>
      <c r="D6" s="53">
        <v>72.808999999999997</v>
      </c>
      <c r="E6" s="36" t="s">
        <v>18</v>
      </c>
      <c r="F6" s="36" t="s">
        <v>18</v>
      </c>
      <c r="G6" s="36" t="s">
        <v>18</v>
      </c>
      <c r="H6" s="36" t="s">
        <v>18</v>
      </c>
      <c r="I6" s="36" t="s">
        <v>18</v>
      </c>
      <c r="J6" s="36"/>
      <c r="K6" s="36"/>
      <c r="L6" s="36"/>
      <c r="M6" s="69"/>
      <c r="N6" s="73"/>
      <c r="O6" s="73"/>
      <c r="P6" s="100"/>
    </row>
    <row r="7" spans="1:16" ht="15" customHeight="1">
      <c r="A7" s="52" t="s">
        <v>21</v>
      </c>
      <c r="B7" s="36" t="s">
        <v>18</v>
      </c>
      <c r="C7" s="36" t="s">
        <v>18</v>
      </c>
      <c r="D7" s="36" t="s">
        <v>18</v>
      </c>
      <c r="E7" s="53">
        <v>50.749000000000002</v>
      </c>
      <c r="F7" s="53">
        <v>47.082999999999998</v>
      </c>
      <c r="G7" s="53">
        <v>51.268999999999998</v>
      </c>
      <c r="H7" s="33">
        <v>47.027999999999999</v>
      </c>
      <c r="I7" s="33">
        <v>44.805999999999997</v>
      </c>
      <c r="J7" s="33">
        <v>49.290999999999997</v>
      </c>
      <c r="K7" s="54" t="s">
        <v>53</v>
      </c>
      <c r="L7" s="54"/>
      <c r="M7" s="70"/>
      <c r="N7" s="73"/>
      <c r="O7" s="73"/>
      <c r="P7" s="100"/>
    </row>
    <row r="8" spans="1:16" ht="15" customHeight="1">
      <c r="A8" s="52" t="s">
        <v>19</v>
      </c>
      <c r="B8" s="36" t="s">
        <v>18</v>
      </c>
      <c r="C8" s="36" t="s">
        <v>18</v>
      </c>
      <c r="D8" s="36" t="s">
        <v>18</v>
      </c>
      <c r="E8" s="53">
        <v>26.238</v>
      </c>
      <c r="F8" s="53">
        <v>27.164000000000001</v>
      </c>
      <c r="G8" s="53">
        <v>27.744</v>
      </c>
      <c r="H8" s="33">
        <v>27.260999999999999</v>
      </c>
      <c r="I8" s="33">
        <v>26.983000000000001</v>
      </c>
      <c r="J8" s="33">
        <v>23.161000000000001</v>
      </c>
      <c r="K8" s="54" t="s">
        <v>54</v>
      </c>
      <c r="L8" s="54"/>
      <c r="M8" s="70"/>
      <c r="N8" s="73"/>
      <c r="O8" s="73"/>
      <c r="P8" s="100"/>
    </row>
    <row r="9" spans="1:16" ht="15" customHeight="1">
      <c r="A9" s="52" t="s">
        <v>8</v>
      </c>
      <c r="B9" s="53">
        <v>124.557</v>
      </c>
      <c r="C9" s="53">
        <v>123.943</v>
      </c>
      <c r="D9" s="53">
        <v>122.976</v>
      </c>
      <c r="E9" s="53">
        <v>119.392</v>
      </c>
      <c r="F9" s="53">
        <v>120.46299999999999</v>
      </c>
      <c r="G9" s="53">
        <v>123.854</v>
      </c>
      <c r="H9" s="33">
        <v>120.47199999999999</v>
      </c>
      <c r="I9" s="33">
        <v>117.133</v>
      </c>
      <c r="J9" s="33">
        <v>119.81399999999999</v>
      </c>
      <c r="K9" s="54" t="s">
        <v>55</v>
      </c>
      <c r="L9" s="54"/>
      <c r="M9" s="70"/>
      <c r="N9" s="73"/>
      <c r="O9" s="73"/>
      <c r="P9" s="100"/>
    </row>
    <row r="10" spans="1:16" ht="15" customHeight="1">
      <c r="A10" s="52" t="s">
        <v>9</v>
      </c>
      <c r="B10" s="53">
        <v>87.293999999999997</v>
      </c>
      <c r="C10" s="53">
        <v>86.736999999999995</v>
      </c>
      <c r="D10" s="53">
        <v>92.563000000000002</v>
      </c>
      <c r="E10" s="53">
        <v>95.781999999999996</v>
      </c>
      <c r="F10" s="53">
        <v>94.888999999999996</v>
      </c>
      <c r="G10" s="53">
        <v>102.012</v>
      </c>
      <c r="H10" s="33">
        <v>97.4</v>
      </c>
      <c r="I10" s="33">
        <v>94.4</v>
      </c>
      <c r="J10" s="33">
        <v>99.671000000000006</v>
      </c>
      <c r="K10" s="33">
        <v>91.210999999999999</v>
      </c>
      <c r="L10" s="33">
        <v>86.882999999999996</v>
      </c>
      <c r="M10" s="68">
        <v>85.831999999999994</v>
      </c>
      <c r="N10" s="73">
        <v>88.3</v>
      </c>
      <c r="O10" s="73">
        <v>78.2</v>
      </c>
      <c r="P10" s="100">
        <v>89.307000000000002</v>
      </c>
    </row>
    <row r="11" spans="1:16" ht="15" customHeight="1">
      <c r="A11" s="52" t="s">
        <v>10</v>
      </c>
      <c r="B11" s="53">
        <v>155.869</v>
      </c>
      <c r="C11" s="53">
        <v>157.547</v>
      </c>
      <c r="D11" s="53">
        <v>159.33799999999999</v>
      </c>
      <c r="E11" s="53">
        <v>160.995</v>
      </c>
      <c r="F11" s="53">
        <v>170.17099999999999</v>
      </c>
      <c r="G11" s="53">
        <v>141.27099999999999</v>
      </c>
      <c r="H11" s="33">
        <v>144.19999999999999</v>
      </c>
      <c r="I11" s="33">
        <v>147.61500000000001</v>
      </c>
      <c r="J11" s="33">
        <v>141.59200000000001</v>
      </c>
      <c r="K11" s="33">
        <v>135.93100000000001</v>
      </c>
      <c r="L11" s="33">
        <v>116.946</v>
      </c>
      <c r="M11" s="68">
        <v>102.742</v>
      </c>
      <c r="N11" s="73">
        <v>107.4</v>
      </c>
      <c r="O11" s="73">
        <v>87.4</v>
      </c>
      <c r="P11" s="100">
        <v>83.114000000000004</v>
      </c>
    </row>
    <row r="12" spans="1:16" ht="15" customHeight="1">
      <c r="A12" s="52" t="s">
        <v>11</v>
      </c>
      <c r="B12" s="53">
        <v>94.960999999999999</v>
      </c>
      <c r="C12" s="53">
        <v>98.134</v>
      </c>
      <c r="D12" s="53">
        <v>96.921999999999997</v>
      </c>
      <c r="E12" s="53">
        <v>101.682</v>
      </c>
      <c r="F12" s="53">
        <v>113.102</v>
      </c>
      <c r="G12" s="53">
        <v>111.405</v>
      </c>
      <c r="H12" s="33">
        <v>101.7</v>
      </c>
      <c r="I12" s="33">
        <v>108.40900000000001</v>
      </c>
      <c r="J12" s="33">
        <v>110.36799999999999</v>
      </c>
      <c r="K12" s="33">
        <v>111.595</v>
      </c>
      <c r="L12" s="33">
        <v>114.107</v>
      </c>
      <c r="M12" s="68">
        <v>125.92400000000001</v>
      </c>
      <c r="N12" s="73">
        <v>123.4</v>
      </c>
      <c r="O12" s="73">
        <v>91.2</v>
      </c>
      <c r="P12" s="100">
        <v>69.33</v>
      </c>
    </row>
    <row r="13" spans="1:16" ht="15" customHeight="1">
      <c r="A13" s="85" t="s">
        <v>12</v>
      </c>
      <c r="B13" s="86">
        <v>23.175999999999998</v>
      </c>
      <c r="C13" s="86">
        <v>23.672999999999998</v>
      </c>
      <c r="D13" s="86">
        <v>24.971</v>
      </c>
      <c r="E13" s="86">
        <v>24.068000000000001</v>
      </c>
      <c r="F13" s="86">
        <v>26.791</v>
      </c>
      <c r="G13" s="86">
        <v>18.670999999999999</v>
      </c>
      <c r="H13" s="87">
        <v>25.7</v>
      </c>
      <c r="I13" s="87">
        <v>37.662999999999997</v>
      </c>
      <c r="J13" s="87">
        <v>43.122999999999998</v>
      </c>
      <c r="K13" s="87">
        <v>44.908999999999999</v>
      </c>
      <c r="L13" s="87">
        <v>37.299999999999997</v>
      </c>
      <c r="M13" s="88">
        <v>35.948999999999998</v>
      </c>
      <c r="N13" s="89">
        <v>35.200000000000003</v>
      </c>
      <c r="O13" s="73">
        <v>28.2</v>
      </c>
      <c r="P13" s="100">
        <v>24.911999999999999</v>
      </c>
    </row>
    <row r="14" spans="1:16" ht="15" customHeight="1">
      <c r="A14" s="90" t="s">
        <v>15</v>
      </c>
      <c r="B14" s="92">
        <v>10</v>
      </c>
      <c r="C14" s="92">
        <v>4.8</v>
      </c>
      <c r="D14" s="92">
        <v>9.1</v>
      </c>
      <c r="E14" s="92">
        <v>14</v>
      </c>
      <c r="F14" s="92">
        <v>12.2</v>
      </c>
      <c r="G14" s="92">
        <v>10.5</v>
      </c>
      <c r="H14" s="92">
        <v>17.3</v>
      </c>
      <c r="I14" s="92">
        <v>21.9</v>
      </c>
      <c r="J14" s="92">
        <v>19</v>
      </c>
      <c r="K14" s="92">
        <v>14.9</v>
      </c>
      <c r="L14" s="92">
        <v>14.2</v>
      </c>
      <c r="M14" s="92">
        <v>16.3</v>
      </c>
      <c r="N14" s="92">
        <v>14.7</v>
      </c>
      <c r="O14" s="73">
        <v>16</v>
      </c>
      <c r="P14" s="100">
        <v>21.928000000000001</v>
      </c>
    </row>
    <row r="15" spans="1:16" ht="15" customHeight="1">
      <c r="A15" s="55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</row>
    <row r="16" spans="1:16" s="39" customFormat="1" ht="15" customHeight="1">
      <c r="A16" s="22" t="s">
        <v>46</v>
      </c>
    </row>
    <row r="17" spans="1:19" s="39" customFormat="1" ht="15" customHeight="1">
      <c r="A17" s="25" t="s">
        <v>6</v>
      </c>
      <c r="B17" s="25">
        <v>2004</v>
      </c>
      <c r="C17" s="25">
        <v>2005</v>
      </c>
      <c r="D17" s="25">
        <v>2006</v>
      </c>
      <c r="E17" s="25">
        <v>2007</v>
      </c>
      <c r="F17" s="25">
        <v>2008</v>
      </c>
      <c r="G17" s="25">
        <v>2009</v>
      </c>
      <c r="H17" s="25">
        <v>2010</v>
      </c>
      <c r="I17" s="41">
        <v>2011</v>
      </c>
      <c r="J17" s="41">
        <v>2012</v>
      </c>
      <c r="K17" s="41">
        <v>2013</v>
      </c>
      <c r="L17" s="41">
        <v>2014</v>
      </c>
      <c r="M17" s="66">
        <v>2015</v>
      </c>
      <c r="N17" s="74">
        <v>2016</v>
      </c>
      <c r="O17" s="74">
        <v>2017</v>
      </c>
      <c r="P17" s="74">
        <v>2018</v>
      </c>
    </row>
    <row r="18" spans="1:19" s="39" customFormat="1" ht="15" customHeight="1">
      <c r="A18" s="25" t="s">
        <v>7</v>
      </c>
      <c r="B18" s="51">
        <f t="shared" ref="B18:J18" si="1">+SUM(B20:B28)</f>
        <v>99.999999999999986</v>
      </c>
      <c r="C18" s="51">
        <f t="shared" si="1"/>
        <v>100</v>
      </c>
      <c r="D18" s="51">
        <f t="shared" si="1"/>
        <v>99.999999999999986</v>
      </c>
      <c r="E18" s="51">
        <f t="shared" si="1"/>
        <v>99.21129593561669</v>
      </c>
      <c r="F18" s="51">
        <f t="shared" si="1"/>
        <v>99.999999999999986</v>
      </c>
      <c r="G18" s="51">
        <f t="shared" si="1"/>
        <v>99.999999999999986</v>
      </c>
      <c r="H18" s="51">
        <f t="shared" si="1"/>
        <v>100.00000000000001</v>
      </c>
      <c r="I18" s="51">
        <f t="shared" si="1"/>
        <v>100.00000000000001</v>
      </c>
      <c r="J18" s="51">
        <f t="shared" si="1"/>
        <v>100.00000000000001</v>
      </c>
      <c r="K18" s="51">
        <f>+SUM(K19:K28)</f>
        <v>100</v>
      </c>
      <c r="L18" s="51">
        <f>+SUM(L19:L28)</f>
        <v>100</v>
      </c>
      <c r="M18" s="67">
        <f>+SUM(M19:M28)</f>
        <v>100.00000000000003</v>
      </c>
      <c r="N18" s="75">
        <f>SUM(N19:N28)</f>
        <v>99.999999999999986</v>
      </c>
      <c r="O18" s="75">
        <f>SUM(O19:O28)</f>
        <v>100</v>
      </c>
      <c r="P18" s="75">
        <f>SUM(P19:P28)</f>
        <v>100</v>
      </c>
    </row>
    <row r="19" spans="1:19" s="39" customFormat="1" ht="15" customHeight="1">
      <c r="A19" s="52" t="s">
        <v>52</v>
      </c>
      <c r="B19" s="51"/>
      <c r="C19" s="51"/>
      <c r="D19" s="51"/>
      <c r="E19" s="51"/>
      <c r="F19" s="51"/>
      <c r="G19" s="51"/>
      <c r="H19" s="51"/>
      <c r="I19" s="51"/>
      <c r="J19" s="51"/>
      <c r="K19" s="33">
        <f>+K5/K4*100</f>
        <v>31.169465912525368</v>
      </c>
      <c r="L19" s="33">
        <f>+L5/L4*100</f>
        <v>31.662868474014445</v>
      </c>
      <c r="M19" s="68">
        <f>M5/M$4*100</f>
        <v>31.408260252374788</v>
      </c>
      <c r="N19" s="76">
        <f>N5/N4*100</f>
        <v>32.330827067669169</v>
      </c>
      <c r="O19" s="76">
        <f>O5/O4*100</f>
        <v>36.963350785340317</v>
      </c>
      <c r="P19" s="76">
        <f>P5/P4*100</f>
        <v>42.843533750302029</v>
      </c>
    </row>
    <row r="20" spans="1:19" s="39" customFormat="1" ht="15" customHeight="1">
      <c r="A20" s="52" t="s">
        <v>20</v>
      </c>
      <c r="B20" s="53">
        <f>+B6/B$4*100</f>
        <v>12.364111944716912</v>
      </c>
      <c r="C20" s="53">
        <f t="shared" ref="C20:D20" si="2">+C6/C$4*100</f>
        <v>12.682413808923851</v>
      </c>
      <c r="D20" s="53">
        <f t="shared" si="2"/>
        <v>12.581932297525913</v>
      </c>
      <c r="E20" s="36" t="s">
        <v>18</v>
      </c>
      <c r="F20" s="36" t="s">
        <v>18</v>
      </c>
      <c r="G20" s="36" t="s">
        <v>18</v>
      </c>
      <c r="H20" s="36" t="s">
        <v>18</v>
      </c>
      <c r="I20" s="36" t="s">
        <v>18</v>
      </c>
      <c r="J20" s="36"/>
      <c r="K20" s="36"/>
      <c r="L20" s="36"/>
      <c r="M20" s="68"/>
      <c r="N20" s="76"/>
      <c r="O20" s="76"/>
      <c r="P20" s="76"/>
    </row>
    <row r="21" spans="1:19" s="39" customFormat="1" ht="15" customHeight="1">
      <c r="A21" s="52" t="s">
        <v>21</v>
      </c>
      <c r="B21" s="36" t="s">
        <v>18</v>
      </c>
      <c r="C21" s="36" t="s">
        <v>18</v>
      </c>
      <c r="D21" s="36" t="s">
        <v>18</v>
      </c>
      <c r="E21" s="53">
        <f>+E7/E$4*100</f>
        <v>8.5593669148229239</v>
      </c>
      <c r="F21" s="53">
        <f t="shared" ref="F21:J21" si="3">+F7/F$4*100</f>
        <v>7.6950232323248819</v>
      </c>
      <c r="G21" s="53">
        <f t="shared" si="3"/>
        <v>8.7381503461581733</v>
      </c>
      <c r="H21" s="53">
        <f t="shared" si="3"/>
        <v>8.093470392953579</v>
      </c>
      <c r="I21" s="53">
        <f t="shared" si="3"/>
        <v>7.4812701094824092</v>
      </c>
      <c r="J21" s="53">
        <f t="shared" si="3"/>
        <v>8.1335599485165506</v>
      </c>
      <c r="K21" s="53"/>
      <c r="L21" s="53"/>
      <c r="M21" s="68"/>
      <c r="N21" s="76"/>
      <c r="O21" s="76"/>
      <c r="P21" s="76"/>
    </row>
    <row r="22" spans="1:19" s="39" customFormat="1" ht="15" customHeight="1">
      <c r="A22" s="52" t="s">
        <v>19</v>
      </c>
      <c r="B22" s="36" t="s">
        <v>18</v>
      </c>
      <c r="C22" s="36" t="s">
        <v>18</v>
      </c>
      <c r="D22" s="36" t="s">
        <v>18</v>
      </c>
      <c r="E22" s="53">
        <f>+E8/E$4*100</f>
        <v>4.4253220577966834</v>
      </c>
      <c r="F22" s="53">
        <f t="shared" ref="F22:J22" si="4">+F8/F$4*100</f>
        <v>4.4395559136604108</v>
      </c>
      <c r="G22" s="53">
        <f t="shared" si="4"/>
        <v>4.7286126743999759</v>
      </c>
      <c r="H22" s="53">
        <f t="shared" si="4"/>
        <v>4.6915900395999728</v>
      </c>
      <c r="I22" s="53">
        <f t="shared" si="4"/>
        <v>4.5053589109530829</v>
      </c>
      <c r="J22" s="53">
        <f t="shared" si="4"/>
        <v>3.8218210620111548</v>
      </c>
      <c r="K22" s="53"/>
      <c r="L22" s="53"/>
      <c r="M22" s="68"/>
      <c r="N22" s="76"/>
      <c r="O22" s="76"/>
      <c r="P22" s="76"/>
      <c r="S22" s="76"/>
    </row>
    <row r="23" spans="1:19" s="56" customFormat="1" ht="15" customHeight="1">
      <c r="A23" s="52" t="s">
        <v>8</v>
      </c>
      <c r="B23" s="53">
        <f>+B9/B$4*100</f>
        <v>22.013732403700857</v>
      </c>
      <c r="C23" s="53">
        <f t="shared" ref="C23:J23" si="5">+C9/C$4*100</f>
        <v>21.870776028487434</v>
      </c>
      <c r="D23" s="53">
        <f t="shared" si="5"/>
        <v>21.251159969516774</v>
      </c>
      <c r="E23" s="53">
        <f t="shared" si="5"/>
        <v>20.136750176250537</v>
      </c>
      <c r="F23" s="53">
        <f t="shared" si="5"/>
        <v>19.687903991579812</v>
      </c>
      <c r="G23" s="53">
        <f t="shared" si="5"/>
        <v>21.109342350603178</v>
      </c>
      <c r="H23" s="53">
        <f t="shared" si="5"/>
        <v>20.733107195285864</v>
      </c>
      <c r="I23" s="53">
        <f t="shared" si="5"/>
        <v>19.557729137481651</v>
      </c>
      <c r="J23" s="53">
        <f t="shared" si="5"/>
        <v>19.770634632520377</v>
      </c>
      <c r="K23" s="53"/>
      <c r="L23" s="53"/>
      <c r="M23" s="68"/>
      <c r="N23" s="77"/>
      <c r="O23" s="76"/>
      <c r="P23" s="76"/>
    </row>
    <row r="24" spans="1:19" s="39" customFormat="1" ht="15" customHeight="1">
      <c r="A24" s="52" t="s">
        <v>9</v>
      </c>
      <c r="B24" s="53">
        <f t="shared" ref="B24:K27" si="6">+B10/B$4*100</f>
        <v>15.428010922297922</v>
      </c>
      <c r="C24" s="53">
        <f t="shared" si="6"/>
        <v>15.305467032288345</v>
      </c>
      <c r="D24" s="53">
        <f t="shared" si="6"/>
        <v>15.995569218858813</v>
      </c>
      <c r="E24" s="53">
        <f t="shared" si="6"/>
        <v>16.154668699591504</v>
      </c>
      <c r="F24" s="53">
        <f t="shared" si="6"/>
        <v>15.508210171231141</v>
      </c>
      <c r="G24" s="53">
        <f t="shared" si="6"/>
        <v>17.386650668284684</v>
      </c>
      <c r="H24" s="53">
        <f t="shared" si="6"/>
        <v>16.762439743847892</v>
      </c>
      <c r="I24" s="53">
        <f t="shared" si="6"/>
        <v>15.76199389222737</v>
      </c>
      <c r="J24" s="53">
        <f t="shared" si="6"/>
        <v>16.446816936734763</v>
      </c>
      <c r="K24" s="53">
        <f>+K10/K$4*100</f>
        <v>15.752515003669961</v>
      </c>
      <c r="L24" s="53">
        <f>+L10/L$4*100</f>
        <v>16.071349295607909</v>
      </c>
      <c r="M24" s="68">
        <f t="shared" ref="M24:M27" si="7">M10/M$4*100</f>
        <v>16.052936236746771</v>
      </c>
      <c r="N24" s="76">
        <f>N10/N4*100</f>
        <v>16.192921327709513</v>
      </c>
      <c r="O24" s="76">
        <f>O10/O4*100</f>
        <v>16.376963350785338</v>
      </c>
      <c r="P24" s="76">
        <f>P10/P4*100</f>
        <v>17.687566595499433</v>
      </c>
    </row>
    <row r="25" spans="1:19" s="39" customFormat="1" ht="15" customHeight="1">
      <c r="A25" s="52" t="s">
        <v>10</v>
      </c>
      <c r="B25" s="53">
        <f t="shared" si="6"/>
        <v>27.547696685312335</v>
      </c>
      <c r="C25" s="53">
        <f t="shared" si="6"/>
        <v>27.80048208418474</v>
      </c>
      <c r="D25" s="53">
        <f t="shared" si="6"/>
        <v>27.534781804765679</v>
      </c>
      <c r="E25" s="53">
        <f t="shared" si="6"/>
        <v>27.15354541866671</v>
      </c>
      <c r="F25" s="53">
        <f t="shared" si="6"/>
        <v>27.811944830787283</v>
      </c>
      <c r="G25" s="53">
        <f t="shared" si="6"/>
        <v>24.077848944822623</v>
      </c>
      <c r="H25" s="53">
        <f t="shared" si="6"/>
        <v>24.81667157148733</v>
      </c>
      <c r="I25" s="53">
        <f t="shared" si="6"/>
        <v>24.647317038147701</v>
      </c>
      <c r="J25" s="53">
        <f t="shared" si="6"/>
        <v>23.364245404442098</v>
      </c>
      <c r="K25" s="53">
        <f t="shared" si="6"/>
        <v>23.475843011959764</v>
      </c>
      <c r="L25" s="53">
        <f t="shared" ref="L25" si="8">+L11/L$4*100</f>
        <v>21.632310287676098</v>
      </c>
      <c r="M25" s="68">
        <f t="shared" si="7"/>
        <v>19.215569657421906</v>
      </c>
      <c r="N25" s="76">
        <f>N11/N4*100</f>
        <v>19.69558041445076</v>
      </c>
      <c r="O25" s="76">
        <f>O11/O4*100</f>
        <v>18.30366492146597</v>
      </c>
      <c r="P25" s="76">
        <f>P11/P4*100</f>
        <v>16.461021084778796</v>
      </c>
    </row>
    <row r="26" spans="1:19" s="39" customFormat="1" ht="15" customHeight="1">
      <c r="A26" s="52" t="s">
        <v>11</v>
      </c>
      <c r="B26" s="53">
        <f t="shared" si="6"/>
        <v>16.783047462509828</v>
      </c>
      <c r="C26" s="53">
        <f t="shared" si="6"/>
        <v>17.316562732704437</v>
      </c>
      <c r="D26" s="53">
        <f t="shared" si="6"/>
        <v>16.748836574335684</v>
      </c>
      <c r="E26" s="53">
        <f t="shared" si="6"/>
        <v>17.149767416757463</v>
      </c>
      <c r="F26" s="53">
        <f t="shared" si="6"/>
        <v>18.484856904241635</v>
      </c>
      <c r="G26" s="53">
        <f t="shared" si="6"/>
        <v>18.9875683027512</v>
      </c>
      <c r="H26" s="53">
        <f t="shared" si="6"/>
        <v>17.502465317754933</v>
      </c>
      <c r="I26" s="53">
        <f t="shared" si="6"/>
        <v>18.10108046464488</v>
      </c>
      <c r="J26" s="53">
        <f t="shared" si="6"/>
        <v>18.2119401999934</v>
      </c>
      <c r="K26" s="53">
        <f t="shared" si="6"/>
        <v>19.272915677216009</v>
      </c>
      <c r="L26" s="53">
        <f t="shared" ref="L26" si="9">+L12/L$4*100</f>
        <v>21.107160826328876</v>
      </c>
      <c r="M26" s="68">
        <f t="shared" si="7"/>
        <v>23.551238963045261</v>
      </c>
      <c r="N26" s="76">
        <f>N12/N4*100</f>
        <v>22.629745094443425</v>
      </c>
      <c r="O26" s="76">
        <f>O12/O4*100</f>
        <v>19.099476439790578</v>
      </c>
      <c r="P26" s="76">
        <f>P12/P4*100</f>
        <v>13.731051228526045</v>
      </c>
    </row>
    <row r="27" spans="1:19" s="39" customFormat="1" ht="15" customHeight="1">
      <c r="A27" s="85" t="s">
        <v>12</v>
      </c>
      <c r="B27" s="86">
        <f t="shared" si="6"/>
        <v>4.0960384577998106</v>
      </c>
      <c r="C27" s="86">
        <f t="shared" si="6"/>
        <v>4.1772982816486852</v>
      </c>
      <c r="D27" s="86">
        <f t="shared" si="6"/>
        <v>4.315173006105284</v>
      </c>
      <c r="E27" s="86">
        <f t="shared" si="6"/>
        <v>4.0593281228390339</v>
      </c>
      <c r="F27" s="86">
        <f t="shared" si="6"/>
        <v>4.3785945546633798</v>
      </c>
      <c r="G27" s="86">
        <f t="shared" si="6"/>
        <v>3.182234978507855</v>
      </c>
      <c r="H27" s="86">
        <f t="shared" si="6"/>
        <v>4.4229435463746487</v>
      </c>
      <c r="I27" s="86">
        <f t="shared" si="6"/>
        <v>6.2886014402855848</v>
      </c>
      <c r="J27" s="86">
        <f t="shared" si="6"/>
        <v>7.1157717567076988</v>
      </c>
      <c r="K27" s="86">
        <f t="shared" si="6"/>
        <v>7.7559690859634722</v>
      </c>
      <c r="L27" s="86">
        <f t="shared" ref="L27" si="10">+L13/L$4*100</f>
        <v>6.8996389250621526</v>
      </c>
      <c r="M27" s="88">
        <f t="shared" si="7"/>
        <v>6.7234481868628206</v>
      </c>
      <c r="N27" s="93">
        <f>N13/N4*100</f>
        <v>6.455162295983861</v>
      </c>
      <c r="O27" s="76">
        <f>O13/O4*100</f>
        <v>5.9057591623036654</v>
      </c>
      <c r="P27" s="76">
        <f>P13/P4*100</f>
        <v>4.9339095370696793</v>
      </c>
    </row>
    <row r="28" spans="1:19" s="39" customFormat="1" ht="15" customHeight="1">
      <c r="A28" s="90" t="s">
        <v>15</v>
      </c>
      <c r="B28" s="77">
        <f>B14/B4*100</f>
        <v>1.7673621236623278</v>
      </c>
      <c r="C28" s="77">
        <f>C14/C4*100</f>
        <v>0.84700003176250116</v>
      </c>
      <c r="D28" s="77">
        <f>D14/D4*100</f>
        <v>1.572547128891838</v>
      </c>
      <c r="E28" s="77">
        <f>D14/D4*100</f>
        <v>1.572547128891838</v>
      </c>
      <c r="F28" s="77">
        <f t="shared" ref="F28:N28" si="11">F14/F4*100</f>
        <v>1.9939104015114493</v>
      </c>
      <c r="G28" s="77">
        <f t="shared" si="11"/>
        <v>1.7895917344723091</v>
      </c>
      <c r="H28" s="77">
        <f t="shared" si="11"/>
        <v>2.9773121926957753</v>
      </c>
      <c r="I28" s="77">
        <f t="shared" si="11"/>
        <v>3.656649006777323</v>
      </c>
      <c r="J28" s="77">
        <f t="shared" si="11"/>
        <v>3.1352100590739584</v>
      </c>
      <c r="K28" s="77">
        <f t="shared" si="11"/>
        <v>2.573291308665429</v>
      </c>
      <c r="L28" s="77">
        <f t="shared" si="11"/>
        <v>2.6266721913105244</v>
      </c>
      <c r="M28" s="91">
        <f t="shared" si="11"/>
        <v>3.0485467035484715</v>
      </c>
      <c r="N28" s="76">
        <f t="shared" si="11"/>
        <v>2.69576379974326</v>
      </c>
      <c r="O28" s="76">
        <f>O14/O4*100</f>
        <v>3.3507853403141366</v>
      </c>
      <c r="P28" s="76">
        <f>P14/P4*100</f>
        <v>4.3429178038240179</v>
      </c>
    </row>
    <row r="29" spans="1:19" s="39" customFormat="1" ht="15" customHeight="1">
      <c r="A29" s="55"/>
      <c r="B29" s="57"/>
      <c r="C29" s="57"/>
      <c r="D29" s="57"/>
      <c r="E29" s="57"/>
      <c r="F29" s="57"/>
      <c r="G29" s="57"/>
      <c r="H29" s="57"/>
      <c r="I29" s="57"/>
      <c r="J29" s="57"/>
    </row>
    <row r="30" spans="1:19" ht="15" customHeight="1">
      <c r="A30" s="58" t="s">
        <v>5</v>
      </c>
    </row>
    <row r="31" spans="1:19" s="39" customFormat="1" ht="15" customHeight="1">
      <c r="A31" s="59" t="s">
        <v>22</v>
      </c>
      <c r="B31" s="59"/>
      <c r="C31" s="59"/>
      <c r="D31" s="59"/>
      <c r="E31" s="59"/>
      <c r="F31" s="59"/>
      <c r="G31" s="59"/>
      <c r="H31" s="59"/>
    </row>
    <row r="32" spans="1:19" s="39" customFormat="1" ht="15" customHeight="1"/>
    <row r="33" spans="1:1" ht="15" customHeight="1">
      <c r="A33" s="39" t="s">
        <v>23</v>
      </c>
    </row>
    <row r="34" spans="1:1" ht="15" customHeight="1">
      <c r="A34" s="39" t="s">
        <v>24</v>
      </c>
    </row>
    <row r="36" spans="1:1" ht="15" customHeight="1">
      <c r="A36" s="48" t="s">
        <v>58</v>
      </c>
    </row>
  </sheetData>
  <mergeCells count="1">
    <mergeCell ref="A2:C2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workbookViewId="0"/>
  </sheetViews>
  <sheetFormatPr defaultRowHeight="15" customHeight="1"/>
  <cols>
    <col min="1" max="1" width="45.7109375" style="23" bestFit="1" customWidth="1"/>
    <col min="2" max="2" width="20.28515625" style="23" customWidth="1"/>
    <col min="3" max="5" width="20" style="23" customWidth="1"/>
    <col min="6" max="6" width="20.7109375" style="23" customWidth="1"/>
    <col min="7" max="16384" width="9.140625" style="23"/>
  </cols>
  <sheetData>
    <row r="1" spans="1:6" ht="15" customHeight="1">
      <c r="A1" s="22" t="s">
        <v>49</v>
      </c>
    </row>
    <row r="2" spans="1:6" ht="15" customHeight="1">
      <c r="A2" s="104"/>
      <c r="B2" s="104"/>
      <c r="C2" s="104"/>
      <c r="D2" s="24"/>
      <c r="E2" s="24"/>
    </row>
    <row r="3" spans="1:6" s="28" customFormat="1" ht="15" customHeight="1">
      <c r="A3" s="25"/>
      <c r="B3" s="26" t="s">
        <v>47</v>
      </c>
      <c r="C3" s="26" t="s">
        <v>48</v>
      </c>
      <c r="D3" s="26" t="s">
        <v>56</v>
      </c>
      <c r="E3" s="26" t="s">
        <v>63</v>
      </c>
      <c r="F3" s="27" t="s">
        <v>72</v>
      </c>
    </row>
    <row r="4" spans="1:6" s="28" customFormat="1" ht="15" customHeight="1">
      <c r="A4" s="25" t="s">
        <v>17</v>
      </c>
      <c r="B4" s="29">
        <f>+SUM(B5:B16)</f>
        <v>577.00900000000013</v>
      </c>
      <c r="C4" s="30">
        <f>+SUM(C5:C16)</f>
        <v>587.02</v>
      </c>
      <c r="D4" s="30">
        <f>+SUM(D5:D16)</f>
        <v>564.12499999999989</v>
      </c>
      <c r="E4" s="30">
        <f>+SUM(E5:E16)</f>
        <v>526.4079999999999</v>
      </c>
      <c r="F4" s="31">
        <f>E4/E$4</f>
        <v>1</v>
      </c>
    </row>
    <row r="5" spans="1:6" ht="15" customHeight="1">
      <c r="A5" s="32" t="s">
        <v>28</v>
      </c>
      <c r="B5" s="33">
        <v>74.790000000000006</v>
      </c>
      <c r="C5" s="33">
        <v>71.706000000000003</v>
      </c>
      <c r="D5" s="33">
        <v>66.012</v>
      </c>
      <c r="E5" s="34">
        <v>59.591000000000001</v>
      </c>
      <c r="F5" s="35">
        <f t="shared" ref="F5:F16" si="0">E5/E$4</f>
        <v>0.11320306682269268</v>
      </c>
    </row>
    <row r="6" spans="1:6" ht="15" customHeight="1">
      <c r="A6" s="32" t="s">
        <v>29</v>
      </c>
      <c r="B6" s="33">
        <v>86.48</v>
      </c>
      <c r="C6" s="33">
        <v>91.051000000000002</v>
      </c>
      <c r="D6" s="33">
        <v>94.091999999999999</v>
      </c>
      <c r="E6" s="33">
        <v>85.665999999999997</v>
      </c>
      <c r="F6" s="35">
        <f t="shared" si="0"/>
        <v>0.16273688849713533</v>
      </c>
    </row>
    <row r="7" spans="1:6" ht="15" customHeight="1">
      <c r="A7" s="32" t="s">
        <v>30</v>
      </c>
      <c r="B7" s="33">
        <v>96.781999999999996</v>
      </c>
      <c r="C7" s="33">
        <v>101.523</v>
      </c>
      <c r="D7" s="33">
        <v>94.385999999999996</v>
      </c>
      <c r="E7" s="33">
        <v>91.808999999999997</v>
      </c>
      <c r="F7" s="35">
        <f t="shared" si="0"/>
        <v>0.17440654397349586</v>
      </c>
    </row>
    <row r="8" spans="1:6" ht="15" customHeight="1">
      <c r="A8" s="32" t="s">
        <v>73</v>
      </c>
      <c r="B8" s="33">
        <v>48.622</v>
      </c>
      <c r="C8" s="33">
        <v>50.654000000000003</v>
      </c>
      <c r="D8" s="33">
        <v>43.332999999999998</v>
      </c>
      <c r="E8" s="33">
        <v>45.863999999999997</v>
      </c>
      <c r="F8" s="35">
        <f t="shared" si="0"/>
        <v>8.7126335466026369E-2</v>
      </c>
    </row>
    <row r="9" spans="1:6" ht="15" customHeight="1">
      <c r="A9" s="32" t="s">
        <v>33</v>
      </c>
      <c r="B9" s="33">
        <v>47.564999999999998</v>
      </c>
      <c r="C9" s="33">
        <v>45.826000000000001</v>
      </c>
      <c r="D9" s="33">
        <v>41.932000000000002</v>
      </c>
      <c r="E9" s="33">
        <v>24.655999999999999</v>
      </c>
      <c r="F9" s="35">
        <f t="shared" si="0"/>
        <v>4.6838193948420245E-2</v>
      </c>
    </row>
    <row r="10" spans="1:6" ht="15" customHeight="1">
      <c r="A10" s="32" t="s">
        <v>31</v>
      </c>
      <c r="B10" s="33">
        <v>53.567</v>
      </c>
      <c r="C10" s="33">
        <v>57.429000000000002</v>
      </c>
      <c r="D10" s="33">
        <v>54.655000000000001</v>
      </c>
      <c r="E10" s="33">
        <v>63.476999999999997</v>
      </c>
      <c r="F10" s="35">
        <f t="shared" si="0"/>
        <v>0.12058517347760674</v>
      </c>
    </row>
    <row r="11" spans="1:6" ht="15" customHeight="1">
      <c r="A11" s="32" t="s">
        <v>32</v>
      </c>
      <c r="B11" s="33">
        <v>40.987000000000002</v>
      </c>
      <c r="C11" s="33">
        <v>37.584000000000003</v>
      </c>
      <c r="D11" s="33">
        <v>35.220999999999997</v>
      </c>
      <c r="E11" s="33">
        <v>34.798999999999999</v>
      </c>
      <c r="F11" s="35">
        <f t="shared" si="0"/>
        <v>6.6106518138022236E-2</v>
      </c>
    </row>
    <row r="12" spans="1:6" ht="15" customHeight="1">
      <c r="A12" s="32" t="s">
        <v>25</v>
      </c>
      <c r="B12" s="33">
        <v>7.7610000000000001</v>
      </c>
      <c r="C12" s="33">
        <v>11.170999999999999</v>
      </c>
      <c r="D12" s="33">
        <v>10.34</v>
      </c>
      <c r="E12" s="33">
        <v>10.57</v>
      </c>
      <c r="F12" s="35">
        <f t="shared" si="0"/>
        <v>2.0079482074740508E-2</v>
      </c>
    </row>
    <row r="13" spans="1:6" ht="15" customHeight="1">
      <c r="A13" s="32" t="s">
        <v>26</v>
      </c>
      <c r="B13" s="33">
        <v>4.26</v>
      </c>
      <c r="C13" s="33">
        <v>4.2300000000000004</v>
      </c>
      <c r="D13" s="33">
        <v>3.758</v>
      </c>
      <c r="E13" s="36" t="s">
        <v>18</v>
      </c>
      <c r="F13" s="35"/>
    </row>
    <row r="14" spans="1:6" ht="15" customHeight="1">
      <c r="A14" s="32" t="s">
        <v>27</v>
      </c>
      <c r="B14" s="33">
        <v>9.5640000000000001</v>
      </c>
      <c r="C14" s="33">
        <v>7.93</v>
      </c>
      <c r="D14" s="33">
        <v>8.0850000000000009</v>
      </c>
      <c r="E14" s="33">
        <v>11.316000000000001</v>
      </c>
      <c r="F14" s="35">
        <f t="shared" si="0"/>
        <v>2.149663378976004E-2</v>
      </c>
    </row>
    <row r="15" spans="1:6" ht="15" customHeight="1">
      <c r="A15" s="32"/>
      <c r="B15" s="33"/>
      <c r="C15" s="33"/>
      <c r="D15" s="33"/>
      <c r="E15" s="33"/>
      <c r="F15" s="35"/>
    </row>
    <row r="16" spans="1:6" ht="15" customHeight="1">
      <c r="A16" s="32" t="s">
        <v>34</v>
      </c>
      <c r="B16" s="33">
        <f>7.727+110.721-11.817</f>
        <v>106.631</v>
      </c>
      <c r="C16" s="33">
        <f>5.062+113.124-10.27</f>
        <v>107.916</v>
      </c>
      <c r="D16" s="33">
        <f>6.528+115.603-9.82</f>
        <v>112.31100000000001</v>
      </c>
      <c r="E16" s="33">
        <f>-3.229+112.882-10.993</f>
        <v>98.660000000000011</v>
      </c>
      <c r="F16" s="35">
        <f t="shared" si="0"/>
        <v>0.18742116381210017</v>
      </c>
    </row>
    <row r="18" spans="1:1" ht="15" customHeight="1">
      <c r="A18" s="37" t="s">
        <v>5</v>
      </c>
    </row>
    <row r="19" spans="1:1" ht="15" customHeight="1">
      <c r="A19" s="38" t="s">
        <v>57</v>
      </c>
    </row>
  </sheetData>
  <mergeCells count="1">
    <mergeCell ref="A2:C2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Footer>&amp;L&amp;Z&amp;F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"/>
  <sheetViews>
    <sheetView tabSelected="1" workbookViewId="0">
      <selection activeCell="R18" sqref="R18"/>
    </sheetView>
  </sheetViews>
  <sheetFormatPr defaultRowHeight="15" customHeight="1"/>
  <cols>
    <col min="1" max="1" width="41.140625" style="39" customWidth="1"/>
    <col min="2" max="13" width="8.7109375" style="39" customWidth="1"/>
    <col min="14" max="16" width="9.140625" style="39"/>
    <col min="17" max="16384" width="9.140625" style="2"/>
  </cols>
  <sheetData>
    <row r="1" spans="1:21" ht="15" customHeight="1">
      <c r="A1" s="22" t="s">
        <v>35</v>
      </c>
    </row>
    <row r="2" spans="1:21" ht="15" customHeight="1">
      <c r="A2" s="105"/>
      <c r="B2" s="105"/>
      <c r="C2" s="105"/>
    </row>
    <row r="3" spans="1:21" s="8" customFormat="1" ht="15" customHeight="1">
      <c r="A3" s="40" t="s">
        <v>6</v>
      </c>
      <c r="B3" s="41">
        <v>2000</v>
      </c>
      <c r="C3" s="41">
        <v>2001</v>
      </c>
      <c r="D3" s="41">
        <v>2002</v>
      </c>
      <c r="E3" s="41">
        <v>2003</v>
      </c>
      <c r="F3" s="41">
        <v>2004</v>
      </c>
      <c r="G3" s="41">
        <v>2005</v>
      </c>
      <c r="H3" s="41">
        <v>2006</v>
      </c>
      <c r="I3" s="41">
        <v>2007</v>
      </c>
      <c r="J3" s="41">
        <v>2008</v>
      </c>
      <c r="K3" s="41">
        <v>2009</v>
      </c>
      <c r="L3" s="41">
        <v>2010</v>
      </c>
      <c r="M3" s="41">
        <v>2011</v>
      </c>
      <c r="N3" s="41">
        <v>2012</v>
      </c>
      <c r="O3" s="41">
        <v>2013</v>
      </c>
      <c r="P3" s="41">
        <v>2014</v>
      </c>
      <c r="Q3" s="66">
        <v>2015</v>
      </c>
      <c r="R3" s="97">
        <v>2016</v>
      </c>
      <c r="S3" s="83">
        <v>2017</v>
      </c>
      <c r="T3" s="83">
        <v>2018</v>
      </c>
    </row>
    <row r="4" spans="1:21" s="8" customFormat="1" ht="15" customHeight="1">
      <c r="A4" s="40" t="s">
        <v>7</v>
      </c>
      <c r="B4" s="30">
        <f>+SUM(B5:B7)</f>
        <v>233.08842452046775</v>
      </c>
      <c r="C4" s="30">
        <f t="shared" ref="C4:S4" si="0">+SUM(C5:C7)</f>
        <v>240.10000000000002</v>
      </c>
      <c r="D4" s="30">
        <f t="shared" si="0"/>
        <v>249.39999999999998</v>
      </c>
      <c r="E4" s="30">
        <f t="shared" si="0"/>
        <v>241.70000000000002</v>
      </c>
      <c r="F4" s="30">
        <f t="shared" si="0"/>
        <v>254.59999999999997</v>
      </c>
      <c r="G4" s="30">
        <f t="shared" si="0"/>
        <v>269.20000000000005</v>
      </c>
      <c r="H4" s="30">
        <f t="shared" si="0"/>
        <v>287.20000000000005</v>
      </c>
      <c r="I4" s="30">
        <f t="shared" si="0"/>
        <v>306.59999999999997</v>
      </c>
      <c r="J4" s="30">
        <f t="shared" si="0"/>
        <v>348.99999999999994</v>
      </c>
      <c r="K4" s="30">
        <f t="shared" si="0"/>
        <v>368.2</v>
      </c>
      <c r="L4" s="30">
        <f t="shared" si="0"/>
        <v>371.2</v>
      </c>
      <c r="M4" s="30">
        <f t="shared" si="0"/>
        <v>370.6</v>
      </c>
      <c r="N4" s="30">
        <f t="shared" si="0"/>
        <v>382.4</v>
      </c>
      <c r="O4" s="30">
        <f t="shared" si="0"/>
        <v>369.8</v>
      </c>
      <c r="P4" s="30">
        <f t="shared" si="0"/>
        <v>367.2</v>
      </c>
      <c r="Q4" s="30">
        <f t="shared" si="0"/>
        <v>370.9</v>
      </c>
      <c r="R4" s="98">
        <f t="shared" si="0"/>
        <v>386.27499999999998</v>
      </c>
      <c r="S4" s="107">
        <f t="shared" si="0"/>
        <v>391.05999999999995</v>
      </c>
      <c r="T4" s="108">
        <f t="shared" ref="T4" si="1">+SUM(T5:T7)</f>
        <v>251.33500000000001</v>
      </c>
    </row>
    <row r="5" spans="1:21" ht="15" customHeight="1">
      <c r="A5" s="42" t="s">
        <v>13</v>
      </c>
      <c r="B5" s="33">
        <v>61.623353345040854</v>
      </c>
      <c r="C5" s="33">
        <v>65.2</v>
      </c>
      <c r="D5" s="33">
        <v>68.099999999999994</v>
      </c>
      <c r="E5" s="33">
        <v>68</v>
      </c>
      <c r="F5" s="33">
        <v>67.599999999999994</v>
      </c>
      <c r="G5" s="33">
        <v>71.5</v>
      </c>
      <c r="H5" s="33">
        <v>81.8</v>
      </c>
      <c r="I5" s="33">
        <v>79.599999999999994</v>
      </c>
      <c r="J5" s="33">
        <v>104.6</v>
      </c>
      <c r="K5" s="33">
        <v>130.30000000000001</v>
      </c>
      <c r="L5" s="33">
        <v>85.7</v>
      </c>
      <c r="M5" s="33">
        <v>81.8</v>
      </c>
      <c r="N5" s="33">
        <v>75.900000000000006</v>
      </c>
      <c r="O5" s="33">
        <v>75.3</v>
      </c>
      <c r="P5" s="33">
        <v>72.3</v>
      </c>
      <c r="Q5" s="68">
        <v>67.7</v>
      </c>
      <c r="R5" s="99">
        <v>65.575000000000003</v>
      </c>
      <c r="S5" s="99">
        <v>63.337000000000003</v>
      </c>
      <c r="T5" s="91">
        <v>44.357999999999997</v>
      </c>
      <c r="U5" s="8"/>
    </row>
    <row r="6" spans="1:21" ht="15" customHeight="1">
      <c r="A6" s="43" t="s">
        <v>14</v>
      </c>
      <c r="B6" s="87">
        <v>166.2650711754269</v>
      </c>
      <c r="C6" s="87">
        <v>174.1</v>
      </c>
      <c r="D6" s="87">
        <v>178.39999999999998</v>
      </c>
      <c r="E6" s="87">
        <v>170.20000000000002</v>
      </c>
      <c r="F6" s="87">
        <v>180.49999999999997</v>
      </c>
      <c r="G6" s="87">
        <v>188.1</v>
      </c>
      <c r="H6" s="87">
        <v>194.8</v>
      </c>
      <c r="I6" s="87">
        <v>211.7</v>
      </c>
      <c r="J6" s="87">
        <v>232.2</v>
      </c>
      <c r="K6" s="87">
        <v>227.2</v>
      </c>
      <c r="L6" s="87">
        <v>272.3</v>
      </c>
      <c r="M6" s="87">
        <v>273.5</v>
      </c>
      <c r="N6" s="87">
        <v>288.89999999999998</v>
      </c>
      <c r="O6" s="87">
        <v>276.3</v>
      </c>
      <c r="P6" s="87">
        <v>280.5</v>
      </c>
      <c r="Q6" s="88">
        <v>288</v>
      </c>
      <c r="R6" s="99">
        <v>303.5</v>
      </c>
      <c r="S6" s="99">
        <v>308.66899999999998</v>
      </c>
      <c r="T6" s="91">
        <v>206.977</v>
      </c>
      <c r="U6" s="8"/>
    </row>
    <row r="7" spans="1:21" ht="15" customHeight="1">
      <c r="A7" s="94" t="s">
        <v>15</v>
      </c>
      <c r="B7" s="92">
        <v>5.2</v>
      </c>
      <c r="C7" s="92">
        <v>0.8</v>
      </c>
      <c r="D7" s="92">
        <v>2.9</v>
      </c>
      <c r="E7" s="92">
        <v>3.5</v>
      </c>
      <c r="F7" s="92">
        <v>6.5</v>
      </c>
      <c r="G7" s="92">
        <v>9.6</v>
      </c>
      <c r="H7" s="92">
        <v>10.6</v>
      </c>
      <c r="I7" s="92">
        <v>15.3</v>
      </c>
      <c r="J7" s="92">
        <v>12.2</v>
      </c>
      <c r="K7" s="92">
        <v>10.7</v>
      </c>
      <c r="L7" s="92">
        <v>13.2</v>
      </c>
      <c r="M7" s="92">
        <v>15.3</v>
      </c>
      <c r="N7" s="92">
        <v>17.600000000000001</v>
      </c>
      <c r="O7" s="92">
        <v>18.2</v>
      </c>
      <c r="P7" s="92">
        <v>14.4</v>
      </c>
      <c r="Q7" s="96">
        <v>15.2</v>
      </c>
      <c r="R7" s="99">
        <v>17.2</v>
      </c>
      <c r="S7" s="99">
        <v>19.053999999999998</v>
      </c>
      <c r="T7" s="91">
        <v>0</v>
      </c>
      <c r="U7" s="8"/>
    </row>
    <row r="8" spans="1:21" ht="15" customHeight="1">
      <c r="U8" s="8"/>
    </row>
    <row r="9" spans="1:21" ht="15" customHeight="1">
      <c r="A9" s="44" t="s">
        <v>46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</row>
    <row r="10" spans="1:21" ht="15" customHeight="1">
      <c r="A10" s="40" t="s">
        <v>6</v>
      </c>
      <c r="B10" s="41">
        <v>2000</v>
      </c>
      <c r="C10" s="41">
        <v>2001</v>
      </c>
      <c r="D10" s="41">
        <v>2002</v>
      </c>
      <c r="E10" s="41">
        <v>2003</v>
      </c>
      <c r="F10" s="41">
        <v>2004</v>
      </c>
      <c r="G10" s="41">
        <v>2005</v>
      </c>
      <c r="H10" s="41">
        <v>2006</v>
      </c>
      <c r="I10" s="41">
        <v>2007</v>
      </c>
      <c r="J10" s="41">
        <v>2008</v>
      </c>
      <c r="K10" s="41">
        <v>2009</v>
      </c>
      <c r="L10" s="41">
        <v>2010</v>
      </c>
      <c r="M10" s="41">
        <v>2011</v>
      </c>
      <c r="N10" s="41">
        <v>2012</v>
      </c>
      <c r="O10" s="41">
        <v>2013</v>
      </c>
      <c r="P10" s="41">
        <v>2014</v>
      </c>
      <c r="Q10" s="66">
        <v>2015</v>
      </c>
      <c r="R10" s="83">
        <v>2016</v>
      </c>
      <c r="S10" s="83">
        <v>2017</v>
      </c>
      <c r="T10" s="83">
        <v>2018</v>
      </c>
    </row>
    <row r="11" spans="1:21" ht="15" customHeight="1">
      <c r="A11" s="40" t="s">
        <v>7</v>
      </c>
      <c r="B11" s="30">
        <f>+SUM(B12:B14)</f>
        <v>100.00000000000001</v>
      </c>
      <c r="C11" s="30">
        <f t="shared" ref="C11:P11" si="2">+SUM(C12:C14)</f>
        <v>99.999999999999986</v>
      </c>
      <c r="D11" s="30">
        <f t="shared" si="2"/>
        <v>100</v>
      </c>
      <c r="E11" s="30">
        <f t="shared" si="2"/>
        <v>100</v>
      </c>
      <c r="F11" s="30">
        <f t="shared" si="2"/>
        <v>100</v>
      </c>
      <c r="G11" s="30">
        <f t="shared" si="2"/>
        <v>99.999999999999986</v>
      </c>
      <c r="H11" s="30">
        <f t="shared" si="2"/>
        <v>99.999999999999986</v>
      </c>
      <c r="I11" s="30">
        <f t="shared" si="2"/>
        <v>100</v>
      </c>
      <c r="J11" s="30">
        <f t="shared" si="2"/>
        <v>100.00000000000001</v>
      </c>
      <c r="K11" s="30">
        <f t="shared" si="2"/>
        <v>100</v>
      </c>
      <c r="L11" s="30">
        <f t="shared" si="2"/>
        <v>100</v>
      </c>
      <c r="M11" s="30">
        <f t="shared" si="2"/>
        <v>100</v>
      </c>
      <c r="N11" s="30">
        <f t="shared" si="2"/>
        <v>100</v>
      </c>
      <c r="O11" s="30">
        <f t="shared" si="2"/>
        <v>100</v>
      </c>
      <c r="P11" s="30">
        <f t="shared" si="2"/>
        <v>100.00000000000001</v>
      </c>
      <c r="Q11" s="95">
        <f t="shared" ref="Q11" si="3">+SUM(Q12:Q14)</f>
        <v>100</v>
      </c>
      <c r="R11" s="83">
        <f>SUM(R12:R14)</f>
        <v>100</v>
      </c>
      <c r="S11" s="83">
        <f>SUM(S12:S14)</f>
        <v>100.00000000000001</v>
      </c>
      <c r="T11" s="83">
        <f>SUM(T12:T14)</f>
        <v>100</v>
      </c>
    </row>
    <row r="12" spans="1:21" ht="15" customHeight="1">
      <c r="A12" s="42" t="s">
        <v>13</v>
      </c>
      <c r="B12" s="33">
        <f t="shared" ref="B12:Q12" si="4">+B5/B$4*100</f>
        <v>26.437757890302116</v>
      </c>
      <c r="C12" s="33">
        <f t="shared" si="4"/>
        <v>27.155351936693044</v>
      </c>
      <c r="D12" s="33">
        <f t="shared" si="4"/>
        <v>27.305533279871693</v>
      </c>
      <c r="E12" s="33">
        <f t="shared" si="4"/>
        <v>28.134050475796439</v>
      </c>
      <c r="F12" s="33">
        <f t="shared" si="4"/>
        <v>26.551453260015712</v>
      </c>
      <c r="G12" s="33">
        <f t="shared" si="4"/>
        <v>26.560178306092119</v>
      </c>
      <c r="H12" s="33">
        <f t="shared" si="4"/>
        <v>28.481894150417819</v>
      </c>
      <c r="I12" s="33">
        <f t="shared" si="4"/>
        <v>25.962165688193085</v>
      </c>
      <c r="J12" s="33">
        <f t="shared" si="4"/>
        <v>29.971346704871067</v>
      </c>
      <c r="K12" s="33">
        <f t="shared" si="4"/>
        <v>35.388375882672463</v>
      </c>
      <c r="L12" s="33">
        <f t="shared" si="4"/>
        <v>23.087284482758623</v>
      </c>
      <c r="M12" s="33">
        <f t="shared" si="4"/>
        <v>22.072315164597946</v>
      </c>
      <c r="N12" s="33">
        <f t="shared" si="4"/>
        <v>19.848326359832637</v>
      </c>
      <c r="O12" s="33">
        <f t="shared" si="4"/>
        <v>20.362358031368306</v>
      </c>
      <c r="P12" s="33">
        <f t="shared" si="4"/>
        <v>19.68954248366013</v>
      </c>
      <c r="Q12" s="68">
        <f t="shared" si="4"/>
        <v>18.252898355351849</v>
      </c>
      <c r="R12" s="91">
        <f>R5/R4*100</f>
        <v>16.97624749207171</v>
      </c>
      <c r="S12" s="91">
        <f>S5/S4*100</f>
        <v>16.19623587173324</v>
      </c>
      <c r="T12" s="91">
        <f>T5/T4*100</f>
        <v>17.648954582529292</v>
      </c>
    </row>
    <row r="13" spans="1:21" ht="15" customHeight="1">
      <c r="A13" s="43" t="s">
        <v>14</v>
      </c>
      <c r="B13" s="33">
        <f t="shared" ref="B13:Q13" si="5">+B6/B$4*100</f>
        <v>71.331329094305573</v>
      </c>
      <c r="C13" s="33">
        <f t="shared" si="5"/>
        <v>72.511453561016239</v>
      </c>
      <c r="D13" s="33">
        <f t="shared" si="5"/>
        <v>71.53167602245388</v>
      </c>
      <c r="E13" s="33">
        <f t="shared" si="5"/>
        <v>70.417873396772862</v>
      </c>
      <c r="F13" s="33">
        <f t="shared" si="5"/>
        <v>70.895522388059689</v>
      </c>
      <c r="G13" s="33">
        <f t="shared" si="5"/>
        <v>69.873699851411573</v>
      </c>
      <c r="H13" s="33">
        <f t="shared" si="5"/>
        <v>67.827298050139277</v>
      </c>
      <c r="I13" s="33">
        <f t="shared" si="5"/>
        <v>69.047619047619051</v>
      </c>
      <c r="J13" s="33">
        <f t="shared" si="5"/>
        <v>66.532951289398284</v>
      </c>
      <c r="K13" s="33">
        <f t="shared" si="5"/>
        <v>61.705594785442699</v>
      </c>
      <c r="L13" s="33">
        <f t="shared" si="5"/>
        <v>73.356681034482762</v>
      </c>
      <c r="M13" s="33">
        <f t="shared" si="5"/>
        <v>73.799244468429563</v>
      </c>
      <c r="N13" s="33">
        <f t="shared" si="5"/>
        <v>75.549163179916306</v>
      </c>
      <c r="O13" s="33">
        <f t="shared" si="5"/>
        <v>74.71606273661439</v>
      </c>
      <c r="P13" s="33">
        <f t="shared" si="5"/>
        <v>76.3888888888889</v>
      </c>
      <c r="Q13" s="68">
        <f t="shared" si="5"/>
        <v>77.648961984362359</v>
      </c>
      <c r="R13" s="91">
        <f>R6/R4*100</f>
        <v>78.570966280499647</v>
      </c>
      <c r="S13" s="91">
        <f>S6/S4*100</f>
        <v>78.931366030788126</v>
      </c>
      <c r="T13" s="91">
        <f>T6/T4*100</f>
        <v>82.351045417470701</v>
      </c>
    </row>
    <row r="14" spans="1:21" ht="15" customHeight="1">
      <c r="A14" s="43" t="s">
        <v>15</v>
      </c>
      <c r="B14" s="33">
        <f t="shared" ref="B14:Q14" si="6">+B7/B$4*100</f>
        <v>2.230913015392312</v>
      </c>
      <c r="C14" s="33">
        <f t="shared" si="6"/>
        <v>0.33319450229071218</v>
      </c>
      <c r="D14" s="33">
        <f t="shared" si="6"/>
        <v>1.1627906976744187</v>
      </c>
      <c r="E14" s="33">
        <f t="shared" si="6"/>
        <v>1.448076127430699</v>
      </c>
      <c r="F14" s="33">
        <f t="shared" si="6"/>
        <v>2.5530243519245879</v>
      </c>
      <c r="G14" s="33">
        <f t="shared" si="6"/>
        <v>3.5661218424962846</v>
      </c>
      <c r="H14" s="33">
        <f t="shared" si="6"/>
        <v>3.6908077994428958</v>
      </c>
      <c r="I14" s="33">
        <f t="shared" si="6"/>
        <v>4.9902152641878681</v>
      </c>
      <c r="J14" s="33">
        <f t="shared" si="6"/>
        <v>3.4957020057306596</v>
      </c>
      <c r="K14" s="33">
        <f t="shared" si="6"/>
        <v>2.9060293318848451</v>
      </c>
      <c r="L14" s="33">
        <f t="shared" si="6"/>
        <v>3.556034482758621</v>
      </c>
      <c r="M14" s="33">
        <f t="shared" si="6"/>
        <v>4.1284403669724776</v>
      </c>
      <c r="N14" s="33">
        <f t="shared" si="6"/>
        <v>4.6025104602510467</v>
      </c>
      <c r="O14" s="33">
        <f t="shared" si="6"/>
        <v>4.9215792320173062</v>
      </c>
      <c r="P14" s="33">
        <f t="shared" si="6"/>
        <v>3.9215686274509802</v>
      </c>
      <c r="Q14" s="68">
        <f t="shared" si="6"/>
        <v>4.0981396602857911</v>
      </c>
      <c r="R14" s="91">
        <f>R7/R4*100</f>
        <v>4.4527862274286454</v>
      </c>
      <c r="S14" s="91">
        <f>S7/S4*100</f>
        <v>4.8723980974786478</v>
      </c>
      <c r="T14" s="91">
        <f>T7/T4*100</f>
        <v>0</v>
      </c>
    </row>
    <row r="15" spans="1:21" ht="15" customHeight="1">
      <c r="A15" s="106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</row>
    <row r="16" spans="1:21" ht="15" customHeight="1">
      <c r="A16" s="22" t="s">
        <v>79</v>
      </c>
      <c r="R16" s="45"/>
    </row>
    <row r="17" spans="1:21" s="8" customFormat="1" ht="15" customHeight="1">
      <c r="A17" s="40" t="s">
        <v>6</v>
      </c>
      <c r="B17" s="41">
        <v>2000</v>
      </c>
      <c r="C17" s="41">
        <v>2001</v>
      </c>
      <c r="D17" s="41">
        <v>2002</v>
      </c>
      <c r="E17" s="41">
        <v>2003</v>
      </c>
      <c r="F17" s="41">
        <v>2004</v>
      </c>
      <c r="G17" s="41">
        <v>2005</v>
      </c>
      <c r="H17" s="41">
        <v>2006</v>
      </c>
      <c r="I17" s="41">
        <v>2007</v>
      </c>
      <c r="J17" s="41">
        <v>2008</v>
      </c>
      <c r="K17" s="41">
        <v>2009</v>
      </c>
      <c r="L17" s="41">
        <v>2010</v>
      </c>
      <c r="M17" s="41">
        <v>2011</v>
      </c>
      <c r="N17" s="41">
        <v>2012</v>
      </c>
      <c r="O17" s="41">
        <v>2013</v>
      </c>
      <c r="P17" s="41">
        <v>2014</v>
      </c>
      <c r="Q17" s="66">
        <v>2015</v>
      </c>
      <c r="R17" s="97">
        <v>2016</v>
      </c>
      <c r="S17" s="83">
        <v>2017</v>
      </c>
      <c r="T17" s="83">
        <v>2018</v>
      </c>
    </row>
    <row r="18" spans="1:21" s="8" customFormat="1" ht="15" customHeight="1">
      <c r="A18" s="40" t="s">
        <v>7</v>
      </c>
      <c r="B18" s="30">
        <f>+SUM(B19:B21)</f>
        <v>144.98277904079936</v>
      </c>
      <c r="C18" s="30">
        <f t="shared" ref="C18:S18" si="7">+SUM(C19:C21)</f>
        <v>145.5</v>
      </c>
      <c r="D18" s="30">
        <f t="shared" si="7"/>
        <v>147.99999999999997</v>
      </c>
      <c r="E18" s="30">
        <f t="shared" si="7"/>
        <v>145.19999999999999</v>
      </c>
      <c r="F18" s="30">
        <f t="shared" si="7"/>
        <v>152.30000000000001</v>
      </c>
      <c r="G18" s="30">
        <f t="shared" si="7"/>
        <v>162.40000000000003</v>
      </c>
      <c r="H18" s="30">
        <f t="shared" si="7"/>
        <v>165.29999999999998</v>
      </c>
      <c r="I18" s="30">
        <f t="shared" si="7"/>
        <v>174.59999999999997</v>
      </c>
      <c r="J18" s="30">
        <f t="shared" si="7"/>
        <v>217.06800000000004</v>
      </c>
      <c r="K18" s="30">
        <f t="shared" si="7"/>
        <v>227.50900000000001</v>
      </c>
      <c r="L18" s="30">
        <f t="shared" si="7"/>
        <v>234.00620000000004</v>
      </c>
      <c r="M18" s="30">
        <f t="shared" si="7"/>
        <v>232.36599999999999</v>
      </c>
      <c r="N18" s="30">
        <f t="shared" si="7"/>
        <v>237.03479999999999</v>
      </c>
      <c r="O18" s="30">
        <f t="shared" si="7"/>
        <v>228.09842</v>
      </c>
      <c r="P18" s="30">
        <f t="shared" si="7"/>
        <v>227.43543999999997</v>
      </c>
      <c r="Q18" s="30">
        <f t="shared" si="7"/>
        <v>233.04656000000003</v>
      </c>
      <c r="R18" s="98">
        <f t="shared" si="7"/>
        <v>233.79599999999999</v>
      </c>
      <c r="S18" s="107">
        <f t="shared" si="7"/>
        <v>232</v>
      </c>
      <c r="T18" s="108">
        <f t="shared" ref="T18" si="8">+SUM(T19:T21)</f>
        <v>251.33499999999998</v>
      </c>
    </row>
    <row r="19" spans="1:21" ht="15" customHeight="1">
      <c r="A19" s="42" t="s">
        <v>13</v>
      </c>
      <c r="B19" s="33">
        <v>31.900749191136764</v>
      </c>
      <c r="C19" s="33">
        <v>34.299999999999997</v>
      </c>
      <c r="D19" s="33">
        <v>34.299999999999997</v>
      </c>
      <c r="E19" s="33">
        <v>34</v>
      </c>
      <c r="F19" s="33">
        <v>35.9</v>
      </c>
      <c r="G19" s="33">
        <v>37.1</v>
      </c>
      <c r="H19" s="33">
        <v>37.199999999999996</v>
      </c>
      <c r="I19" s="33">
        <v>37.5</v>
      </c>
      <c r="J19" s="33">
        <v>59.713080000000005</v>
      </c>
      <c r="K19" s="33">
        <v>85.557590000000005</v>
      </c>
      <c r="L19" s="33">
        <v>43.054000000000002</v>
      </c>
      <c r="M19" s="33">
        <v>43.031000000000006</v>
      </c>
      <c r="N19" s="33">
        <v>41.168000000000006</v>
      </c>
      <c r="O19" s="33">
        <v>41.636000000000003</v>
      </c>
      <c r="P19" s="33">
        <v>40.585999999999999</v>
      </c>
      <c r="Q19" s="68">
        <v>38.014000000000003</v>
      </c>
      <c r="R19" s="99">
        <v>37.003999999999998</v>
      </c>
      <c r="S19" s="99">
        <v>35</v>
      </c>
      <c r="T19" s="91">
        <v>44.358000000000004</v>
      </c>
      <c r="U19" s="8"/>
    </row>
    <row r="20" spans="1:21" ht="15" customHeight="1">
      <c r="A20" s="43" t="s">
        <v>14</v>
      </c>
      <c r="B20" s="87">
        <v>111.72068920139218</v>
      </c>
      <c r="C20" s="87">
        <v>113.39999999999998</v>
      </c>
      <c r="D20" s="87">
        <v>114.49999999999999</v>
      </c>
      <c r="E20" s="87">
        <v>110.6</v>
      </c>
      <c r="F20" s="87">
        <v>115.60000000000001</v>
      </c>
      <c r="G20" s="87">
        <v>124.10000000000004</v>
      </c>
      <c r="H20" s="87">
        <v>126.49999999999999</v>
      </c>
      <c r="I20" s="87">
        <v>133.99999999999997</v>
      </c>
      <c r="J20" s="87">
        <v>157.35492000000002</v>
      </c>
      <c r="K20" s="87">
        <v>141.95141000000001</v>
      </c>
      <c r="L20" s="87">
        <v>190.95220000000003</v>
      </c>
      <c r="M20" s="87">
        <v>189.33499999999998</v>
      </c>
      <c r="N20" s="87">
        <v>195.86679999999998</v>
      </c>
      <c r="O20" s="87">
        <v>186.46242000000001</v>
      </c>
      <c r="P20" s="87">
        <v>186.84943999999999</v>
      </c>
      <c r="Q20" s="88">
        <v>195.03256000000002</v>
      </c>
      <c r="R20" s="99">
        <v>196.792</v>
      </c>
      <c r="S20" s="99">
        <v>197</v>
      </c>
      <c r="T20" s="91">
        <v>206.97699999999998</v>
      </c>
      <c r="U20" s="8"/>
    </row>
    <row r="21" spans="1:21" ht="15" customHeight="1">
      <c r="A21" s="94" t="s">
        <v>15</v>
      </c>
      <c r="B21" s="92">
        <v>1.3613406482704167</v>
      </c>
      <c r="C21" s="92">
        <v>-2.1999999999999997</v>
      </c>
      <c r="D21" s="92">
        <v>-0.8</v>
      </c>
      <c r="E21" s="92">
        <v>0.6</v>
      </c>
      <c r="F21" s="92">
        <v>0.8</v>
      </c>
      <c r="G21" s="92">
        <v>1.2</v>
      </c>
      <c r="H21" s="92">
        <v>1.6</v>
      </c>
      <c r="I21" s="92">
        <v>3.1</v>
      </c>
      <c r="J21" s="92">
        <v>0</v>
      </c>
      <c r="K21" s="92">
        <v>0</v>
      </c>
      <c r="L21" s="92">
        <v>0</v>
      </c>
      <c r="M21" s="92">
        <v>0</v>
      </c>
      <c r="N21" s="92">
        <v>0</v>
      </c>
      <c r="O21" s="92">
        <v>0</v>
      </c>
      <c r="P21" s="92">
        <v>0</v>
      </c>
      <c r="Q21" s="96">
        <v>0</v>
      </c>
      <c r="R21" s="99">
        <v>0</v>
      </c>
      <c r="S21" s="99">
        <v>0</v>
      </c>
      <c r="T21" s="91">
        <v>0</v>
      </c>
      <c r="U21" s="8"/>
    </row>
    <row r="22" spans="1:21" ht="15" customHeight="1">
      <c r="A22" s="46" t="s">
        <v>5</v>
      </c>
    </row>
    <row r="23" spans="1:21" ht="15" customHeight="1">
      <c r="A23" s="39" t="s">
        <v>71</v>
      </c>
    </row>
    <row r="25" spans="1:21" ht="15" customHeight="1">
      <c r="A25" s="20" t="s">
        <v>77</v>
      </c>
    </row>
    <row r="26" spans="1:21" ht="15" customHeight="1">
      <c r="A26" s="39" t="s">
        <v>78</v>
      </c>
    </row>
  </sheetData>
  <mergeCells count="1">
    <mergeCell ref="A2:C2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Footer>&amp;L&amp;Z&amp;F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workbookViewId="0">
      <pane xSplit="1" topLeftCell="C1" activePane="topRight" state="frozen"/>
      <selection pane="topRight" activeCell="O29" sqref="O29"/>
    </sheetView>
  </sheetViews>
  <sheetFormatPr defaultRowHeight="15" customHeight="1"/>
  <cols>
    <col min="1" max="1" width="44.5703125" style="39" customWidth="1"/>
    <col min="2" max="9" width="8.7109375" style="2" customWidth="1"/>
    <col min="10" max="16384" width="9.140625" style="2"/>
  </cols>
  <sheetData>
    <row r="1" spans="1:16" ht="15" customHeight="1">
      <c r="A1" s="22" t="s">
        <v>76</v>
      </c>
    </row>
    <row r="3" spans="1:16" ht="15" customHeight="1">
      <c r="A3" s="25" t="s">
        <v>6</v>
      </c>
      <c r="B3" s="3">
        <v>2004</v>
      </c>
      <c r="C3" s="3">
        <v>2005</v>
      </c>
      <c r="D3" s="3">
        <v>2006</v>
      </c>
      <c r="E3" s="3">
        <v>2007</v>
      </c>
      <c r="F3" s="3">
        <v>2008</v>
      </c>
      <c r="G3" s="3">
        <v>2009</v>
      </c>
      <c r="H3" s="4">
        <v>2010</v>
      </c>
      <c r="I3" s="4">
        <v>2011</v>
      </c>
      <c r="J3" s="4">
        <v>2012</v>
      </c>
      <c r="K3" s="4">
        <v>2013</v>
      </c>
      <c r="L3" s="4">
        <v>2014</v>
      </c>
      <c r="M3" s="78">
        <v>2015</v>
      </c>
      <c r="N3" s="83">
        <v>2016</v>
      </c>
      <c r="O3" s="83">
        <v>2017</v>
      </c>
      <c r="P3" s="83">
        <v>2018</v>
      </c>
    </row>
    <row r="4" spans="1:16" ht="15" customHeight="1">
      <c r="A4" s="25" t="s">
        <v>7</v>
      </c>
      <c r="B4" s="5">
        <f t="shared" ref="B4:I4" si="0">+B5+B6+B11</f>
        <v>328.81799999999998</v>
      </c>
      <c r="C4" s="5">
        <f t="shared" si="0"/>
        <v>322.05100000000004</v>
      </c>
      <c r="D4" s="5">
        <f t="shared" si="0"/>
        <v>316.23</v>
      </c>
      <c r="E4" s="5">
        <f t="shared" si="0"/>
        <v>341.178</v>
      </c>
      <c r="F4" s="5">
        <f t="shared" si="0"/>
        <v>348.16399999999999</v>
      </c>
      <c r="G4" s="5">
        <f t="shared" si="0"/>
        <v>351.41199999999992</v>
      </c>
      <c r="H4" s="5">
        <f t="shared" si="0"/>
        <v>357.702</v>
      </c>
      <c r="I4" s="5">
        <f t="shared" si="0"/>
        <v>352.53700000000003</v>
      </c>
      <c r="J4" s="5">
        <f t="shared" ref="J4:L4" si="1">+J5+J6+J11</f>
        <v>343.37300000000005</v>
      </c>
      <c r="K4" s="5">
        <f t="shared" si="1"/>
        <v>333.67200000000003</v>
      </c>
      <c r="L4" s="5">
        <f t="shared" si="1"/>
        <v>330.06099999999998</v>
      </c>
      <c r="M4" s="79">
        <v>314.39999999999998</v>
      </c>
      <c r="N4" s="83">
        <f>SUM(N5+N6+N11)</f>
        <v>299.2</v>
      </c>
      <c r="O4" s="83">
        <f>O5+O6+O11</f>
        <v>299.3</v>
      </c>
      <c r="P4" s="101">
        <f>P5+P6+P11</f>
        <v>323.12800000000004</v>
      </c>
    </row>
    <row r="5" spans="1:16" ht="30" customHeight="1">
      <c r="A5" s="43" t="s">
        <v>64</v>
      </c>
      <c r="B5" s="7">
        <v>161.13300000000001</v>
      </c>
      <c r="C5" s="7">
        <v>161.05099999999999</v>
      </c>
      <c r="D5" s="7">
        <v>162.44900000000001</v>
      </c>
      <c r="E5" s="6">
        <v>171.447</v>
      </c>
      <c r="F5" s="7">
        <v>156.529</v>
      </c>
      <c r="G5" s="7">
        <v>156.09200000000001</v>
      </c>
      <c r="H5" s="7">
        <v>155.43600000000001</v>
      </c>
      <c r="I5" s="7">
        <v>143.679</v>
      </c>
      <c r="J5" s="7">
        <v>136.49</v>
      </c>
      <c r="K5" s="17">
        <v>134.21799999999999</v>
      </c>
      <c r="L5" s="17">
        <v>131.142</v>
      </c>
      <c r="M5" s="80">
        <v>125.1</v>
      </c>
      <c r="N5" s="82">
        <v>120.9</v>
      </c>
      <c r="O5" s="82">
        <v>114.1</v>
      </c>
      <c r="P5" s="102">
        <f>24.466+26.19+0.021+46.405+39.821</f>
        <v>136.90300000000002</v>
      </c>
    </row>
    <row r="6" spans="1:16" ht="15" customHeight="1">
      <c r="A6" s="32" t="s">
        <v>37</v>
      </c>
      <c r="B6" s="6">
        <v>119.039</v>
      </c>
      <c r="C6" s="6">
        <v>111.15</v>
      </c>
      <c r="D6" s="6">
        <v>106.91200000000001</v>
      </c>
      <c r="E6" s="6">
        <v>112.139</v>
      </c>
      <c r="F6" s="6">
        <v>132.40299999999999</v>
      </c>
      <c r="G6" s="6">
        <v>143.56299999999999</v>
      </c>
      <c r="H6" s="7">
        <v>146.863</v>
      </c>
      <c r="I6" s="7">
        <v>151.80500000000001</v>
      </c>
      <c r="J6" s="7">
        <v>155.45599999999999</v>
      </c>
      <c r="K6" s="17">
        <v>143.261</v>
      </c>
      <c r="L6" s="17">
        <v>149.947</v>
      </c>
      <c r="M6" s="80">
        <v>140.19999999999999</v>
      </c>
      <c r="N6" s="82">
        <f>SUM(N7:N10)</f>
        <v>138.49999999999997</v>
      </c>
      <c r="O6" s="82">
        <f>SUM(O7:O10)</f>
        <v>143</v>
      </c>
      <c r="P6" s="102">
        <f>SUM(P7:P10)</f>
        <v>143.32</v>
      </c>
    </row>
    <row r="7" spans="1:16" ht="15" customHeight="1">
      <c r="A7" s="60" t="s">
        <v>38</v>
      </c>
      <c r="B7" s="9">
        <f>21.94+11.621</f>
        <v>33.561</v>
      </c>
      <c r="C7" s="9">
        <f>23.886+10.734</f>
        <v>34.619999999999997</v>
      </c>
      <c r="D7" s="9">
        <f>27.629+6.53</f>
        <v>34.158999999999999</v>
      </c>
      <c r="E7" s="9">
        <f>29.955+6.457</f>
        <v>36.411999999999999</v>
      </c>
      <c r="F7" s="9">
        <f>32.961+12.018</f>
        <v>44.978999999999999</v>
      </c>
      <c r="G7" s="9">
        <f>40.728+14.108</f>
        <v>54.835999999999999</v>
      </c>
      <c r="H7" s="10">
        <f>47.087+15.497</f>
        <v>62.584000000000003</v>
      </c>
      <c r="I7" s="10">
        <f>47.393+17.953</f>
        <v>65.346000000000004</v>
      </c>
      <c r="J7" s="10">
        <f>50.135+10.039</f>
        <v>60.173999999999999</v>
      </c>
      <c r="K7" s="18">
        <f>42.385+7.978</f>
        <v>50.363</v>
      </c>
      <c r="L7" s="18">
        <f>45.355+8.647</f>
        <v>54.001999999999995</v>
      </c>
      <c r="M7" s="81">
        <v>59.6</v>
      </c>
      <c r="N7" s="84">
        <v>57.7</v>
      </c>
      <c r="O7" s="82">
        <v>60.5</v>
      </c>
      <c r="P7" s="102">
        <f>3.952+6.521+7.428+41.628</f>
        <v>59.528999999999996</v>
      </c>
    </row>
    <row r="8" spans="1:16" ht="15" customHeight="1">
      <c r="A8" s="60" t="s">
        <v>39</v>
      </c>
      <c r="B8" s="9">
        <f>25.989+32.853</f>
        <v>58.841999999999999</v>
      </c>
      <c r="C8" s="9">
        <f>17.641+33.772</f>
        <v>51.412999999999997</v>
      </c>
      <c r="D8" s="9">
        <f>14.788+30.536</f>
        <v>45.323999999999998</v>
      </c>
      <c r="E8" s="9">
        <f>12.698+35.375</f>
        <v>48.073</v>
      </c>
      <c r="F8" s="9">
        <f>16.84+42.045</f>
        <v>58.885000000000005</v>
      </c>
      <c r="G8" s="9">
        <f>18.325+43.391</f>
        <v>61.715999999999994</v>
      </c>
      <c r="H8" s="10">
        <f>16.837+40.021</f>
        <v>56.858000000000004</v>
      </c>
      <c r="I8" s="10">
        <f>16.803+42.76</f>
        <v>59.563000000000002</v>
      </c>
      <c r="J8" s="10">
        <f>17.139+44.698</f>
        <v>61.837000000000003</v>
      </c>
      <c r="K8" s="18">
        <f>13.031+48.27</f>
        <v>61.301000000000002</v>
      </c>
      <c r="L8" s="18">
        <f>8.895+53.843</f>
        <v>62.738</v>
      </c>
      <c r="M8" s="81">
        <v>56.1</v>
      </c>
      <c r="N8" s="84">
        <v>53.4</v>
      </c>
      <c r="O8" s="82">
        <v>55.2</v>
      </c>
      <c r="P8" s="102">
        <f>47.548+10.907-1.035</f>
        <v>57.42</v>
      </c>
    </row>
    <row r="9" spans="1:16" ht="15" customHeight="1">
      <c r="A9" s="60" t="s">
        <v>36</v>
      </c>
      <c r="B9" s="9">
        <v>12.914</v>
      </c>
      <c r="C9" s="9">
        <v>13.334</v>
      </c>
      <c r="D9" s="9">
        <v>16.314</v>
      </c>
      <c r="E9" s="9">
        <v>18.016999999999999</v>
      </c>
      <c r="F9" s="9">
        <v>19.692</v>
      </c>
      <c r="G9" s="9">
        <v>19.908000000000001</v>
      </c>
      <c r="H9" s="10">
        <v>21.065000000000001</v>
      </c>
      <c r="I9" s="10">
        <v>23.01</v>
      </c>
      <c r="J9" s="10">
        <v>25.463000000000001</v>
      </c>
      <c r="K9" s="18">
        <v>25.212</v>
      </c>
      <c r="L9" s="18">
        <v>24.521000000000001</v>
      </c>
      <c r="M9" s="81">
        <v>19.5</v>
      </c>
      <c r="N9" s="84">
        <v>22.2</v>
      </c>
      <c r="O9" s="82">
        <v>21.7</v>
      </c>
      <c r="P9" s="102">
        <v>20.346</v>
      </c>
    </row>
    <row r="10" spans="1:16" ht="15" customHeight="1">
      <c r="A10" s="60" t="s">
        <v>40</v>
      </c>
      <c r="B10" s="9">
        <v>13.722</v>
      </c>
      <c r="C10" s="9">
        <v>11.782999999999999</v>
      </c>
      <c r="D10" s="9">
        <v>11.125</v>
      </c>
      <c r="E10" s="9">
        <v>9.6370000000000005</v>
      </c>
      <c r="F10" s="9">
        <v>8.8469999999999995</v>
      </c>
      <c r="G10" s="9">
        <v>7.1029999999999998</v>
      </c>
      <c r="H10" s="10">
        <v>6.3559999999999999</v>
      </c>
      <c r="I10" s="10">
        <v>3.8860000000000001</v>
      </c>
      <c r="J10" s="10">
        <v>7.9820000000000002</v>
      </c>
      <c r="K10" s="18">
        <v>6.3849999999999998</v>
      </c>
      <c r="L10" s="18">
        <v>8.6859999999999999</v>
      </c>
      <c r="M10" s="81">
        <v>5</v>
      </c>
      <c r="N10" s="84">
        <v>5.2</v>
      </c>
      <c r="O10" s="82">
        <v>5.6</v>
      </c>
      <c r="P10" s="102">
        <f>2.243+0.213+3.569</f>
        <v>6.0250000000000004</v>
      </c>
    </row>
    <row r="11" spans="1:16" ht="15" customHeight="1">
      <c r="A11" s="32" t="s">
        <v>15</v>
      </c>
      <c r="B11" s="6">
        <f>328.818-119.039-161.133</f>
        <v>48.645999999999987</v>
      </c>
      <c r="C11" s="6">
        <f>322.051-111.15-161.051</f>
        <v>49.849999999999994</v>
      </c>
      <c r="D11" s="6">
        <f>316.23-106.912-162.449</f>
        <v>46.869</v>
      </c>
      <c r="E11" s="6">
        <f>341.18-112.139-171.449</f>
        <v>57.591999999999985</v>
      </c>
      <c r="F11" s="6">
        <f>348.164-132.403-156.529</f>
        <v>59.231999999999999</v>
      </c>
      <c r="G11" s="6">
        <f>351.412-156.092-143.563</f>
        <v>51.756999999999977</v>
      </c>
      <c r="H11" s="7">
        <f>357.702-146.863-155.436</f>
        <v>55.402999999999992</v>
      </c>
      <c r="I11" s="7">
        <f>352.537-151.805-143.679</f>
        <v>57.052999999999969</v>
      </c>
      <c r="J11" s="7">
        <f>343.373-155.456-136.49</f>
        <v>51.426999999999992</v>
      </c>
      <c r="K11" s="17">
        <f>333.672-143.261-134.218</f>
        <v>56.19300000000004</v>
      </c>
      <c r="L11" s="17">
        <f>330.061-149.947-131.142</f>
        <v>48.97199999999998</v>
      </c>
      <c r="M11" s="80">
        <v>49.1</v>
      </c>
      <c r="N11" s="82">
        <v>39.799999999999997</v>
      </c>
      <c r="O11" s="82">
        <v>42.2</v>
      </c>
      <c r="P11" s="102">
        <f>37.261+5.644</f>
        <v>42.905000000000001</v>
      </c>
    </row>
    <row r="12" spans="1:16" ht="15" customHeight="1">
      <c r="A12" s="61"/>
      <c r="B12" s="11"/>
      <c r="C12" s="11"/>
      <c r="D12" s="11"/>
      <c r="E12" s="11"/>
      <c r="F12" s="11"/>
      <c r="G12" s="11"/>
      <c r="H12" s="12"/>
      <c r="I12" s="12"/>
    </row>
    <row r="13" spans="1:16" ht="15" customHeight="1">
      <c r="A13" s="62" t="s">
        <v>41</v>
      </c>
      <c r="B13" s="11"/>
      <c r="C13" s="11"/>
      <c r="D13" s="11"/>
      <c r="E13" s="11"/>
      <c r="F13" s="11"/>
      <c r="G13" s="11"/>
      <c r="H13" s="12"/>
      <c r="I13" s="12"/>
    </row>
    <row r="14" spans="1:16" ht="15" customHeight="1">
      <c r="A14" s="63"/>
      <c r="B14" s="13">
        <v>2004</v>
      </c>
      <c r="C14" s="13">
        <v>2005</v>
      </c>
      <c r="D14" s="13">
        <v>2006</v>
      </c>
      <c r="E14" s="13">
        <v>2007</v>
      </c>
      <c r="F14" s="13">
        <v>2008</v>
      </c>
      <c r="G14" s="13">
        <v>2009</v>
      </c>
      <c r="H14" s="14">
        <v>2010</v>
      </c>
      <c r="I14" s="14">
        <v>2011</v>
      </c>
      <c r="J14" s="14">
        <v>2012</v>
      </c>
      <c r="K14" s="14">
        <v>2013</v>
      </c>
      <c r="L14" s="14">
        <v>2014</v>
      </c>
      <c r="M14" s="14">
        <v>2015</v>
      </c>
      <c r="N14" s="83">
        <v>2016</v>
      </c>
      <c r="O14" s="83">
        <v>2017</v>
      </c>
      <c r="P14" s="83">
        <v>2018</v>
      </c>
    </row>
    <row r="15" spans="1:16" ht="15" customHeight="1">
      <c r="A15" s="43" t="s">
        <v>16</v>
      </c>
      <c r="B15" s="15">
        <f>+B5/B$4*100</f>
        <v>49.003704176778648</v>
      </c>
      <c r="C15" s="15">
        <f t="shared" ref="C15:I15" si="2">+C5/C$4*100</f>
        <v>50.00791800056512</v>
      </c>
      <c r="D15" s="15">
        <f t="shared" si="2"/>
        <v>51.370521455902349</v>
      </c>
      <c r="E15" s="15">
        <f t="shared" si="2"/>
        <v>50.251481631289238</v>
      </c>
      <c r="F15" s="15">
        <f t="shared" si="2"/>
        <v>44.958410404292231</v>
      </c>
      <c r="G15" s="15">
        <f t="shared" si="2"/>
        <v>44.418517295937541</v>
      </c>
      <c r="H15" s="15">
        <f t="shared" si="2"/>
        <v>43.454048341915893</v>
      </c>
      <c r="I15" s="15">
        <f t="shared" si="2"/>
        <v>40.755722094418459</v>
      </c>
      <c r="J15" s="15">
        <f t="shared" ref="J15:K15" si="3">+J5/J$4*100</f>
        <v>39.749776482134585</v>
      </c>
      <c r="K15" s="15">
        <f t="shared" si="3"/>
        <v>40.224531875614375</v>
      </c>
      <c r="L15" s="15">
        <f>L5/L4*100</f>
        <v>39.732655478835731</v>
      </c>
      <c r="M15" s="15">
        <f>M5/M4*100</f>
        <v>39.790076335877863</v>
      </c>
      <c r="N15" s="15">
        <f>N5/N4*100</f>
        <v>40.407754010695193</v>
      </c>
      <c r="O15" s="15">
        <f>O5/O4*100</f>
        <v>38.12228533244236</v>
      </c>
      <c r="P15" s="15">
        <f>P5/P4*100</f>
        <v>42.36803990988092</v>
      </c>
    </row>
    <row r="16" spans="1:16" ht="15" customHeight="1">
      <c r="A16" s="32" t="s">
        <v>42</v>
      </c>
      <c r="B16" s="15">
        <f t="shared" ref="B16:I16" si="4">+B6/B$4*100</f>
        <v>36.202093559355028</v>
      </c>
      <c r="C16" s="15">
        <f t="shared" si="4"/>
        <v>34.513167169175063</v>
      </c>
      <c r="D16" s="15">
        <f t="shared" si="4"/>
        <v>33.808304082471622</v>
      </c>
      <c r="E16" s="15">
        <f t="shared" si="4"/>
        <v>32.868180246088549</v>
      </c>
      <c r="F16" s="15">
        <f t="shared" si="4"/>
        <v>38.028917406739353</v>
      </c>
      <c r="G16" s="15">
        <f t="shared" si="4"/>
        <v>40.853186573025404</v>
      </c>
      <c r="H16" s="15">
        <f t="shared" si="4"/>
        <v>41.057360596250511</v>
      </c>
      <c r="I16" s="15">
        <f t="shared" si="4"/>
        <v>43.060728377446907</v>
      </c>
      <c r="J16" s="15">
        <f t="shared" ref="J16:K16" si="5">+J6/J$4*100</f>
        <v>45.273216007082667</v>
      </c>
      <c r="K16" s="15">
        <f t="shared" si="5"/>
        <v>42.934678366779352</v>
      </c>
      <c r="L16" s="15">
        <f>L6/L4*100</f>
        <v>45.430087165705736</v>
      </c>
      <c r="M16" s="15">
        <f>M6/M4*100</f>
        <v>44.592875318066156</v>
      </c>
      <c r="N16" s="15">
        <f>N6/N4*100</f>
        <v>46.29010695187165</v>
      </c>
      <c r="O16" s="15">
        <f>O6/O4*100</f>
        <v>47.778149014366853</v>
      </c>
      <c r="P16" s="15">
        <f>P6/P4*100</f>
        <v>44.353940234210583</v>
      </c>
    </row>
    <row r="17" spans="1:16" ht="15" customHeight="1">
      <c r="A17" s="64" t="s">
        <v>15</v>
      </c>
      <c r="B17" s="15">
        <f>+B11/B$4*100</f>
        <v>14.79420226386633</v>
      </c>
      <c r="C17" s="15">
        <f t="shared" ref="C17:I17" si="6">+C11/C$4*100</f>
        <v>15.478914830259798</v>
      </c>
      <c r="D17" s="15">
        <f t="shared" si="6"/>
        <v>14.821174461626029</v>
      </c>
      <c r="E17" s="15">
        <f t="shared" si="6"/>
        <v>16.880338122622206</v>
      </c>
      <c r="F17" s="15">
        <f t="shared" si="6"/>
        <v>17.012672188968416</v>
      </c>
      <c r="G17" s="15">
        <f t="shared" si="6"/>
        <v>14.728296131037069</v>
      </c>
      <c r="H17" s="15">
        <f t="shared" si="6"/>
        <v>15.48859106183359</v>
      </c>
      <c r="I17" s="15">
        <f t="shared" si="6"/>
        <v>16.183549528134623</v>
      </c>
      <c r="J17" s="15">
        <f t="shared" ref="J17:K17" si="7">+J11/J$4*100</f>
        <v>14.97700751078273</v>
      </c>
      <c r="K17" s="15">
        <f t="shared" si="7"/>
        <v>16.840789757606284</v>
      </c>
      <c r="L17" s="15">
        <f>L11/L4*100</f>
        <v>14.837257355458529</v>
      </c>
      <c r="M17" s="15">
        <f>M11/M4*100</f>
        <v>15.617048346055981</v>
      </c>
      <c r="N17" s="15">
        <f>N11/N4*100</f>
        <v>13.302139037433156</v>
      </c>
      <c r="O17" s="15">
        <f>O11/O4*100</f>
        <v>14.09956565319078</v>
      </c>
      <c r="P17" s="15">
        <f>P11/P4*100</f>
        <v>13.278019855908493</v>
      </c>
    </row>
    <row r="18" spans="1:16" ht="15" customHeight="1">
      <c r="B18" s="16"/>
      <c r="C18" s="16"/>
      <c r="D18" s="16"/>
      <c r="E18" s="16"/>
      <c r="F18" s="16"/>
      <c r="G18" s="16"/>
      <c r="H18" s="16"/>
      <c r="I18" s="16"/>
    </row>
    <row r="19" spans="1:16" ht="15" customHeight="1">
      <c r="A19" s="65" t="s">
        <v>5</v>
      </c>
    </row>
    <row r="20" spans="1:16" ht="15" customHeight="1">
      <c r="A20" s="39" t="s">
        <v>43</v>
      </c>
    </row>
    <row r="22" spans="1:16" ht="15" customHeight="1">
      <c r="A22" s="39" t="s">
        <v>50</v>
      </c>
    </row>
    <row r="23" spans="1:16" ht="15" customHeight="1">
      <c r="M23" s="21"/>
    </row>
  </sheetData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content</vt:lpstr>
      <vt:lpstr>TNO-1</vt:lpstr>
      <vt:lpstr>TNO-2</vt:lpstr>
      <vt:lpstr>GTI</vt:lpstr>
      <vt:lpstr>WR</vt:lpstr>
    </vt:vector>
  </TitlesOfParts>
  <Company>Rathenau Instituut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JanS</dc:creator>
  <cp:lastModifiedBy>Lionne Koens</cp:lastModifiedBy>
  <cp:lastPrinted>2011-08-02T09:45:13Z</cp:lastPrinted>
  <dcterms:created xsi:type="dcterms:W3CDTF">2009-09-30T13:38:46Z</dcterms:created>
  <dcterms:modified xsi:type="dcterms:W3CDTF">2019-10-10T11:14:55Z</dcterms:modified>
</cp:coreProperties>
</file>