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Microdata\Factsheets en datapublicaties\1 - Geld\Achterliggende bestanden\"/>
    </mc:Choice>
  </mc:AlternateContent>
  <bookViews>
    <workbookView xWindow="960" yWindow="645" windowWidth="17715" windowHeight="8685"/>
  </bookViews>
  <sheets>
    <sheet name="Blad1" sheetId="1" r:id="rId1"/>
  </sheets>
  <calcPr calcId="162913"/>
</workbook>
</file>

<file path=xl/calcChain.xml><?xml version="1.0" encoding="utf-8"?>
<calcChain xmlns="http://schemas.openxmlformats.org/spreadsheetml/2006/main">
  <c r="AC77" i="1" l="1"/>
  <c r="AC79" i="1" s="1"/>
  <c r="AD77" i="1"/>
  <c r="AD65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B65" i="1"/>
  <c r="B77" i="1"/>
  <c r="V76" i="1"/>
  <c r="W76" i="1"/>
  <c r="X76" i="1"/>
  <c r="Y76" i="1"/>
  <c r="Z76" i="1"/>
  <c r="AA76" i="1"/>
  <c r="AB76" i="1"/>
  <c r="AC76" i="1"/>
  <c r="C76" i="1"/>
  <c r="C79" i="1" s="1"/>
  <c r="D76" i="1"/>
  <c r="D79" i="1" s="1"/>
  <c r="E76" i="1"/>
  <c r="E79" i="1" s="1"/>
  <c r="F76" i="1"/>
  <c r="F79" i="1" s="1"/>
  <c r="G76" i="1"/>
  <c r="G79" i="1" s="1"/>
  <c r="H76" i="1"/>
  <c r="H79" i="1" s="1"/>
  <c r="I76" i="1"/>
  <c r="I79" i="1" s="1"/>
  <c r="J76" i="1"/>
  <c r="J79" i="1" s="1"/>
  <c r="K76" i="1"/>
  <c r="K79" i="1" s="1"/>
  <c r="L76" i="1"/>
  <c r="L79" i="1" s="1"/>
  <c r="M76" i="1"/>
  <c r="M79" i="1" s="1"/>
  <c r="N76" i="1"/>
  <c r="N79" i="1" s="1"/>
  <c r="O76" i="1"/>
  <c r="O79" i="1" s="1"/>
  <c r="P76" i="1"/>
  <c r="P79" i="1" s="1"/>
  <c r="Q76" i="1"/>
  <c r="Q79" i="1" s="1"/>
  <c r="R76" i="1"/>
  <c r="R79" i="1" s="1"/>
  <c r="S76" i="1"/>
  <c r="S79" i="1" s="1"/>
  <c r="B76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B78" i="1"/>
  <c r="B66" i="1"/>
  <c r="B64" i="1"/>
  <c r="B79" i="1" l="1"/>
  <c r="AD66" i="1" l="1"/>
  <c r="AD60" i="1"/>
  <c r="AD51" i="1" l="1"/>
  <c r="AD17" i="1" l="1"/>
  <c r="AD21" i="1" s="1"/>
  <c r="AD72" i="1" s="1"/>
  <c r="AC12" i="1"/>
  <c r="AC9" i="1"/>
  <c r="AC7" i="1"/>
  <c r="AC65" i="1" s="1"/>
  <c r="AD76" i="1" l="1"/>
  <c r="AD79" i="1" s="1"/>
  <c r="AD64" i="1"/>
  <c r="AD67" i="1" s="1"/>
  <c r="AD70" i="1" s="1"/>
  <c r="AC66" i="1"/>
  <c r="AC64" i="1"/>
  <c r="AC60" i="1"/>
  <c r="AC67" i="1" l="1"/>
  <c r="AC70" i="1" s="1"/>
  <c r="AC21" i="1"/>
  <c r="AC13" i="1"/>
  <c r="AC72" i="1" l="1"/>
  <c r="U66" i="1"/>
  <c r="P64" i="1" l="1"/>
  <c r="Q64" i="1"/>
  <c r="R64" i="1"/>
  <c r="P65" i="1"/>
  <c r="Q65" i="1"/>
  <c r="R65" i="1"/>
  <c r="S64" i="1"/>
  <c r="V64" i="1"/>
  <c r="W64" i="1"/>
  <c r="X64" i="1"/>
  <c r="Y64" i="1"/>
  <c r="Z64" i="1"/>
  <c r="AA64" i="1"/>
  <c r="AB64" i="1"/>
  <c r="I66" i="1"/>
  <c r="J66" i="1"/>
  <c r="K66" i="1"/>
  <c r="L66" i="1"/>
  <c r="M66" i="1"/>
  <c r="N66" i="1"/>
  <c r="O66" i="1"/>
  <c r="P66" i="1"/>
  <c r="Q66" i="1"/>
  <c r="R66" i="1"/>
  <c r="S66" i="1"/>
  <c r="AB66" i="1"/>
  <c r="AA66" i="1"/>
  <c r="Z66" i="1"/>
  <c r="Y66" i="1"/>
  <c r="X66" i="1"/>
  <c r="W66" i="1"/>
  <c r="V66" i="1"/>
  <c r="T66" i="1"/>
  <c r="T48" i="1" l="1"/>
  <c r="T46" i="1"/>
  <c r="U48" i="1"/>
  <c r="U46" i="1"/>
  <c r="V48" i="1"/>
  <c r="AB48" i="1"/>
  <c r="AB47" i="1"/>
  <c r="AA48" i="1"/>
  <c r="Z48" i="1"/>
  <c r="Y48" i="1"/>
  <c r="Z77" i="1" l="1"/>
  <c r="Z79" i="1" s="1"/>
  <c r="X48" i="1"/>
  <c r="W48" i="1"/>
  <c r="AA50" i="1"/>
  <c r="Z50" i="1"/>
  <c r="Y50" i="1"/>
  <c r="X50" i="1"/>
  <c r="W50" i="1"/>
  <c r="V50" i="1"/>
  <c r="U50" i="1"/>
  <c r="T50" i="1"/>
  <c r="AA49" i="1"/>
  <c r="AA77" i="1" s="1"/>
  <c r="AA79" i="1" s="1"/>
  <c r="Z49" i="1"/>
  <c r="Y49" i="1"/>
  <c r="Y77" i="1" s="1"/>
  <c r="Y79" i="1" s="1"/>
  <c r="X49" i="1"/>
  <c r="W49" i="1"/>
  <c r="W65" i="1" s="1"/>
  <c r="V49" i="1"/>
  <c r="V65" i="1" s="1"/>
  <c r="U49" i="1"/>
  <c r="U65" i="1" s="1"/>
  <c r="T49" i="1"/>
  <c r="T77" i="1" s="1"/>
  <c r="U44" i="1"/>
  <c r="T44" i="1"/>
  <c r="U64" i="1" l="1"/>
  <c r="U76" i="1"/>
  <c r="U79" i="1" s="1"/>
  <c r="W77" i="1"/>
  <c r="W79" i="1" s="1"/>
  <c r="U77" i="1"/>
  <c r="T65" i="1"/>
  <c r="X77" i="1"/>
  <c r="X79" i="1" s="1"/>
  <c r="T76" i="1"/>
  <c r="T79" i="1" s="1"/>
  <c r="T64" i="1"/>
  <c r="V77" i="1"/>
  <c r="V79" i="1" s="1"/>
  <c r="AB50" i="1"/>
  <c r="AB49" i="1"/>
  <c r="AB77" i="1" s="1"/>
  <c r="AB79" i="1" s="1"/>
  <c r="AB21" i="1"/>
  <c r="AB9" i="1"/>
  <c r="AB7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AB65" i="1" l="1"/>
  <c r="AB67" i="1"/>
  <c r="AB70" i="1" s="1"/>
  <c r="AB13" i="1"/>
  <c r="AB72" i="1" s="1"/>
  <c r="AA60" i="1" l="1"/>
  <c r="AA21" i="1" l="1"/>
  <c r="AA7" i="1"/>
  <c r="AA65" i="1" s="1"/>
  <c r="AA9" i="1"/>
  <c r="AA13" i="1" l="1"/>
  <c r="AA67" i="1" l="1"/>
  <c r="AA70" i="1" s="1"/>
  <c r="AA72" i="1"/>
  <c r="C66" i="1" l="1"/>
  <c r="D66" i="1"/>
  <c r="E66" i="1"/>
  <c r="F66" i="1"/>
  <c r="H66" i="1"/>
  <c r="C65" i="1"/>
  <c r="D65" i="1"/>
  <c r="E65" i="1"/>
  <c r="F65" i="1"/>
  <c r="G65" i="1"/>
  <c r="H65" i="1"/>
  <c r="I65" i="1"/>
  <c r="J65" i="1"/>
  <c r="K65" i="1"/>
  <c r="C64" i="1"/>
  <c r="D64" i="1"/>
  <c r="E64" i="1"/>
  <c r="F64" i="1"/>
  <c r="G64" i="1"/>
  <c r="H64" i="1"/>
  <c r="I64" i="1"/>
  <c r="J64" i="1"/>
  <c r="K64" i="1"/>
  <c r="K72" i="1"/>
  <c r="J72" i="1"/>
  <c r="I72" i="1"/>
  <c r="H72" i="1"/>
  <c r="G72" i="1"/>
  <c r="F72" i="1"/>
  <c r="E72" i="1"/>
  <c r="D72" i="1"/>
  <c r="C72" i="1"/>
  <c r="B72" i="1"/>
  <c r="I67" i="1" l="1"/>
  <c r="J67" i="1"/>
  <c r="F67" i="1"/>
  <c r="B67" i="1"/>
  <c r="E67" i="1"/>
  <c r="H67" i="1"/>
  <c r="D67" i="1"/>
  <c r="K67" i="1"/>
  <c r="G67" i="1"/>
  <c r="C67" i="1"/>
  <c r="M64" i="1" l="1"/>
  <c r="N64" i="1"/>
  <c r="O64" i="1"/>
  <c r="M65" i="1"/>
  <c r="N65" i="1"/>
  <c r="O65" i="1"/>
  <c r="S65" i="1"/>
  <c r="L65" i="1"/>
  <c r="L64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L60" i="1"/>
  <c r="M41" i="1"/>
  <c r="N41" i="1"/>
  <c r="O41" i="1"/>
  <c r="P41" i="1"/>
  <c r="Q41" i="1"/>
  <c r="R41" i="1"/>
  <c r="S41" i="1"/>
  <c r="L41" i="1"/>
  <c r="M32" i="1"/>
  <c r="N32" i="1"/>
  <c r="O32" i="1"/>
  <c r="P32" i="1"/>
  <c r="Q32" i="1"/>
  <c r="R32" i="1"/>
  <c r="S32" i="1"/>
  <c r="L32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L21" i="1"/>
  <c r="X9" i="1"/>
  <c r="X65" i="1" s="1"/>
  <c r="Z9" i="1"/>
  <c r="Y9" i="1"/>
  <c r="Z7" i="1"/>
  <c r="Z65" i="1" s="1"/>
  <c r="Y7" i="1"/>
  <c r="Y65" i="1" s="1"/>
  <c r="O72" i="1" l="1"/>
  <c r="Z13" i="1"/>
  <c r="Z72" i="1" s="1"/>
  <c r="Y13" i="1"/>
  <c r="X67" i="1"/>
  <c r="X70" i="1" s="1"/>
  <c r="X13" i="1"/>
  <c r="X72" i="1" s="1"/>
  <c r="U72" i="1"/>
  <c r="Q72" i="1"/>
  <c r="M72" i="1"/>
  <c r="Z67" i="1"/>
  <c r="Z70" i="1" s="1"/>
  <c r="L72" i="1"/>
  <c r="T72" i="1"/>
  <c r="P72" i="1"/>
  <c r="Y67" i="1"/>
  <c r="Y70" i="1" s="1"/>
  <c r="S72" i="1"/>
  <c r="U67" i="1"/>
  <c r="U70" i="1" s="1"/>
  <c r="L67" i="1"/>
  <c r="L70" i="1" s="1"/>
  <c r="M67" i="1"/>
  <c r="M70" i="1" s="1"/>
  <c r="V72" i="1"/>
  <c r="R72" i="1"/>
  <c r="N72" i="1"/>
  <c r="W72" i="1"/>
  <c r="V67" i="1"/>
  <c r="V70" i="1" s="1"/>
  <c r="Y72" i="1"/>
  <c r="W67" i="1"/>
  <c r="W70" i="1" s="1"/>
  <c r="O67" i="1"/>
  <c r="O70" i="1" s="1"/>
  <c r="Q67" i="1"/>
  <c r="Q70" i="1" s="1"/>
  <c r="S67" i="1"/>
  <c r="S70" i="1" s="1"/>
  <c r="P67" i="1"/>
  <c r="P70" i="1" s="1"/>
  <c r="R67" i="1"/>
  <c r="R70" i="1" s="1"/>
  <c r="N67" i="1"/>
  <c r="N70" i="1" s="1"/>
  <c r="T67" i="1"/>
  <c r="T70" i="1" s="1"/>
</calcChain>
</file>

<file path=xl/comments1.xml><?xml version="1.0" encoding="utf-8"?>
<comments xmlns="http://schemas.openxmlformats.org/spreadsheetml/2006/main">
  <authors>
    <author>Lionne Koens</author>
  </authors>
  <commentList>
    <comment ref="A17" authorId="0" shapeId="0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Tot en met 2003 zit deze verwerkt in de basisfinanciering.</t>
        </r>
      </text>
    </comment>
  </commentList>
</comments>
</file>

<file path=xl/sharedStrings.xml><?xml version="1.0" encoding="utf-8"?>
<sst xmlns="http://schemas.openxmlformats.org/spreadsheetml/2006/main" count="76" uniqueCount="46">
  <si>
    <t>Basisfinanciering</t>
  </si>
  <si>
    <t>Doelfinanciering</t>
  </si>
  <si>
    <t>Opdr. publiek NL</t>
  </si>
  <si>
    <t>Opdr. privaat NL</t>
  </si>
  <si>
    <t>Opdr. privaat BL</t>
  </si>
  <si>
    <t>Totaal</t>
  </si>
  <si>
    <t>ECN</t>
  </si>
  <si>
    <t>Opdracht derden</t>
  </si>
  <si>
    <t>Opdr. overheid</t>
  </si>
  <si>
    <t>Opdr. privaat</t>
  </si>
  <si>
    <t>Opdr. EU</t>
  </si>
  <si>
    <t>NLR</t>
  </si>
  <si>
    <t>Opdr. NL totaal</t>
  </si>
  <si>
    <t>Overig</t>
  </si>
  <si>
    <t>GD</t>
  </si>
  <si>
    <t>Faciliteitenfinanciering</t>
  </si>
  <si>
    <t>WL</t>
  </si>
  <si>
    <t>Deltares</t>
  </si>
  <si>
    <t>Subsidieregeling</t>
  </si>
  <si>
    <t>Opdrachten privaat NL</t>
  </si>
  <si>
    <t>Opdrachten privaat BL</t>
  </si>
  <si>
    <t>MARIN</t>
  </si>
  <si>
    <t>Basis/doel</t>
  </si>
  <si>
    <t>Opdrachten</t>
  </si>
  <si>
    <t>Noten:</t>
  </si>
  <si>
    <t>GD: de uitsplitsing in 1999 van opdrachten publiek en privaat NL is van GD op basis van de totale onvang opdrachten NL</t>
  </si>
  <si>
    <t>controle</t>
  </si>
  <si>
    <t>Bronnen: opgaven instellingen, aangevuld met gegevens uit de jaarverslagen / jaarrekeningen</t>
  </si>
  <si>
    <t xml:space="preserve"> </t>
  </si>
  <si>
    <t>% basis/doelfinanciering</t>
  </si>
  <si>
    <t>ECN: vanaf 1991 gecorrigeerd voor bijdrage VUT.</t>
  </si>
  <si>
    <t>Het niet ingezette deel wordt in een reserve voor onderdekking van instandhouding Grote Faciliteiten geplaatst.</t>
  </si>
  <si>
    <t xml:space="preserve">NLR: rapporteert naast de programmafinanciering van de overheid (basisfinanciering) vanaf 2009 ook een investerings-/Instandhoudingsbijdrage Grote Faciliteiten: </t>
  </si>
  <si>
    <t>Totaal GTI</t>
  </si>
  <si>
    <t>Omzet GTI naar financieringsbron (in miljoenen euro)</t>
  </si>
  <si>
    <t>Overige inkomsten</t>
  </si>
  <si>
    <t>ECN: overige kosten vóór 1997 zijn onbekend</t>
  </si>
  <si>
    <t>Opdr.</t>
  </si>
  <si>
    <t>Kennisbijdrage onderzoek</t>
  </si>
  <si>
    <t>Instandhoudingsbijdr. Grote Faciliteiten</t>
  </si>
  <si>
    <t>Opdrachten publiek NL</t>
  </si>
  <si>
    <t>Opdrachten publiek BL</t>
  </si>
  <si>
    <t>opdrachten publiek NL (incl. vraagsturing I&amp;M)</t>
  </si>
  <si>
    <t xml:space="preserve">Deze inkomsten bedragen jaarlijks € 6,8 mln (2010 t/m 2013) en vanaf 2014 € 5,9 mln. </t>
  </si>
  <si>
    <t>Totaal GTI excl. ECN</t>
  </si>
  <si>
    <r>
      <t xml:space="preserve">ECN: Per 1 januari 2018 is ECN </t>
    </r>
    <r>
      <rPr>
        <i/>
        <sz val="11"/>
        <color theme="1"/>
        <rFont val="Calibri"/>
        <family val="2"/>
        <scheme val="minor"/>
      </rPr>
      <t>duurzaam</t>
    </r>
    <r>
      <rPr>
        <sz val="11"/>
        <color theme="1"/>
        <rFont val="Calibri"/>
        <family val="2"/>
        <scheme val="minor"/>
      </rPr>
      <t xml:space="preserve"> afgesplitst van de nucleaire activiteiten van dochteronderneming NRG. De activiteiten van ECN duurzaam, dat ook onderdeel was van de TO2-federatie, gaat verder als onderdeel van TNO als </t>
    </r>
    <r>
      <rPr>
        <i/>
        <sz val="11"/>
        <color theme="1"/>
        <rFont val="Calibri"/>
        <family val="2"/>
        <scheme val="minor"/>
      </rPr>
      <t>ECN part of TNO</t>
    </r>
    <r>
      <rPr>
        <sz val="11"/>
        <color theme="1"/>
        <rFont val="Calibri"/>
        <family val="2"/>
        <scheme val="minor"/>
      </rPr>
      <t xml:space="preserve">. NRG gaat verder als zelfstandige dienstverlener op het gebied van nucleaire energie en is geen GTI meer. Daarom worden zij niet meer meegenomen.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</si>
</sst>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Font="1"/>
    <xf numFmtId="164" fontId="0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right"/>
    </xf>
    <xf numFmtId="165" fontId="0" fillId="0" borderId="0" xfId="0" applyNumberFormat="1" applyFont="1"/>
  </cellXfs>
  <cellStyles count="3">
    <cellStyle name="Normaal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Blad1!$A$70</c:f>
              <c:strCache>
                <c:ptCount val="1"/>
                <c:pt idx="0">
                  <c:v>% basis/doelfinanciering</c:v>
                </c:pt>
              </c:strCache>
            </c:strRef>
          </c:tx>
          <c:marker>
            <c:symbol val="none"/>
          </c:marker>
          <c:cat>
            <c:numRef>
              <c:f>Blad1!$B$63:$AD$63</c:f>
              <c:numCache>
                <c:formatCode>General</c:formatCode>
                <c:ptCount val="2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</c:numCache>
            </c:numRef>
          </c:cat>
          <c:val>
            <c:numRef>
              <c:f>Blad1!$B$70:$AD$70</c:f>
              <c:numCache>
                <c:formatCode>0.0</c:formatCode>
                <c:ptCount val="29"/>
                <c:pt idx="0">
                  <c:v>28.98929224340559</c:v>
                </c:pt>
                <c:pt idx="1">
                  <c:v>27.897310513447433</c:v>
                </c:pt>
                <c:pt idx="2">
                  <c:v>26.25673249551167</c:v>
                </c:pt>
                <c:pt idx="3">
                  <c:v>27.90219378427788</c:v>
                </c:pt>
                <c:pt idx="4">
                  <c:v>28.402504057500579</c:v>
                </c:pt>
                <c:pt idx="5">
                  <c:v>29.070929070929076</c:v>
                </c:pt>
                <c:pt idx="6">
                  <c:v>27.34895191122072</c:v>
                </c:pt>
                <c:pt idx="7">
                  <c:v>27.318718381112983</c:v>
                </c:pt>
                <c:pt idx="8">
                  <c:v>24.683544303797468</c:v>
                </c:pt>
                <c:pt idx="9">
                  <c:v>26.379870129870131</c:v>
                </c:pt>
                <c:pt idx="10">
                  <c:v>26.434203595064648</c:v>
                </c:pt>
                <c:pt idx="11">
                  <c:v>27.151507075216337</c:v>
                </c:pt>
                <c:pt idx="12">
                  <c:v>27.304219524321205</c:v>
                </c:pt>
                <c:pt idx="13">
                  <c:v>28.13055888801555</c:v>
                </c:pt>
                <c:pt idx="14">
                  <c:v>26.550306153308384</c:v>
                </c:pt>
                <c:pt idx="15">
                  <c:v>26.555344680945886</c:v>
                </c:pt>
                <c:pt idx="16">
                  <c:v>28.483183431004882</c:v>
                </c:pt>
                <c:pt idx="17">
                  <c:v>25.966230851535794</c:v>
                </c:pt>
                <c:pt idx="18">
                  <c:v>29.96874015251781</c:v>
                </c:pt>
                <c:pt idx="19">
                  <c:v>35.387052880306364</c:v>
                </c:pt>
                <c:pt idx="20">
                  <c:v>23.096886885112536</c:v>
                </c:pt>
                <c:pt idx="21">
                  <c:v>22.076576455033592</c:v>
                </c:pt>
                <c:pt idx="22">
                  <c:v>19.842764433312723</c:v>
                </c:pt>
                <c:pt idx="23">
                  <c:v>20.368179200177199</c:v>
                </c:pt>
                <c:pt idx="24">
                  <c:v>19.68310492502787</c:v>
                </c:pt>
                <c:pt idx="25">
                  <c:v>18.257524704544615</c:v>
                </c:pt>
                <c:pt idx="26">
                  <c:v>16.969569931707671</c:v>
                </c:pt>
                <c:pt idx="27">
                  <c:v>16.19623587173324</c:v>
                </c:pt>
                <c:pt idx="28">
                  <c:v>17.648954582529296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C5-4737-8FF7-37062832D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479680"/>
        <c:axId val="113481984"/>
      </c:lineChart>
      <c:catAx>
        <c:axId val="11347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3481984"/>
        <c:crosses val="autoZero"/>
        <c:auto val="1"/>
        <c:lblAlgn val="ctr"/>
        <c:lblOffset val="100"/>
        <c:noMultiLvlLbl val="0"/>
      </c:catAx>
      <c:valAx>
        <c:axId val="11348198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134796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1333500</xdr:colOff>
      <xdr:row>90</xdr:row>
      <xdr:rowOff>180975</xdr:rowOff>
    </xdr:from>
    <xdr:to>
      <xdr:col>17</xdr:col>
      <xdr:colOff>28575</xdr:colOff>
      <xdr:row>107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92"/>
  <sheetViews>
    <sheetView tabSelected="1" workbookViewId="0">
      <pane xSplit="1" topLeftCell="B1" activePane="topRight" state="frozen"/>
      <selection pane="topRight" activeCell="X93" sqref="X93"/>
    </sheetView>
  </sheetViews>
  <sheetFormatPr defaultRowHeight="15" x14ac:dyDescent="0.25"/>
  <cols>
    <col min="1" max="1" width="20.140625" style="2" customWidth="1"/>
    <col min="2" max="28" width="6.7109375" style="2" customWidth="1"/>
    <col min="29" max="29" width="10" style="2" customWidth="1"/>
    <col min="30" max="30" width="9.140625" style="2"/>
    <col min="31" max="31" width="12.42578125" style="2" customWidth="1"/>
    <col min="32" max="16384" width="9.140625" style="2"/>
  </cols>
  <sheetData>
    <row r="1" spans="1:44" x14ac:dyDescent="0.25">
      <c r="A1" s="1" t="s">
        <v>34</v>
      </c>
    </row>
    <row r="3" spans="1:44" s="1" customFormat="1" x14ac:dyDescent="0.25">
      <c r="A3" s="1" t="s">
        <v>6</v>
      </c>
      <c r="B3" s="1">
        <v>1990</v>
      </c>
      <c r="C3" s="5">
        <v>1991</v>
      </c>
      <c r="D3" s="5">
        <v>1992</v>
      </c>
      <c r="E3" s="5">
        <v>1993</v>
      </c>
      <c r="F3" s="1">
        <v>1994</v>
      </c>
      <c r="G3" s="1">
        <v>1995</v>
      </c>
      <c r="H3" s="1">
        <v>1996</v>
      </c>
      <c r="I3" s="1">
        <v>1997</v>
      </c>
      <c r="J3" s="1">
        <v>1998</v>
      </c>
      <c r="K3" s="1">
        <v>1999</v>
      </c>
      <c r="L3" s="1">
        <v>2000</v>
      </c>
      <c r="M3" s="1">
        <v>2001</v>
      </c>
      <c r="N3" s="1">
        <v>2002</v>
      </c>
      <c r="O3" s="1">
        <v>2003</v>
      </c>
      <c r="P3" s="1">
        <v>2004</v>
      </c>
      <c r="Q3" s="1">
        <v>2005</v>
      </c>
      <c r="R3" s="1">
        <v>2006</v>
      </c>
      <c r="S3" s="1">
        <v>2007</v>
      </c>
      <c r="T3" s="1">
        <v>2008</v>
      </c>
      <c r="U3" s="1">
        <v>2009</v>
      </c>
      <c r="V3" s="1">
        <v>2010</v>
      </c>
      <c r="W3" s="1">
        <v>2011</v>
      </c>
      <c r="X3" s="1">
        <v>2012</v>
      </c>
      <c r="Y3" s="1">
        <v>2013</v>
      </c>
      <c r="Z3" s="1">
        <v>2014</v>
      </c>
      <c r="AA3" s="1">
        <v>2015</v>
      </c>
      <c r="AB3" s="1">
        <v>2016</v>
      </c>
      <c r="AC3" s="1">
        <v>2017</v>
      </c>
    </row>
    <row r="4" spans="1:44" s="3" customFormat="1" x14ac:dyDescent="0.25">
      <c r="A4" s="3" t="s">
        <v>0</v>
      </c>
      <c r="B4" s="3">
        <v>12.978114180177974</v>
      </c>
      <c r="C4" s="3">
        <v>13.341138353050082</v>
      </c>
      <c r="D4" s="3">
        <v>13.704162525922195</v>
      </c>
      <c r="E4" s="3">
        <v>13.613406482704166</v>
      </c>
      <c r="F4" s="3">
        <v>13.522650439486139</v>
      </c>
      <c r="G4" s="3">
        <v>13.613406482704166</v>
      </c>
      <c r="H4" s="3">
        <v>13.023492201786986</v>
      </c>
      <c r="I4" s="3">
        <v>13.023492201786986</v>
      </c>
      <c r="J4" s="3">
        <v>13.205004288223043</v>
      </c>
      <c r="K4" s="3">
        <v>14.384832850057402</v>
      </c>
      <c r="L4" s="3">
        <v>14.929369109365568</v>
      </c>
      <c r="M4" s="3">
        <v>15.3</v>
      </c>
      <c r="N4" s="3">
        <v>15.9</v>
      </c>
      <c r="O4" s="3">
        <v>9.5</v>
      </c>
      <c r="P4" s="3">
        <v>8</v>
      </c>
      <c r="Q4" s="3">
        <v>8</v>
      </c>
      <c r="R4" s="3">
        <v>9.9</v>
      </c>
      <c r="S4" s="3">
        <v>9.4</v>
      </c>
      <c r="T4" s="3">
        <v>9.6</v>
      </c>
      <c r="U4" s="3">
        <v>13.406000000000001</v>
      </c>
      <c r="V4" s="3">
        <v>12.243</v>
      </c>
      <c r="W4" s="3">
        <v>13.766</v>
      </c>
      <c r="X4" s="3">
        <v>9.5340000000000007</v>
      </c>
      <c r="Y4" s="3">
        <v>6.0549999999999997</v>
      </c>
      <c r="Z4" s="3">
        <v>5.899</v>
      </c>
      <c r="AA4" s="3">
        <v>5.1210000000000004</v>
      </c>
      <c r="AB4" s="3">
        <v>5.8449999999999998</v>
      </c>
      <c r="AC4" s="3">
        <v>6.6760000000000002</v>
      </c>
    </row>
    <row r="5" spans="1:44" s="3" customFormat="1" x14ac:dyDescent="0.25">
      <c r="A5" s="3" t="s">
        <v>1</v>
      </c>
      <c r="B5" s="3">
        <v>12.932736158568959</v>
      </c>
      <c r="C5" s="3">
        <v>13.205004288223043</v>
      </c>
      <c r="D5" s="3">
        <v>13.65878450431318</v>
      </c>
      <c r="E5" s="3">
        <v>13.976430655576278</v>
      </c>
      <c r="F5" s="3">
        <v>14.24869878523036</v>
      </c>
      <c r="G5" s="3">
        <v>13.205004288223043</v>
      </c>
      <c r="H5" s="3">
        <v>12.388199899260792</v>
      </c>
      <c r="I5" s="3">
        <v>14.021808677185291</v>
      </c>
      <c r="J5" s="3">
        <v>13.023492201786986</v>
      </c>
      <c r="K5" s="3">
        <v>14.11256472040332</v>
      </c>
      <c r="L5" s="3">
        <v>14.793235044538529</v>
      </c>
      <c r="M5" s="3">
        <v>15.6</v>
      </c>
      <c r="N5" s="3">
        <v>17.899999999999999</v>
      </c>
      <c r="O5" s="3">
        <v>24.5</v>
      </c>
      <c r="P5" s="3">
        <v>23.7</v>
      </c>
      <c r="Q5" s="3">
        <v>26.4</v>
      </c>
      <c r="R5" s="3">
        <v>34.700000000000003</v>
      </c>
      <c r="S5" s="3">
        <v>32.700000000000003</v>
      </c>
      <c r="T5" s="3">
        <v>35.299999999999997</v>
      </c>
      <c r="U5" s="3">
        <v>31.327999999999999</v>
      </c>
      <c r="V5" s="3">
        <v>30.440999999999999</v>
      </c>
      <c r="W5" s="3">
        <v>25.021000000000001</v>
      </c>
      <c r="X5" s="3">
        <v>25.163</v>
      </c>
      <c r="Y5" s="3">
        <v>27.640999999999998</v>
      </c>
      <c r="Z5" s="3">
        <v>25.782</v>
      </c>
      <c r="AA5" s="3">
        <v>24.585000000000001</v>
      </c>
      <c r="AB5" s="3">
        <v>22.725999999999999</v>
      </c>
      <c r="AC5" s="3">
        <v>21.661000000000001</v>
      </c>
    </row>
    <row r="6" spans="1:44" s="3" customFormat="1" x14ac:dyDescent="0.25">
      <c r="A6" s="3" t="s">
        <v>7</v>
      </c>
      <c r="AD6" s="6"/>
    </row>
    <row r="7" spans="1:44" s="3" customFormat="1" x14ac:dyDescent="0.25">
      <c r="A7" s="3" t="s">
        <v>8</v>
      </c>
      <c r="B7" s="3">
        <v>4.2655340312473058</v>
      </c>
      <c r="C7" s="3">
        <v>3.9478878799842079</v>
      </c>
      <c r="D7" s="3">
        <v>4.5378021609013892</v>
      </c>
      <c r="E7" s="3">
        <v>4.5378021609013892</v>
      </c>
      <c r="F7" s="3">
        <v>4.2655340312473058</v>
      </c>
      <c r="G7" s="3">
        <v>4.5831801825104028</v>
      </c>
      <c r="H7" s="3">
        <v>3.2218395342399861</v>
      </c>
      <c r="I7" s="3">
        <v>3.0403274478039308</v>
      </c>
      <c r="J7" s="3">
        <v>3.9478878799842079</v>
      </c>
      <c r="K7" s="3">
        <v>3.6302417287211113</v>
      </c>
      <c r="L7" s="3">
        <v>3.0857054694129444</v>
      </c>
      <c r="M7" s="3">
        <v>5.2</v>
      </c>
      <c r="N7" s="3">
        <v>6.1</v>
      </c>
      <c r="O7" s="3">
        <v>2</v>
      </c>
      <c r="P7" s="3">
        <v>5.4</v>
      </c>
      <c r="Q7" s="3">
        <v>5.2</v>
      </c>
      <c r="R7" s="3">
        <v>10.5</v>
      </c>
      <c r="S7" s="3">
        <v>13.8</v>
      </c>
      <c r="T7" s="3">
        <v>13</v>
      </c>
      <c r="U7" s="3">
        <v>14.61</v>
      </c>
      <c r="V7" s="3">
        <v>16.949000000000002</v>
      </c>
      <c r="W7" s="3">
        <v>11.908999999999999</v>
      </c>
      <c r="X7" s="3">
        <v>16.597000000000001</v>
      </c>
      <c r="Y7" s="3">
        <f>7.265+11.649+4.573</f>
        <v>23.486999999999998</v>
      </c>
      <c r="Z7" s="3">
        <f>8.835+9.394+4.511</f>
        <v>22.74</v>
      </c>
      <c r="AA7" s="3">
        <f>6.223+10.978+9.612</f>
        <v>26.813000000000002</v>
      </c>
      <c r="AB7" s="3">
        <f>3.99+10.177+11.925</f>
        <v>26.091999999999999</v>
      </c>
      <c r="AC7" s="3">
        <f>4.135+10.323+12.639</f>
        <v>27.097000000000001</v>
      </c>
      <c r="AH7" s="4"/>
    </row>
    <row r="8" spans="1:44" s="3" customFormat="1" x14ac:dyDescent="0.25">
      <c r="A8" s="3" t="s">
        <v>9</v>
      </c>
      <c r="B8" s="3">
        <v>18.650366881304709</v>
      </c>
      <c r="C8" s="3">
        <v>21.599938285890612</v>
      </c>
      <c r="D8" s="3">
        <v>25.774716273919889</v>
      </c>
      <c r="E8" s="3">
        <v>22.961278934161029</v>
      </c>
      <c r="F8" s="3">
        <v>19.467171270266959</v>
      </c>
      <c r="G8" s="3">
        <v>16.336087779244998</v>
      </c>
      <c r="H8" s="3">
        <v>18.922635010958793</v>
      </c>
      <c r="I8" s="3">
        <v>20.964645983364417</v>
      </c>
      <c r="J8" s="3">
        <v>34.895698617331682</v>
      </c>
      <c r="K8" s="3">
        <v>35.712503006293929</v>
      </c>
      <c r="L8" s="3">
        <v>43.653656787871363</v>
      </c>
      <c r="M8" s="3">
        <v>47.5</v>
      </c>
      <c r="N8" s="3">
        <v>47.8</v>
      </c>
      <c r="O8" s="3">
        <v>47.6</v>
      </c>
      <c r="P8" s="3">
        <v>47.5</v>
      </c>
      <c r="Q8" s="3">
        <v>47.8</v>
      </c>
      <c r="R8" s="3">
        <v>39</v>
      </c>
      <c r="S8" s="3">
        <v>44.4</v>
      </c>
    </row>
    <row r="9" spans="1:44" s="3" customFormat="1" x14ac:dyDescent="0.25">
      <c r="A9" s="3" t="s">
        <v>3</v>
      </c>
      <c r="T9" s="3">
        <v>27.099999999999998</v>
      </c>
      <c r="U9" s="3">
        <v>34.808999999999997</v>
      </c>
      <c r="V9" s="3">
        <v>30.282</v>
      </c>
      <c r="W9" s="3">
        <v>34.258000000000003</v>
      </c>
      <c r="X9" s="3">
        <f>31.126+5.576</f>
        <v>36.701999999999998</v>
      </c>
      <c r="Y9" s="3">
        <f>27.842+5.196</f>
        <v>33.037999999999997</v>
      </c>
      <c r="Z9" s="3">
        <f>26.709+5.919</f>
        <v>32.628</v>
      </c>
      <c r="AA9" s="3">
        <f>24.793+3.277</f>
        <v>28.07</v>
      </c>
      <c r="AB9" s="3">
        <f>41.594+3.103</f>
        <v>44.697000000000003</v>
      </c>
      <c r="AC9" s="3">
        <f>40.143+3.276</f>
        <v>43.418999999999997</v>
      </c>
    </row>
    <row r="10" spans="1:44" s="3" customFormat="1" x14ac:dyDescent="0.25">
      <c r="A10" s="3" t="s">
        <v>4</v>
      </c>
      <c r="T10" s="3">
        <v>15.180999999999999</v>
      </c>
      <c r="U10" s="3">
        <v>18.893000000000001</v>
      </c>
      <c r="V10" s="3">
        <v>16.937999999999999</v>
      </c>
      <c r="W10" s="3">
        <v>21.995999999999999</v>
      </c>
      <c r="X10" s="3">
        <v>21.98</v>
      </c>
      <c r="Y10" s="3">
        <v>19.065000000000001</v>
      </c>
      <c r="Z10" s="3">
        <v>19.478999999999999</v>
      </c>
      <c r="AA10" s="3">
        <v>23.228000000000002</v>
      </c>
      <c r="AB10" s="3">
        <v>21.202000000000002</v>
      </c>
      <c r="AC10" s="3">
        <v>27.317</v>
      </c>
      <c r="AH10" s="4"/>
    </row>
    <row r="11" spans="1:44" s="3" customFormat="1" x14ac:dyDescent="0.25">
      <c r="A11" s="3" t="s">
        <v>10</v>
      </c>
      <c r="B11" s="3">
        <v>12.070553747997694</v>
      </c>
      <c r="C11" s="3">
        <v>13.250382309832055</v>
      </c>
      <c r="D11" s="3">
        <v>11.480639467080515</v>
      </c>
      <c r="E11" s="3">
        <v>12.796602093741916</v>
      </c>
      <c r="F11" s="3">
        <v>13.522650439486139</v>
      </c>
      <c r="G11" s="3">
        <v>12.433577920869805</v>
      </c>
      <c r="H11" s="3">
        <v>12.615090007305861</v>
      </c>
      <c r="I11" s="3">
        <v>13.613406482704166</v>
      </c>
      <c r="J11" s="3">
        <v>12.932736158568959</v>
      </c>
      <c r="K11" s="3">
        <v>12.615090007305861</v>
      </c>
      <c r="L11" s="3">
        <v>7.8050197167503885</v>
      </c>
      <c r="M11" s="3">
        <v>8</v>
      </c>
      <c r="N11" s="3">
        <v>10</v>
      </c>
      <c r="O11" s="3">
        <v>10</v>
      </c>
      <c r="P11" s="3">
        <v>12</v>
      </c>
      <c r="Q11" s="3">
        <v>11</v>
      </c>
      <c r="R11" s="3">
        <v>18.8</v>
      </c>
      <c r="S11" s="3">
        <v>19.5</v>
      </c>
      <c r="T11" s="3">
        <v>19.600000000000001</v>
      </c>
      <c r="U11" s="3">
        <v>16.905000000000001</v>
      </c>
      <c r="V11" s="3">
        <v>17.187000000000001</v>
      </c>
      <c r="W11" s="3">
        <v>16.015999999999998</v>
      </c>
      <c r="X11" s="3">
        <v>17.727</v>
      </c>
      <c r="Y11" s="3">
        <v>14.237</v>
      </c>
      <c r="Z11" s="3">
        <v>18.803999999999998</v>
      </c>
      <c r="AA11" s="3">
        <v>14.868</v>
      </c>
      <c r="AB11" s="3">
        <v>14.846</v>
      </c>
      <c r="AC11" s="3">
        <v>13.836</v>
      </c>
    </row>
    <row r="12" spans="1:44" s="3" customFormat="1" x14ac:dyDescent="0.25">
      <c r="A12" s="3" t="s">
        <v>35</v>
      </c>
      <c r="I12" s="3">
        <v>6.8230000000000004</v>
      </c>
      <c r="J12" s="3">
        <v>7.556</v>
      </c>
      <c r="K12" s="3">
        <v>4.274</v>
      </c>
      <c r="L12" s="3">
        <v>3.87</v>
      </c>
      <c r="M12" s="3">
        <v>3.0339999999999998</v>
      </c>
      <c r="N12" s="3">
        <v>3.7120000000000002</v>
      </c>
      <c r="O12" s="3">
        <v>2.93</v>
      </c>
      <c r="P12" s="3">
        <v>5.7110000000000003</v>
      </c>
      <c r="Q12" s="3">
        <v>8.4489999999999998</v>
      </c>
      <c r="R12" s="3">
        <v>8.9870000000000001</v>
      </c>
      <c r="S12" s="3">
        <v>12.151999999999999</v>
      </c>
      <c r="T12" s="3">
        <v>12.225</v>
      </c>
      <c r="U12" s="3">
        <v>10.73</v>
      </c>
      <c r="V12" s="3">
        <v>13.164</v>
      </c>
      <c r="W12" s="3">
        <v>15.278</v>
      </c>
      <c r="X12" s="3">
        <v>17.593</v>
      </c>
      <c r="Y12" s="3">
        <v>18.23</v>
      </c>
      <c r="Z12" s="3">
        <v>14.385</v>
      </c>
      <c r="AA12" s="3">
        <v>15.183999999999999</v>
      </c>
      <c r="AB12" s="3">
        <v>17.222999999999999</v>
      </c>
      <c r="AC12" s="3">
        <f>11.386+7.668</f>
        <v>19.053999999999998</v>
      </c>
    </row>
    <row r="13" spans="1:44" s="4" customFormat="1" x14ac:dyDescent="0.25">
      <c r="A13" s="4" t="s">
        <v>5</v>
      </c>
      <c r="B13" s="4">
        <v>60.897304999296637</v>
      </c>
      <c r="C13" s="4">
        <v>65.344351116979993</v>
      </c>
      <c r="D13" s="4">
        <v>69.156104932137168</v>
      </c>
      <c r="E13" s="4">
        <v>67.885520327084777</v>
      </c>
      <c r="F13" s="4">
        <v>65.026704965716903</v>
      </c>
      <c r="G13" s="4">
        <v>60.171256653552419</v>
      </c>
      <c r="H13" s="4">
        <v>60.171256653552412</v>
      </c>
      <c r="I13" s="4">
        <f t="shared" ref="I13:AB13" si="0">SUM(I4:I12)</f>
        <v>71.486680792844794</v>
      </c>
      <c r="J13" s="4">
        <f t="shared" si="0"/>
        <v>85.560819145894882</v>
      </c>
      <c r="K13" s="4">
        <f t="shared" si="0"/>
        <v>84.729232312781619</v>
      </c>
      <c r="L13" s="4">
        <f t="shared" si="0"/>
        <v>88.136986127938798</v>
      </c>
      <c r="M13" s="4">
        <f t="shared" si="0"/>
        <v>94.634</v>
      </c>
      <c r="N13" s="4">
        <f t="shared" si="0"/>
        <v>101.41199999999999</v>
      </c>
      <c r="O13" s="4">
        <f t="shared" si="0"/>
        <v>96.53</v>
      </c>
      <c r="P13" s="4">
        <f t="shared" si="0"/>
        <v>102.31099999999999</v>
      </c>
      <c r="Q13" s="4">
        <f t="shared" si="0"/>
        <v>106.849</v>
      </c>
      <c r="R13" s="4">
        <f t="shared" si="0"/>
        <v>121.88699999999999</v>
      </c>
      <c r="S13" s="4">
        <f t="shared" si="0"/>
        <v>131.952</v>
      </c>
      <c r="T13" s="4">
        <f t="shared" si="0"/>
        <v>132.006</v>
      </c>
      <c r="U13" s="4">
        <f t="shared" si="0"/>
        <v>140.68099999999998</v>
      </c>
      <c r="V13" s="4">
        <f t="shared" si="0"/>
        <v>137.20399999999998</v>
      </c>
      <c r="W13" s="4">
        <f t="shared" si="0"/>
        <v>138.244</v>
      </c>
      <c r="X13" s="4">
        <f t="shared" si="0"/>
        <v>145.29600000000002</v>
      </c>
      <c r="Y13" s="4">
        <f t="shared" si="0"/>
        <v>141.75299999999999</v>
      </c>
      <c r="Z13" s="4">
        <f t="shared" si="0"/>
        <v>139.71700000000001</v>
      </c>
      <c r="AA13" s="4">
        <f t="shared" si="0"/>
        <v>137.869</v>
      </c>
      <c r="AB13" s="4">
        <f t="shared" si="0"/>
        <v>152.63099999999997</v>
      </c>
      <c r="AC13" s="4">
        <f t="shared" ref="AC13" si="1">SUM(AC4:AC12)</f>
        <v>159.06000000000003</v>
      </c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x14ac:dyDescent="0.25"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s="1" customFormat="1" x14ac:dyDescent="0.25">
      <c r="A15" s="1" t="s">
        <v>11</v>
      </c>
      <c r="B15" s="1">
        <v>1990</v>
      </c>
      <c r="C15" s="1">
        <v>1991</v>
      </c>
      <c r="D15" s="1">
        <v>1992</v>
      </c>
      <c r="E15" s="1">
        <v>1993</v>
      </c>
      <c r="F15" s="1">
        <v>1994</v>
      </c>
      <c r="G15" s="1">
        <v>1995</v>
      </c>
      <c r="H15" s="1">
        <v>1996</v>
      </c>
      <c r="I15" s="1">
        <v>1997</v>
      </c>
      <c r="J15" s="1">
        <v>1998</v>
      </c>
      <c r="K15" s="1">
        <v>1999</v>
      </c>
      <c r="L15" s="1">
        <v>2000</v>
      </c>
      <c r="M15" s="1">
        <v>2001</v>
      </c>
      <c r="N15" s="1">
        <v>2002</v>
      </c>
      <c r="O15" s="1">
        <v>2003</v>
      </c>
      <c r="P15" s="1">
        <v>2004</v>
      </c>
      <c r="Q15" s="1">
        <v>2005</v>
      </c>
      <c r="R15" s="1">
        <v>2006</v>
      </c>
      <c r="S15" s="1">
        <v>2007</v>
      </c>
      <c r="T15" s="1">
        <v>2008</v>
      </c>
      <c r="U15" s="1">
        <v>2009</v>
      </c>
      <c r="V15" s="1">
        <v>2010</v>
      </c>
      <c r="W15" s="1">
        <v>2011</v>
      </c>
      <c r="X15" s="1">
        <v>2012</v>
      </c>
      <c r="Y15" s="1">
        <v>2013</v>
      </c>
      <c r="Z15" s="1">
        <v>2014</v>
      </c>
      <c r="AA15" s="1">
        <v>2015</v>
      </c>
      <c r="AB15" s="1">
        <v>2016</v>
      </c>
      <c r="AC15" s="1">
        <v>2017</v>
      </c>
      <c r="AD15" s="1">
        <v>2018</v>
      </c>
    </row>
    <row r="16" spans="1:44" s="3" customFormat="1" x14ac:dyDescent="0.25">
      <c r="A16" s="3" t="s">
        <v>0</v>
      </c>
      <c r="B16" s="3">
        <v>16.0184416279819</v>
      </c>
      <c r="C16" s="3">
        <v>16.744489973726125</v>
      </c>
      <c r="D16" s="3">
        <v>17.198270189816263</v>
      </c>
      <c r="E16" s="3">
        <v>19.285659183830901</v>
      </c>
      <c r="F16" s="3">
        <v>19.285659183830901</v>
      </c>
      <c r="G16" s="3">
        <v>18.514232816477666</v>
      </c>
      <c r="H16" s="3">
        <v>17.425160297861332</v>
      </c>
      <c r="I16" s="3">
        <v>16.971380081771194</v>
      </c>
      <c r="J16" s="3">
        <v>16.835246016944154</v>
      </c>
      <c r="K16" s="3">
        <v>19.739439399921043</v>
      </c>
      <c r="L16" s="3">
        <v>18.741122924522735</v>
      </c>
      <c r="M16" s="3">
        <v>19.8</v>
      </c>
      <c r="N16" s="3">
        <v>19.600000000000001</v>
      </c>
      <c r="O16" s="3">
        <v>19.5</v>
      </c>
      <c r="P16" s="3">
        <v>19.7</v>
      </c>
      <c r="Q16" s="3">
        <v>19.899999999999999</v>
      </c>
      <c r="R16" s="3">
        <v>20</v>
      </c>
      <c r="S16" s="3">
        <v>20.2</v>
      </c>
      <c r="T16" s="3">
        <v>20.5</v>
      </c>
      <c r="U16" s="3">
        <v>22.1</v>
      </c>
      <c r="V16" s="3">
        <v>19.600000000000001</v>
      </c>
      <c r="W16" s="3">
        <v>19.8</v>
      </c>
      <c r="X16" s="3">
        <v>18.3</v>
      </c>
      <c r="Y16" s="3">
        <v>18.100000000000001</v>
      </c>
      <c r="Z16" s="3">
        <v>17.489000000000001</v>
      </c>
      <c r="AA16" s="3">
        <v>17.135999999999999</v>
      </c>
      <c r="AB16" s="3">
        <v>15.698</v>
      </c>
      <c r="AC16" s="3">
        <v>14.4</v>
      </c>
      <c r="AD16" s="3">
        <v>16.428000000000001</v>
      </c>
    </row>
    <row r="17" spans="1:30" s="3" customFormat="1" x14ac:dyDescent="0.25">
      <c r="A17" s="3" t="s">
        <v>39</v>
      </c>
      <c r="P17" s="3">
        <v>2.2999999999999998</v>
      </c>
      <c r="Q17" s="3">
        <v>2.2999999999999998</v>
      </c>
      <c r="R17" s="3">
        <v>2.1</v>
      </c>
      <c r="S17" s="3">
        <v>2.2000000000000002</v>
      </c>
      <c r="T17" s="3">
        <v>3.2</v>
      </c>
      <c r="U17" s="3">
        <v>3.2</v>
      </c>
      <c r="V17" s="3">
        <v>5.3540000000000001</v>
      </c>
      <c r="W17" s="3">
        <v>5.931</v>
      </c>
      <c r="X17" s="3">
        <v>5.7679999999999998</v>
      </c>
      <c r="Y17" s="3">
        <v>6.7359999999999998</v>
      </c>
      <c r="Z17" s="3">
        <v>7.1970000000000001</v>
      </c>
      <c r="AA17" s="3">
        <v>5.7110000000000003</v>
      </c>
      <c r="AB17" s="3">
        <v>6.6929999999999996</v>
      </c>
      <c r="AC17" s="3">
        <v>6.8</v>
      </c>
      <c r="AD17" s="6">
        <f>4.872+1.278</f>
        <v>6.15</v>
      </c>
    </row>
    <row r="18" spans="1:30" s="3" customFormat="1" x14ac:dyDescent="0.25">
      <c r="A18" s="3" t="s">
        <v>12</v>
      </c>
      <c r="B18" s="3">
        <v>26.137740446792002</v>
      </c>
      <c r="C18" s="3">
        <v>28.043617354370582</v>
      </c>
      <c r="D18" s="3">
        <v>33.942760163542388</v>
      </c>
      <c r="E18" s="3">
        <v>37.573001892263498</v>
      </c>
      <c r="F18" s="3">
        <v>34.441918401241544</v>
      </c>
      <c r="G18" s="3">
        <v>33.44360192584324</v>
      </c>
      <c r="H18" s="3">
        <v>31.809993147918732</v>
      </c>
      <c r="I18" s="3">
        <v>31.129322823783525</v>
      </c>
      <c r="J18" s="3">
        <v>31.946127212745779</v>
      </c>
      <c r="K18" s="3">
        <v>34.804942574113653</v>
      </c>
      <c r="L18" s="3">
        <v>40.840219448112499</v>
      </c>
      <c r="M18" s="3">
        <v>37.200000000000003</v>
      </c>
      <c r="N18" s="3">
        <v>34.5</v>
      </c>
      <c r="O18" s="3">
        <v>31.8</v>
      </c>
      <c r="P18" s="3">
        <v>33</v>
      </c>
      <c r="Q18" s="3">
        <v>35.200000000000003</v>
      </c>
      <c r="R18" s="3">
        <v>34.9</v>
      </c>
      <c r="S18" s="3">
        <v>35.799999999999997</v>
      </c>
      <c r="T18" s="3">
        <v>36.200000000000003</v>
      </c>
      <c r="U18" s="3">
        <v>38.200000000000003</v>
      </c>
      <c r="V18" s="3">
        <v>38.299999999999997</v>
      </c>
      <c r="W18" s="3">
        <v>34.799999999999997</v>
      </c>
      <c r="X18" s="3">
        <v>39.1</v>
      </c>
      <c r="Y18" s="3">
        <v>35.799999999999997</v>
      </c>
      <c r="Z18" s="3">
        <v>36.725999999999999</v>
      </c>
      <c r="AA18" s="3">
        <v>37.762</v>
      </c>
      <c r="AB18" s="3">
        <v>39.966000000000001</v>
      </c>
      <c r="AC18" s="3">
        <v>38.6</v>
      </c>
      <c r="AD18" s="3">
        <v>40.503999999999998</v>
      </c>
    </row>
    <row r="19" spans="1:30" s="3" customFormat="1" x14ac:dyDescent="0.25">
      <c r="A19" s="3" t="s">
        <v>4</v>
      </c>
      <c r="B19" s="3">
        <v>8.712580148930666</v>
      </c>
      <c r="C19" s="3">
        <v>10.663835078118264</v>
      </c>
      <c r="D19" s="3">
        <v>12.524333964087834</v>
      </c>
      <c r="E19" s="3">
        <v>8.0772878464044719</v>
      </c>
      <c r="F19" s="3">
        <v>10.119298818810098</v>
      </c>
      <c r="G19" s="3">
        <v>12.252065834433751</v>
      </c>
      <c r="H19" s="3">
        <v>13.840296590749237</v>
      </c>
      <c r="I19" s="3">
        <v>13.568028461095151</v>
      </c>
      <c r="J19" s="3">
        <v>19.966329507966112</v>
      </c>
      <c r="K19" s="3">
        <v>22.734388826115961</v>
      </c>
      <c r="L19" s="3">
        <v>17.062136124989223</v>
      </c>
      <c r="M19" s="3">
        <v>17.8</v>
      </c>
      <c r="N19" s="3">
        <v>21.8</v>
      </c>
      <c r="O19" s="3">
        <v>22</v>
      </c>
      <c r="P19" s="3">
        <v>24.7</v>
      </c>
      <c r="Q19" s="3">
        <v>25.5</v>
      </c>
      <c r="R19" s="3">
        <v>21.2</v>
      </c>
      <c r="S19" s="3">
        <v>18.5</v>
      </c>
      <c r="T19" s="3">
        <v>17.3</v>
      </c>
      <c r="U19" s="3">
        <v>18.100000000000001</v>
      </c>
      <c r="V19" s="3">
        <v>18.3</v>
      </c>
      <c r="W19" s="3">
        <v>21.5</v>
      </c>
      <c r="X19" s="3">
        <v>20.8</v>
      </c>
      <c r="Y19" s="3">
        <v>18.3</v>
      </c>
      <c r="Z19" s="3">
        <v>19.241</v>
      </c>
      <c r="AA19" s="3">
        <v>19.241</v>
      </c>
      <c r="AB19" s="3">
        <v>19.460999999999999</v>
      </c>
      <c r="AC19" s="3">
        <v>23.7</v>
      </c>
      <c r="AD19" s="3">
        <v>26.512</v>
      </c>
    </row>
    <row r="20" spans="1:30" s="3" customFormat="1" x14ac:dyDescent="0.25">
      <c r="A20" s="3" t="s">
        <v>13</v>
      </c>
      <c r="B20" s="3">
        <v>0.27226812965408331</v>
      </c>
      <c r="C20" s="3">
        <v>0.3176461512630972</v>
      </c>
      <c r="D20" s="3">
        <v>0.58991428091718057</v>
      </c>
      <c r="E20" s="3">
        <v>0.58991428091718057</v>
      </c>
      <c r="F20" s="3">
        <v>0.90756043218027782</v>
      </c>
      <c r="G20" s="3">
        <v>0.68067032413520834</v>
      </c>
      <c r="H20" s="3">
        <v>0.54453625930816663</v>
      </c>
      <c r="I20" s="3">
        <v>0.4991582376991528</v>
      </c>
      <c r="J20" s="3">
        <v>0.45378021609013891</v>
      </c>
      <c r="K20" s="3">
        <v>-0.36302417287211114</v>
      </c>
      <c r="L20" s="3">
        <v>-0.3176461512630972</v>
      </c>
      <c r="M20" s="3">
        <v>-2.2999999999999998</v>
      </c>
      <c r="N20" s="3">
        <v>-1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</row>
    <row r="21" spans="1:30" s="4" customFormat="1" x14ac:dyDescent="0.25">
      <c r="A21" s="4" t="s">
        <v>5</v>
      </c>
      <c r="B21" s="4">
        <v>51.141030353358644</v>
      </c>
      <c r="C21" s="4">
        <v>55.769588557478066</v>
      </c>
      <c r="D21" s="4">
        <v>64.255278598363674</v>
      </c>
      <c r="E21" s="4">
        <v>65.525863203416051</v>
      </c>
      <c r="F21" s="4">
        <v>64.754436836062823</v>
      </c>
      <c r="G21" s="4">
        <v>64.890570900889855</v>
      </c>
      <c r="H21" s="4">
        <v>63.619986295837471</v>
      </c>
      <c r="I21" s="4">
        <v>62.167889604349028</v>
      </c>
      <c r="J21" s="4">
        <v>69.201482953746179</v>
      </c>
      <c r="K21" s="4">
        <v>76.915746627278537</v>
      </c>
      <c r="L21" s="4">
        <f>SUM(L16:L20)</f>
        <v>76.325832346361366</v>
      </c>
      <c r="M21" s="4">
        <f t="shared" ref="M21:Z21" si="2">SUM(M16:M20)</f>
        <v>72.5</v>
      </c>
      <c r="N21" s="4">
        <f t="shared" si="2"/>
        <v>74.900000000000006</v>
      </c>
      <c r="O21" s="4">
        <f t="shared" si="2"/>
        <v>73.3</v>
      </c>
      <c r="P21" s="4">
        <f t="shared" si="2"/>
        <v>79.7</v>
      </c>
      <c r="Q21" s="4">
        <f t="shared" si="2"/>
        <v>82.9</v>
      </c>
      <c r="R21" s="4">
        <f t="shared" si="2"/>
        <v>78.2</v>
      </c>
      <c r="S21" s="4">
        <f t="shared" si="2"/>
        <v>76.699999999999989</v>
      </c>
      <c r="T21" s="4">
        <f t="shared" si="2"/>
        <v>77.2</v>
      </c>
      <c r="U21" s="4">
        <f t="shared" si="2"/>
        <v>81.599999999999994</v>
      </c>
      <c r="V21" s="4">
        <f t="shared" si="2"/>
        <v>81.554000000000002</v>
      </c>
      <c r="W21" s="4">
        <f t="shared" si="2"/>
        <v>82.031000000000006</v>
      </c>
      <c r="X21" s="4">
        <f t="shared" si="2"/>
        <v>83.968000000000004</v>
      </c>
      <c r="Y21" s="4">
        <f t="shared" si="2"/>
        <v>78.935999999999993</v>
      </c>
      <c r="Z21" s="4">
        <f t="shared" si="2"/>
        <v>80.652999999999992</v>
      </c>
      <c r="AA21" s="4">
        <f>SUM(AA16:AA20)</f>
        <v>79.849999999999994</v>
      </c>
      <c r="AB21" s="4">
        <f>SUM(AB16:AB20)</f>
        <v>81.817999999999998</v>
      </c>
      <c r="AC21" s="4">
        <f>SUM(AC16:AC20)</f>
        <v>83.5</v>
      </c>
      <c r="AD21" s="4">
        <f>SUM(AD16:AD20)</f>
        <v>89.593999999999994</v>
      </c>
    </row>
    <row r="22" spans="1:30" x14ac:dyDescent="0.25">
      <c r="Z22" s="3"/>
      <c r="AA22" s="3"/>
    </row>
    <row r="23" spans="1:30" s="1" customFormat="1" x14ac:dyDescent="0.25">
      <c r="A23" s="1" t="s">
        <v>14</v>
      </c>
      <c r="B23" s="1">
        <v>1990</v>
      </c>
      <c r="C23" s="1">
        <v>1991</v>
      </c>
      <c r="D23" s="1">
        <v>1992</v>
      </c>
      <c r="E23" s="1">
        <v>1993</v>
      </c>
      <c r="F23" s="1">
        <v>1994</v>
      </c>
      <c r="G23" s="1">
        <v>1995</v>
      </c>
      <c r="H23" s="1">
        <v>1996</v>
      </c>
      <c r="I23" s="1">
        <v>1997</v>
      </c>
      <c r="J23" s="1">
        <v>1998</v>
      </c>
      <c r="K23" s="1">
        <v>1999</v>
      </c>
      <c r="L23" s="1">
        <v>2000</v>
      </c>
      <c r="M23" s="1">
        <v>2001</v>
      </c>
      <c r="N23" s="1">
        <v>2002</v>
      </c>
      <c r="O23" s="1">
        <v>2003</v>
      </c>
      <c r="P23" s="1">
        <v>2004</v>
      </c>
      <c r="Q23" s="1">
        <v>2005</v>
      </c>
      <c r="R23" s="1">
        <v>2006</v>
      </c>
      <c r="S23" s="1">
        <v>2007</v>
      </c>
    </row>
    <row r="24" spans="1:30" s="3" customFormat="1" ht="13.5" customHeight="1" x14ac:dyDescent="0.25">
      <c r="A24" s="3" t="s">
        <v>0</v>
      </c>
      <c r="B24" s="3">
        <v>1.588230756315486</v>
      </c>
      <c r="C24" s="3">
        <v>1.588230756315486</v>
      </c>
      <c r="D24" s="3">
        <v>1.588230756315486</v>
      </c>
      <c r="E24" s="3">
        <v>1.588230756315486</v>
      </c>
      <c r="F24" s="3">
        <v>1.588230756315486</v>
      </c>
      <c r="G24" s="3">
        <v>1.588230756315486</v>
      </c>
      <c r="H24" s="3">
        <v>1.588230756315486</v>
      </c>
      <c r="I24" s="3">
        <v>1.588230756315486</v>
      </c>
      <c r="J24" s="3">
        <v>1.5428527347064722</v>
      </c>
      <c r="K24" s="3">
        <v>1.5428527347064722</v>
      </c>
      <c r="L24" s="3">
        <v>1.6336087779245001</v>
      </c>
      <c r="M24" s="3">
        <v>1.6</v>
      </c>
      <c r="N24" s="3">
        <v>1.6</v>
      </c>
      <c r="O24" s="3">
        <v>1.6</v>
      </c>
      <c r="P24" s="3">
        <v>1.65</v>
      </c>
      <c r="Q24" s="3">
        <v>4.3</v>
      </c>
      <c r="R24" s="3">
        <v>4.5</v>
      </c>
      <c r="S24" s="3">
        <v>4.4000000000000004</v>
      </c>
    </row>
    <row r="25" spans="1:30" s="3" customFormat="1" ht="13.5" customHeight="1" x14ac:dyDescent="0.25">
      <c r="A25" s="3" t="s">
        <v>1</v>
      </c>
      <c r="K25" s="3">
        <v>0.6352923025261944</v>
      </c>
      <c r="L25" s="3">
        <v>1.1798285618343611</v>
      </c>
      <c r="M25" s="3">
        <v>1.7</v>
      </c>
      <c r="N25" s="3">
        <v>1.7</v>
      </c>
      <c r="O25" s="3">
        <v>1.6</v>
      </c>
      <c r="P25" s="3">
        <v>1.65</v>
      </c>
    </row>
    <row r="26" spans="1:30" s="3" customFormat="1" ht="13.5" customHeight="1" x14ac:dyDescent="0.25">
      <c r="A26" s="3" t="s">
        <v>15</v>
      </c>
      <c r="M26" s="3">
        <v>0.4</v>
      </c>
      <c r="N26" s="3">
        <v>0.3</v>
      </c>
      <c r="O26" s="3">
        <v>0.2</v>
      </c>
      <c r="P26" s="3">
        <v>0</v>
      </c>
      <c r="Q26" s="3">
        <v>0.2</v>
      </c>
      <c r="R26" s="3">
        <v>0.2</v>
      </c>
      <c r="S26" s="3">
        <v>0.2</v>
      </c>
    </row>
    <row r="27" spans="1:30" s="3" customFormat="1" ht="13.5" customHeight="1" x14ac:dyDescent="0.25">
      <c r="A27" s="3" t="s">
        <v>2</v>
      </c>
      <c r="B27" s="3">
        <v>6.4436790684799723</v>
      </c>
      <c r="C27" s="3">
        <v>6.0806548956078617</v>
      </c>
      <c r="D27" s="3">
        <v>6.6705691765250412</v>
      </c>
      <c r="E27" s="3">
        <v>7.9411537815774302</v>
      </c>
      <c r="F27" s="3">
        <v>8.5764460841036243</v>
      </c>
      <c r="G27" s="3">
        <v>7.6688856519233468</v>
      </c>
      <c r="H27" s="3">
        <v>7.8050197167503885</v>
      </c>
      <c r="I27" s="3">
        <v>5.5814966579087084</v>
      </c>
      <c r="J27" s="3">
        <v>5.4907406146906803</v>
      </c>
      <c r="K27" s="3">
        <v>4.7646922689464581</v>
      </c>
      <c r="L27" s="3">
        <v>5.8991428091718054</v>
      </c>
      <c r="M27" s="3">
        <v>6.1</v>
      </c>
      <c r="N27" s="3">
        <v>5.9</v>
      </c>
      <c r="O27" s="3">
        <v>5.2</v>
      </c>
      <c r="P27" s="3">
        <v>5.6</v>
      </c>
      <c r="Q27" s="3">
        <v>5.2</v>
      </c>
      <c r="R27" s="3">
        <v>4.5999999999999996</v>
      </c>
      <c r="S27" s="3">
        <v>6.3</v>
      </c>
      <c r="U27" s="6"/>
      <c r="V27" s="6"/>
    </row>
    <row r="28" spans="1:30" s="3" customFormat="1" ht="13.5" customHeight="1" x14ac:dyDescent="0.25">
      <c r="A28" s="3" t="s">
        <v>3</v>
      </c>
      <c r="B28" s="3">
        <v>6.1260329172168753</v>
      </c>
      <c r="C28" s="3">
        <v>6.262166982043917</v>
      </c>
      <c r="D28" s="3">
        <v>6.2167889604349025</v>
      </c>
      <c r="E28" s="3">
        <v>7.215105435833209</v>
      </c>
      <c r="F28" s="3">
        <v>6.8067032413520829</v>
      </c>
      <c r="G28" s="3">
        <v>6.3075450036529306</v>
      </c>
      <c r="H28" s="3">
        <v>6.2167889604349025</v>
      </c>
      <c r="I28" s="3">
        <v>7.5781296087053187</v>
      </c>
      <c r="J28" s="3">
        <v>8.7579581705396805</v>
      </c>
      <c r="K28" s="3">
        <v>8.6672021273216533</v>
      </c>
      <c r="L28" s="3">
        <v>6.4890570900889868</v>
      </c>
      <c r="M28" s="3">
        <v>7.8</v>
      </c>
      <c r="N28" s="3">
        <v>7.4</v>
      </c>
      <c r="O28" s="3">
        <v>7</v>
      </c>
      <c r="P28" s="3">
        <v>6.7</v>
      </c>
      <c r="Q28" s="3">
        <v>6.7</v>
      </c>
      <c r="R28" s="3">
        <v>6.8</v>
      </c>
      <c r="S28" s="3">
        <v>7.6</v>
      </c>
    </row>
    <row r="29" spans="1:30" s="3" customFormat="1" ht="13.5" customHeight="1" x14ac:dyDescent="0.25">
      <c r="A29" s="3" t="s">
        <v>4</v>
      </c>
      <c r="B29" s="3">
        <v>0.68067032413520834</v>
      </c>
      <c r="C29" s="3">
        <v>2.6773032749318197</v>
      </c>
      <c r="D29" s="3">
        <v>1.7243648211425278</v>
      </c>
      <c r="E29" s="3">
        <v>0.45378021609013891</v>
      </c>
      <c r="F29" s="3">
        <v>0.40840219448112502</v>
      </c>
      <c r="G29" s="3">
        <v>0.22689010804506946</v>
      </c>
      <c r="H29" s="3">
        <v>0.22689010804506946</v>
      </c>
      <c r="I29" s="3">
        <v>0.27226812965408331</v>
      </c>
      <c r="J29" s="3">
        <v>0.27226812965408331</v>
      </c>
      <c r="K29" s="3">
        <v>0.3176461512630972</v>
      </c>
      <c r="L29" s="3">
        <v>0.3176461512630972</v>
      </c>
      <c r="M29" s="3">
        <v>0.3</v>
      </c>
      <c r="N29" s="3">
        <v>0</v>
      </c>
      <c r="O29" s="3">
        <v>0</v>
      </c>
      <c r="P29" s="3">
        <v>0.6</v>
      </c>
      <c r="Q29" s="3">
        <v>0.4</v>
      </c>
      <c r="R29" s="3">
        <v>0.8</v>
      </c>
      <c r="S29" s="3">
        <v>0.6</v>
      </c>
      <c r="W29" s="6"/>
    </row>
    <row r="30" spans="1:30" s="3" customFormat="1" ht="13.5" customHeight="1" x14ac:dyDescent="0.25">
      <c r="A30" s="3" t="s">
        <v>10</v>
      </c>
      <c r="B30" s="3">
        <v>1.3159626266614028</v>
      </c>
    </row>
    <row r="31" spans="1:30" s="3" customFormat="1" ht="13.5" customHeight="1" x14ac:dyDescent="0.25">
      <c r="A31" s="3" t="s">
        <v>13</v>
      </c>
      <c r="G31" s="3">
        <v>9.0756043218027785E-2</v>
      </c>
      <c r="H31" s="3">
        <v>0.13613406482704166</v>
      </c>
      <c r="I31" s="3">
        <v>0.58991428091718057</v>
      </c>
      <c r="J31" s="3">
        <v>0.72604834574422228</v>
      </c>
      <c r="K31" s="3">
        <v>0.95293845378929176</v>
      </c>
      <c r="L31" s="3">
        <v>1.6789867995335139</v>
      </c>
      <c r="M31" s="3">
        <v>0.1</v>
      </c>
      <c r="N31" s="3">
        <v>0.2</v>
      </c>
      <c r="O31" s="3">
        <v>0.6</v>
      </c>
      <c r="P31" s="3">
        <v>0.8</v>
      </c>
      <c r="Q31" s="3">
        <v>1.2</v>
      </c>
      <c r="R31" s="3">
        <v>1.6</v>
      </c>
      <c r="S31" s="3">
        <v>3.1</v>
      </c>
    </row>
    <row r="32" spans="1:30" s="4" customFormat="1" ht="13.5" customHeight="1" x14ac:dyDescent="0.25">
      <c r="A32" s="4" t="s">
        <v>5</v>
      </c>
      <c r="B32" s="4">
        <v>16.154575692808947</v>
      </c>
      <c r="C32" s="4">
        <v>16.608355908899085</v>
      </c>
      <c r="D32" s="4">
        <v>16.199953714417958</v>
      </c>
      <c r="E32" s="4">
        <v>17.198270189816263</v>
      </c>
      <c r="F32" s="4">
        <v>17.379782276252318</v>
      </c>
      <c r="G32" s="4">
        <v>15.882307563154859</v>
      </c>
      <c r="H32" s="4">
        <v>15.973063606372888</v>
      </c>
      <c r="I32" s="4">
        <v>15.610039433500777</v>
      </c>
      <c r="J32" s="4">
        <v>16.789867995335136</v>
      </c>
      <c r="K32" s="4">
        <v>16.880624038553165</v>
      </c>
      <c r="L32" s="4">
        <f>SUM(L24:L31)</f>
        <v>17.198270189816267</v>
      </c>
      <c r="M32" s="4">
        <f t="shared" ref="M32:S32" si="3">SUM(M24:M31)</f>
        <v>18</v>
      </c>
      <c r="N32" s="4">
        <f t="shared" si="3"/>
        <v>17.099999999999998</v>
      </c>
      <c r="O32" s="4">
        <f t="shared" si="3"/>
        <v>16.200000000000003</v>
      </c>
      <c r="P32" s="4">
        <f t="shared" si="3"/>
        <v>17</v>
      </c>
      <c r="Q32" s="4">
        <f t="shared" si="3"/>
        <v>17.999999999999996</v>
      </c>
      <c r="R32" s="4">
        <f t="shared" si="3"/>
        <v>18.500000000000004</v>
      </c>
      <c r="S32" s="4">
        <f t="shared" si="3"/>
        <v>22.200000000000003</v>
      </c>
    </row>
    <row r="34" spans="1:32" s="1" customFormat="1" x14ac:dyDescent="0.25">
      <c r="A34" s="1" t="s">
        <v>16</v>
      </c>
      <c r="B34" s="1">
        <v>1990</v>
      </c>
      <c r="C34" s="1">
        <v>1991</v>
      </c>
      <c r="D34" s="1">
        <v>1992</v>
      </c>
      <c r="E34" s="1">
        <v>1993</v>
      </c>
      <c r="F34" s="1">
        <v>1994</v>
      </c>
      <c r="G34" s="1">
        <v>1995</v>
      </c>
      <c r="H34" s="1">
        <v>1996</v>
      </c>
      <c r="I34" s="1">
        <v>1997</v>
      </c>
      <c r="J34" s="1">
        <v>1998</v>
      </c>
      <c r="K34" s="1">
        <v>1999</v>
      </c>
      <c r="L34" s="1">
        <v>2000</v>
      </c>
      <c r="M34" s="1">
        <v>2001</v>
      </c>
      <c r="N34" s="1">
        <v>2002</v>
      </c>
      <c r="O34" s="1">
        <v>2003</v>
      </c>
      <c r="P34" s="1">
        <v>2004</v>
      </c>
      <c r="Q34" s="1">
        <v>2005</v>
      </c>
      <c r="R34" s="1">
        <v>2006</v>
      </c>
      <c r="S34" s="1">
        <v>2007</v>
      </c>
    </row>
    <row r="35" spans="1:32" s="3" customFormat="1" x14ac:dyDescent="0.25">
      <c r="A35" s="3" t="s">
        <v>0</v>
      </c>
      <c r="B35" s="3">
        <v>4.5378021609013892</v>
      </c>
      <c r="C35" s="3">
        <v>4.5831801825104028</v>
      </c>
      <c r="D35" s="3">
        <v>4.5831801825104028</v>
      </c>
      <c r="E35" s="3">
        <v>4.5831801825104028</v>
      </c>
      <c r="F35" s="3">
        <v>4.6285582041194164</v>
      </c>
      <c r="G35" s="3">
        <v>3.5848637071120972</v>
      </c>
      <c r="H35" s="3">
        <v>3.5848637071120972</v>
      </c>
      <c r="I35" s="3">
        <v>3.5848637071120972</v>
      </c>
      <c r="J35" s="3">
        <v>3.5848637071120972</v>
      </c>
      <c r="K35" s="3">
        <v>3.4487296422850555</v>
      </c>
      <c r="L35" s="3">
        <v>4.8100702905554718</v>
      </c>
      <c r="M35" s="3">
        <v>3.9</v>
      </c>
      <c r="N35" s="3">
        <v>3.9</v>
      </c>
      <c r="O35" s="3">
        <v>3.7</v>
      </c>
      <c r="P35" s="3">
        <v>3</v>
      </c>
      <c r="Q35" s="3">
        <v>3</v>
      </c>
      <c r="R35" s="3">
        <v>3.4</v>
      </c>
      <c r="S35" s="3">
        <v>3.5</v>
      </c>
    </row>
    <row r="36" spans="1:32" s="3" customFormat="1" x14ac:dyDescent="0.25">
      <c r="A36" s="3" t="s">
        <v>1</v>
      </c>
      <c r="K36" s="3">
        <v>1.3613406482704167</v>
      </c>
      <c r="L36" s="3">
        <v>1.3613406482704167</v>
      </c>
      <c r="M36" s="3">
        <v>3</v>
      </c>
      <c r="N36" s="3">
        <v>3</v>
      </c>
      <c r="O36" s="3">
        <v>3.1</v>
      </c>
      <c r="P36" s="3">
        <v>3.7</v>
      </c>
      <c r="Q36" s="3">
        <v>3.7</v>
      </c>
      <c r="R36" s="3">
        <v>3.3</v>
      </c>
      <c r="S36" s="3">
        <v>3.2</v>
      </c>
    </row>
    <row r="37" spans="1:32" s="3" customFormat="1" x14ac:dyDescent="0.25">
      <c r="A37" s="3" t="s">
        <v>2</v>
      </c>
      <c r="B37" s="3">
        <v>9.9831647539830559</v>
      </c>
      <c r="C37" s="3">
        <v>10.073920797201083</v>
      </c>
      <c r="D37" s="3">
        <v>11.253749359035444</v>
      </c>
      <c r="E37" s="3">
        <v>9.3932504730658746</v>
      </c>
      <c r="F37" s="3">
        <v>11.344505402253473</v>
      </c>
      <c r="G37" s="3">
        <v>6.897459284570111</v>
      </c>
      <c r="H37" s="3">
        <v>8.8940922353667222</v>
      </c>
      <c r="I37" s="3">
        <v>8.8033361921486932</v>
      </c>
      <c r="J37" s="3">
        <v>9.3478724514568619</v>
      </c>
      <c r="K37" s="3">
        <v>8.5764460841036243</v>
      </c>
      <c r="L37" s="3">
        <v>7.9865318031864447</v>
      </c>
      <c r="M37" s="3">
        <v>8.1</v>
      </c>
      <c r="N37" s="3">
        <v>8.1999999999999993</v>
      </c>
      <c r="O37" s="3">
        <v>6.3</v>
      </c>
      <c r="P37" s="3">
        <v>5.4</v>
      </c>
      <c r="Q37" s="3">
        <v>5.9</v>
      </c>
      <c r="R37" s="3">
        <v>8.1999999999999993</v>
      </c>
      <c r="S37" s="3">
        <v>11.8</v>
      </c>
    </row>
    <row r="38" spans="1:32" s="3" customFormat="1" x14ac:dyDescent="0.25">
      <c r="A38" s="3" t="s">
        <v>3</v>
      </c>
      <c r="B38" s="3">
        <v>4.3109120528563194</v>
      </c>
      <c r="C38" s="3">
        <v>4.9008263337735007</v>
      </c>
      <c r="D38" s="3">
        <v>3.6302417287211113</v>
      </c>
      <c r="E38" s="3">
        <v>3.2672175558490002</v>
      </c>
      <c r="F38" s="3">
        <v>3.1310834910219585</v>
      </c>
      <c r="G38" s="3">
        <v>4.038643923202236</v>
      </c>
      <c r="H38" s="3">
        <v>4.9462043553825144</v>
      </c>
      <c r="I38" s="3">
        <v>5.6722527011267365</v>
      </c>
      <c r="J38" s="3">
        <v>5.6722527011267365</v>
      </c>
      <c r="K38" s="3">
        <v>5.5361186362996939</v>
      </c>
      <c r="L38" s="3">
        <v>4.356290074465333</v>
      </c>
      <c r="M38" s="3">
        <v>5.6</v>
      </c>
      <c r="N38" s="3">
        <v>5.8</v>
      </c>
      <c r="O38" s="3">
        <v>5</v>
      </c>
      <c r="P38" s="3">
        <v>4.2</v>
      </c>
      <c r="Q38" s="3">
        <v>3.9</v>
      </c>
      <c r="R38" s="3">
        <v>5.4</v>
      </c>
      <c r="S38" s="3">
        <v>7.5</v>
      </c>
    </row>
    <row r="39" spans="1:32" s="3" customFormat="1" x14ac:dyDescent="0.25">
      <c r="A39" s="3" t="s">
        <v>4</v>
      </c>
      <c r="B39" s="3">
        <v>11.934419683170653</v>
      </c>
      <c r="C39" s="3">
        <v>10.799969142945306</v>
      </c>
      <c r="D39" s="3">
        <v>13.749540547531209</v>
      </c>
      <c r="E39" s="3">
        <v>13.522650439486139</v>
      </c>
      <c r="F39" s="3">
        <v>9.3478724514568619</v>
      </c>
      <c r="G39" s="3">
        <v>8.7579581705396805</v>
      </c>
      <c r="H39" s="3">
        <v>9.5293845378929163</v>
      </c>
      <c r="I39" s="3">
        <v>9.0302263001937639</v>
      </c>
      <c r="J39" s="3">
        <v>9.5293845378929163</v>
      </c>
      <c r="K39" s="3">
        <v>9.4840065162839018</v>
      </c>
      <c r="L39" s="3">
        <v>9.4840065162839018</v>
      </c>
      <c r="M39" s="3">
        <v>9.5</v>
      </c>
      <c r="N39" s="3">
        <v>9.3000000000000007</v>
      </c>
      <c r="O39" s="3">
        <v>12.3</v>
      </c>
      <c r="P39" s="3">
        <v>12.4</v>
      </c>
      <c r="Q39" s="3">
        <v>15.9</v>
      </c>
      <c r="R39" s="3">
        <v>17.100000000000001</v>
      </c>
      <c r="S39" s="3">
        <v>15.6</v>
      </c>
    </row>
    <row r="40" spans="1:32" s="3" customFormat="1" x14ac:dyDescent="0.25">
      <c r="A40" s="3" t="s">
        <v>10</v>
      </c>
      <c r="B40" s="3">
        <v>0.81680438896225005</v>
      </c>
      <c r="C40" s="3">
        <v>1.4974747130974582</v>
      </c>
      <c r="D40" s="3">
        <v>3.766375793548153</v>
      </c>
      <c r="E40" s="3">
        <v>3.0403274478039308</v>
      </c>
      <c r="F40" s="3">
        <v>3.9025098583751943</v>
      </c>
      <c r="G40" s="3">
        <v>1.9512549291875971</v>
      </c>
      <c r="H40" s="3">
        <v>1.8604988859695692</v>
      </c>
      <c r="I40" s="3">
        <v>1.1798285618343611</v>
      </c>
      <c r="J40" s="3">
        <v>1.2705846050523888</v>
      </c>
      <c r="K40" s="3">
        <v>1.4520966914884446</v>
      </c>
      <c r="L40" s="3">
        <v>0.72604834574422228</v>
      </c>
      <c r="M40" s="3">
        <v>1.1000000000000001</v>
      </c>
      <c r="N40" s="3">
        <v>1.2</v>
      </c>
      <c r="O40" s="3">
        <v>1.5</v>
      </c>
      <c r="P40" s="3">
        <v>1</v>
      </c>
      <c r="Q40" s="3">
        <v>0.7</v>
      </c>
      <c r="R40" s="3">
        <v>0.8</v>
      </c>
      <c r="S40" s="3">
        <v>1</v>
      </c>
    </row>
    <row r="41" spans="1:32" s="4" customFormat="1" x14ac:dyDescent="0.25">
      <c r="A41" s="4" t="s">
        <v>5</v>
      </c>
      <c r="B41" s="4">
        <v>31.583103039873667</v>
      </c>
      <c r="C41" s="4">
        <v>31.855371169527753</v>
      </c>
      <c r="D41" s="4">
        <v>36.983087611346313</v>
      </c>
      <c r="E41" s="4">
        <v>33.806626098715348</v>
      </c>
      <c r="F41" s="4">
        <v>32.354529407226906</v>
      </c>
      <c r="G41" s="4">
        <v>25.230180014611722</v>
      </c>
      <c r="H41" s="4">
        <v>28.815043721723818</v>
      </c>
      <c r="I41" s="4">
        <v>28.270507462415654</v>
      </c>
      <c r="J41" s="4">
        <v>29.404958002640999</v>
      </c>
      <c r="K41" s="4">
        <v>29.858738218731141</v>
      </c>
      <c r="L41" s="4">
        <f>SUM(L35:L40)</f>
        <v>28.724287678505789</v>
      </c>
      <c r="M41" s="4">
        <f t="shared" ref="M41:S41" si="4">SUM(M35:M40)</f>
        <v>31.200000000000003</v>
      </c>
      <c r="N41" s="4">
        <f t="shared" si="4"/>
        <v>31.4</v>
      </c>
      <c r="O41" s="4">
        <f t="shared" si="4"/>
        <v>31.900000000000002</v>
      </c>
      <c r="P41" s="4">
        <f t="shared" si="4"/>
        <v>29.700000000000003</v>
      </c>
      <c r="Q41" s="4">
        <f t="shared" si="4"/>
        <v>33.1</v>
      </c>
      <c r="R41" s="4">
        <f t="shared" si="4"/>
        <v>38.199999999999996</v>
      </c>
      <c r="S41" s="4">
        <f t="shared" si="4"/>
        <v>42.6</v>
      </c>
    </row>
    <row r="43" spans="1:32" s="1" customFormat="1" x14ac:dyDescent="0.25">
      <c r="A43" s="1" t="s">
        <v>17</v>
      </c>
      <c r="B43" s="1">
        <v>1990</v>
      </c>
      <c r="C43" s="1">
        <v>1991</v>
      </c>
      <c r="D43" s="1">
        <v>1992</v>
      </c>
      <c r="E43" s="1">
        <v>1993</v>
      </c>
      <c r="F43" s="1">
        <v>1994</v>
      </c>
      <c r="G43" s="1">
        <v>1995</v>
      </c>
      <c r="H43" s="1">
        <v>1996</v>
      </c>
      <c r="I43" s="1">
        <v>1997</v>
      </c>
      <c r="J43" s="1">
        <v>1998</v>
      </c>
      <c r="K43" s="1">
        <v>1999</v>
      </c>
      <c r="L43" s="1">
        <v>2000</v>
      </c>
      <c r="M43" s="1">
        <v>2001</v>
      </c>
      <c r="N43" s="1">
        <v>2002</v>
      </c>
      <c r="O43" s="1">
        <v>2003</v>
      </c>
      <c r="P43" s="1">
        <v>2004</v>
      </c>
      <c r="Q43" s="1">
        <v>2005</v>
      </c>
      <c r="R43" s="1">
        <v>2006</v>
      </c>
      <c r="S43" s="1">
        <v>2007</v>
      </c>
      <c r="T43" s="1">
        <v>2008</v>
      </c>
      <c r="U43" s="1">
        <v>2009</v>
      </c>
      <c r="V43" s="1">
        <v>2010</v>
      </c>
      <c r="W43" s="1">
        <v>2011</v>
      </c>
      <c r="X43" s="1">
        <v>2012</v>
      </c>
      <c r="Y43" s="1">
        <v>2013</v>
      </c>
      <c r="Z43" s="1">
        <v>2014</v>
      </c>
      <c r="AA43" s="1">
        <v>2015</v>
      </c>
      <c r="AB43" s="1">
        <v>2016</v>
      </c>
      <c r="AC43" s="1">
        <v>2017</v>
      </c>
      <c r="AD43" s="1">
        <v>2018</v>
      </c>
    </row>
    <row r="44" spans="1:32" x14ac:dyDescent="0.25">
      <c r="A44" s="2" t="s">
        <v>18</v>
      </c>
      <c r="T44" s="3">
        <f>T51*0.31</f>
        <v>32.013080000000002</v>
      </c>
      <c r="U44" s="3">
        <f>U51*0.51</f>
        <v>56.25759</v>
      </c>
      <c r="AB44" s="3"/>
    </row>
    <row r="45" spans="1:32" x14ac:dyDescent="0.25">
      <c r="A45" s="2" t="s">
        <v>38</v>
      </c>
      <c r="R45" s="3"/>
      <c r="T45" s="3"/>
      <c r="U45" s="3"/>
      <c r="V45" s="3">
        <v>14.1</v>
      </c>
      <c r="W45" s="3">
        <v>13.3</v>
      </c>
      <c r="X45" s="3">
        <v>12.2</v>
      </c>
      <c r="Y45" s="3">
        <v>12.1</v>
      </c>
      <c r="Z45" s="3">
        <v>11.3</v>
      </c>
      <c r="AA45" s="3">
        <v>11.067</v>
      </c>
      <c r="AB45" s="3">
        <v>9.81</v>
      </c>
      <c r="AC45" s="3">
        <v>9.8000000000000007</v>
      </c>
      <c r="AD45" s="3">
        <v>14.493</v>
      </c>
    </row>
    <row r="46" spans="1:32" x14ac:dyDescent="0.25">
      <c r="A46" s="2" t="s">
        <v>40</v>
      </c>
      <c r="R46" s="3"/>
      <c r="T46" s="3">
        <f>T51*0.36</f>
        <v>37.176479999999998</v>
      </c>
      <c r="U46" s="3">
        <f>U51*0.07</f>
        <v>7.7216300000000002</v>
      </c>
      <c r="V46" s="3"/>
      <c r="W46" s="3"/>
      <c r="X46" s="3"/>
      <c r="Y46" s="3"/>
      <c r="Z46" s="3"/>
      <c r="AA46" s="3"/>
      <c r="AB46" s="3"/>
    </row>
    <row r="47" spans="1:32" x14ac:dyDescent="0.25">
      <c r="A47" s="2" t="s">
        <v>42</v>
      </c>
      <c r="R47" s="3"/>
      <c r="T47" s="3"/>
      <c r="U47" s="3"/>
      <c r="V47" s="3">
        <v>59.319000000000003</v>
      </c>
      <c r="W47" s="3">
        <v>53.981000000000002</v>
      </c>
      <c r="X47" s="3">
        <v>54.32</v>
      </c>
      <c r="Y47" s="3">
        <v>50.476999999999997</v>
      </c>
      <c r="Z47" s="3">
        <v>49.067999999999998</v>
      </c>
      <c r="AA47" s="3">
        <v>45.143000000000001</v>
      </c>
      <c r="AB47" s="3">
        <f>AB51*0.4</f>
        <v>43.6</v>
      </c>
      <c r="AC47" s="3">
        <v>42.5</v>
      </c>
      <c r="AD47" s="3">
        <v>58.284999999999997</v>
      </c>
      <c r="AE47" s="3"/>
      <c r="AF47" s="3"/>
    </row>
    <row r="48" spans="1:32" x14ac:dyDescent="0.25">
      <c r="A48" s="2" t="s">
        <v>41</v>
      </c>
      <c r="R48" s="3"/>
      <c r="S48" s="3"/>
      <c r="T48" s="3">
        <f>T51*0.05</f>
        <v>5.1634000000000002</v>
      </c>
      <c r="U48" s="3">
        <f>U51*0.07</f>
        <v>7.7216300000000002</v>
      </c>
      <c r="V48" s="3">
        <f>V51*0.07</f>
        <v>7.9066400000000003</v>
      </c>
      <c r="W48" s="3">
        <f>W51*0.08</f>
        <v>8.9708000000000006</v>
      </c>
      <c r="X48" s="3">
        <f>X51*0.09</f>
        <v>9.9780300000000004</v>
      </c>
      <c r="Y48" s="3">
        <f>Y51*0.13</f>
        <v>13.78806</v>
      </c>
      <c r="Z48" s="3">
        <f>Z51*0.12</f>
        <v>12.489839999999999</v>
      </c>
      <c r="AA48" s="3">
        <f>AA51*0.15</f>
        <v>16.214549999999999</v>
      </c>
      <c r="AB48" s="3">
        <f>AB51*0.18</f>
        <v>19.62</v>
      </c>
      <c r="AC48" s="2">
        <v>15.2</v>
      </c>
      <c r="AD48" s="2">
        <v>16.991</v>
      </c>
    </row>
    <row r="49" spans="1:38" x14ac:dyDescent="0.25">
      <c r="A49" s="2" t="s">
        <v>19</v>
      </c>
      <c r="T49" s="3">
        <f>T51*0.19</f>
        <v>19.620920000000002</v>
      </c>
      <c r="U49" s="3">
        <f>U51*0.22</f>
        <v>24.267979999999998</v>
      </c>
      <c r="V49" s="3">
        <f>V51*0.19</f>
        <v>21.46088</v>
      </c>
      <c r="W49" s="3">
        <f>W51*0.21</f>
        <v>23.548349999999999</v>
      </c>
      <c r="X49" s="3">
        <f>X51*0.17</f>
        <v>18.847390000000001</v>
      </c>
      <c r="Y49" s="3">
        <f>Y51*0.15</f>
        <v>15.909299999999998</v>
      </c>
      <c r="Z49" s="3">
        <f>Z51*0.16</f>
        <v>16.653119999999998</v>
      </c>
      <c r="AA49" s="3">
        <f>AA51*0.19</f>
        <v>20.538429999999998</v>
      </c>
      <c r="AB49" s="3">
        <f>AB51*0.21</f>
        <v>22.89</v>
      </c>
      <c r="AC49" s="3">
        <v>27.3</v>
      </c>
      <c r="AD49" s="3">
        <v>13.589</v>
      </c>
    </row>
    <row r="50" spans="1:38" x14ac:dyDescent="0.25">
      <c r="A50" s="2" t="s">
        <v>20</v>
      </c>
      <c r="T50" s="3">
        <f>T51*0.09</f>
        <v>9.2941199999999995</v>
      </c>
      <c r="U50" s="3">
        <f>U51*0.13</f>
        <v>14.340170000000001</v>
      </c>
      <c r="V50" s="3">
        <f>V51*0.09</f>
        <v>10.16568</v>
      </c>
      <c r="W50" s="3">
        <f>W51*0.11</f>
        <v>12.334850000000001</v>
      </c>
      <c r="X50" s="3">
        <f>X51*0.14</f>
        <v>15.521380000000002</v>
      </c>
      <c r="Y50" s="3">
        <f>Y51*0.13</f>
        <v>13.78806</v>
      </c>
      <c r="Z50" s="3">
        <f>Z51*0.14</f>
        <v>14.571480000000001</v>
      </c>
      <c r="AA50" s="3">
        <f>AA51*0.14</f>
        <v>15.13358</v>
      </c>
      <c r="AB50" s="3">
        <f>AB51*0.12</f>
        <v>13.08</v>
      </c>
      <c r="AC50" s="2">
        <v>14.2</v>
      </c>
      <c r="AD50" s="2">
        <v>11.108000000000001</v>
      </c>
    </row>
    <row r="51" spans="1:38" s="1" customFormat="1" x14ac:dyDescent="0.25">
      <c r="A51" s="1" t="s">
        <v>5</v>
      </c>
      <c r="T51" s="4">
        <v>103.268</v>
      </c>
      <c r="U51" s="4">
        <v>110.309</v>
      </c>
      <c r="V51" s="4">
        <v>112.952</v>
      </c>
      <c r="W51" s="4">
        <v>112.13500000000001</v>
      </c>
      <c r="X51" s="4">
        <v>110.867</v>
      </c>
      <c r="Y51" s="4">
        <v>106.062</v>
      </c>
      <c r="Z51" s="4">
        <v>104.08199999999999</v>
      </c>
      <c r="AA51" s="4">
        <v>108.09699999999999</v>
      </c>
      <c r="AB51" s="4">
        <v>109</v>
      </c>
      <c r="AC51" s="4">
        <v>109</v>
      </c>
      <c r="AD51" s="4">
        <f>SUM(AD45:AD50)</f>
        <v>114.46599999999999</v>
      </c>
    </row>
    <row r="52" spans="1:38" x14ac:dyDescent="0.25">
      <c r="T52" s="3"/>
      <c r="V52" s="3"/>
      <c r="W52" s="3"/>
      <c r="X52" s="3"/>
      <c r="Y52" s="3"/>
      <c r="Z52" s="3"/>
      <c r="AA52" s="3"/>
      <c r="AB52" s="3"/>
    </row>
    <row r="53" spans="1:38" s="1" customFormat="1" x14ac:dyDescent="0.25">
      <c r="A53" s="1" t="s">
        <v>21</v>
      </c>
      <c r="B53" s="1">
        <v>1990</v>
      </c>
      <c r="C53" s="1">
        <v>1991</v>
      </c>
      <c r="D53" s="1">
        <v>1992</v>
      </c>
      <c r="E53" s="1">
        <v>1993</v>
      </c>
      <c r="F53" s="1">
        <v>1994</v>
      </c>
      <c r="G53" s="1">
        <v>1995</v>
      </c>
      <c r="H53" s="1">
        <v>1996</v>
      </c>
      <c r="I53" s="1">
        <v>1997</v>
      </c>
      <c r="J53" s="1">
        <v>1998</v>
      </c>
      <c r="K53" s="1">
        <v>1999</v>
      </c>
      <c r="L53" s="1">
        <v>2000</v>
      </c>
      <c r="M53" s="1">
        <v>2001</v>
      </c>
      <c r="N53" s="1">
        <v>2002</v>
      </c>
      <c r="O53" s="1">
        <v>2003</v>
      </c>
      <c r="P53" s="1">
        <v>2004</v>
      </c>
      <c r="Q53" s="1">
        <v>2005</v>
      </c>
      <c r="R53" s="1">
        <v>2006</v>
      </c>
      <c r="S53" s="1">
        <v>2007</v>
      </c>
      <c r="T53" s="1">
        <v>2008</v>
      </c>
      <c r="U53" s="1">
        <v>2009</v>
      </c>
      <c r="V53" s="1">
        <v>2010</v>
      </c>
      <c r="W53" s="1">
        <v>2011</v>
      </c>
      <c r="X53" s="1">
        <v>2012</v>
      </c>
      <c r="Y53" s="1">
        <v>2013</v>
      </c>
      <c r="Z53" s="1">
        <v>2014</v>
      </c>
      <c r="AA53" s="1">
        <v>2015</v>
      </c>
      <c r="AB53" s="1">
        <v>2016</v>
      </c>
      <c r="AC53" s="1">
        <v>2017</v>
      </c>
      <c r="AD53" s="1">
        <v>2018</v>
      </c>
      <c r="AE53" s="2"/>
      <c r="AF53" s="2"/>
      <c r="AG53" s="2"/>
      <c r="AH53" s="2"/>
      <c r="AI53" s="2"/>
      <c r="AJ53" s="2"/>
      <c r="AK53" s="2"/>
      <c r="AL53" s="2"/>
    </row>
    <row r="54" spans="1:38" s="3" customFormat="1" x14ac:dyDescent="0.25">
      <c r="A54" s="3" t="s">
        <v>0</v>
      </c>
      <c r="B54" s="3">
        <v>2.3142791020597082</v>
      </c>
      <c r="C54" s="3">
        <v>2.3142791020597082</v>
      </c>
      <c r="D54" s="3">
        <v>2.3596571236687223</v>
      </c>
      <c r="E54" s="3">
        <v>2.3596571236687223</v>
      </c>
      <c r="F54" s="3">
        <v>2.3142791020597082</v>
      </c>
      <c r="G54" s="3">
        <v>2.3142791020597082</v>
      </c>
      <c r="H54" s="3">
        <v>2.3142791020597082</v>
      </c>
      <c r="I54" s="3">
        <v>2.2689010804506946</v>
      </c>
      <c r="J54" s="3">
        <v>4.9008263337735007</v>
      </c>
      <c r="K54" s="3">
        <v>3.766375793548153</v>
      </c>
      <c r="L54" s="3">
        <v>4.1747779880292777</v>
      </c>
      <c r="M54" s="3">
        <v>4.3</v>
      </c>
      <c r="N54" s="3">
        <v>4.5</v>
      </c>
      <c r="O54" s="3">
        <v>4.5</v>
      </c>
      <c r="P54" s="3">
        <v>3.9</v>
      </c>
      <c r="Q54" s="3">
        <v>3.9</v>
      </c>
      <c r="R54" s="3">
        <v>3.9</v>
      </c>
      <c r="S54" s="3">
        <v>4</v>
      </c>
      <c r="T54" s="3">
        <v>4</v>
      </c>
      <c r="U54" s="3">
        <v>4</v>
      </c>
      <c r="V54" s="3">
        <v>4</v>
      </c>
      <c r="W54" s="3">
        <v>4</v>
      </c>
      <c r="X54" s="3">
        <v>4.9000000000000004</v>
      </c>
      <c r="Y54" s="3">
        <v>4.7</v>
      </c>
      <c r="Z54" s="3">
        <v>4.5999999999999996</v>
      </c>
      <c r="AA54" s="3">
        <v>4.0999999999999996</v>
      </c>
      <c r="AB54" s="3">
        <v>4.8029999999999999</v>
      </c>
      <c r="AC54" s="3">
        <v>4</v>
      </c>
      <c r="AD54" s="3">
        <v>7.2869999999999999</v>
      </c>
      <c r="AE54" s="2"/>
      <c r="AF54" s="2"/>
      <c r="AG54" s="2"/>
      <c r="AH54" s="2"/>
      <c r="AI54" s="2"/>
      <c r="AJ54" s="2"/>
      <c r="AK54" s="2"/>
      <c r="AL54" s="2"/>
    </row>
    <row r="55" spans="1:38" s="3" customFormat="1" x14ac:dyDescent="0.25">
      <c r="A55" s="3" t="s">
        <v>2</v>
      </c>
      <c r="B55" s="3">
        <v>1.2705846050523888</v>
      </c>
      <c r="C55" s="3">
        <v>1.8151208643605556</v>
      </c>
      <c r="D55" s="3">
        <v>1.7243648211425278</v>
      </c>
      <c r="E55" s="3">
        <v>1.4520966914884446</v>
      </c>
      <c r="F55" s="3">
        <v>1.6336087779245001</v>
      </c>
      <c r="G55" s="3">
        <v>2.0873889940146388</v>
      </c>
      <c r="H55" s="3">
        <v>2.2689010804506946</v>
      </c>
      <c r="I55" s="3">
        <v>2.9949494261949163</v>
      </c>
      <c r="J55" s="3">
        <v>3.0403274478039308</v>
      </c>
      <c r="K55" s="3">
        <v>2.813437339758861</v>
      </c>
      <c r="L55" s="3">
        <v>3.6756197503301249</v>
      </c>
      <c r="M55" s="3">
        <v>2.8</v>
      </c>
      <c r="N55" s="3">
        <v>1.7</v>
      </c>
      <c r="O55" s="3">
        <v>2.1</v>
      </c>
      <c r="P55" s="3">
        <v>1.7</v>
      </c>
      <c r="Q55" s="3">
        <v>1.6</v>
      </c>
      <c r="R55" s="3">
        <v>1.3</v>
      </c>
      <c r="S55" s="3">
        <v>1.7</v>
      </c>
      <c r="T55" s="3">
        <v>2.2000000000000002</v>
      </c>
      <c r="U55" s="3">
        <v>2</v>
      </c>
      <c r="V55" s="3">
        <v>3.2</v>
      </c>
      <c r="W55" s="3">
        <v>3.8</v>
      </c>
      <c r="X55" s="3">
        <v>3.5</v>
      </c>
      <c r="Y55" s="3">
        <v>3.6</v>
      </c>
      <c r="Z55" s="3">
        <v>4</v>
      </c>
      <c r="AA55" s="3">
        <v>3.2</v>
      </c>
      <c r="AB55" s="3">
        <v>4.1749999999999998</v>
      </c>
      <c r="AC55" s="3">
        <v>5.4</v>
      </c>
      <c r="AD55" s="3">
        <v>8.4420000000000002</v>
      </c>
      <c r="AF55" s="2"/>
      <c r="AG55" s="2"/>
      <c r="AH55" s="2"/>
      <c r="AI55" s="2"/>
      <c r="AJ55" s="2"/>
      <c r="AK55" s="2"/>
      <c r="AL55" s="2"/>
    </row>
    <row r="56" spans="1:38" s="3" customFormat="1" x14ac:dyDescent="0.25">
      <c r="A56" s="3" t="s">
        <v>37</v>
      </c>
      <c r="AC56" s="6"/>
      <c r="AE56" s="2"/>
      <c r="AF56" s="2"/>
      <c r="AG56" s="2"/>
      <c r="AH56" s="2"/>
      <c r="AI56" s="2"/>
      <c r="AJ56" s="2"/>
      <c r="AK56" s="2"/>
      <c r="AL56" s="2"/>
    </row>
    <row r="57" spans="1:38" s="3" customFormat="1" x14ac:dyDescent="0.25">
      <c r="A57" s="3" t="s">
        <v>3</v>
      </c>
      <c r="B57" s="3">
        <v>3.3579735990670279</v>
      </c>
      <c r="C57" s="3">
        <v>3.8571318367661807</v>
      </c>
      <c r="D57" s="3">
        <v>3.7209977719391385</v>
      </c>
      <c r="E57" s="3">
        <v>3.2672175558490002</v>
      </c>
      <c r="F57" s="3">
        <v>4.038643923202236</v>
      </c>
      <c r="G57" s="3">
        <v>4.7193142473374445</v>
      </c>
      <c r="H57" s="3">
        <v>2.1781450372326665</v>
      </c>
      <c r="I57" s="3">
        <v>6.6251911549160276</v>
      </c>
      <c r="J57" s="3">
        <v>5.626874679517722</v>
      </c>
      <c r="K57" s="3">
        <v>5.5814966579087084</v>
      </c>
      <c r="L57" s="3">
        <v>5.5814966579087084</v>
      </c>
      <c r="M57" s="3">
        <v>7.5</v>
      </c>
      <c r="N57" s="3">
        <v>9</v>
      </c>
      <c r="O57" s="3">
        <v>5.6</v>
      </c>
      <c r="P57" s="3">
        <v>8.5</v>
      </c>
      <c r="Q57" s="3">
        <v>7.5</v>
      </c>
      <c r="R57" s="3">
        <v>9.1</v>
      </c>
      <c r="S57" s="3">
        <v>10.6</v>
      </c>
      <c r="T57" s="3">
        <v>12</v>
      </c>
      <c r="U57" s="3">
        <v>12.4</v>
      </c>
      <c r="V57" s="3">
        <v>10.199999999999999</v>
      </c>
      <c r="W57" s="3">
        <v>7.8</v>
      </c>
      <c r="X57" s="3">
        <v>4.4000000000000004</v>
      </c>
      <c r="Y57" s="3">
        <v>6.2</v>
      </c>
      <c r="Z57" s="3">
        <v>6.8</v>
      </c>
      <c r="AA57" s="3">
        <v>7.2</v>
      </c>
      <c r="AB57" s="3">
        <v>6</v>
      </c>
      <c r="AC57" s="3">
        <v>7</v>
      </c>
      <c r="AD57" s="3">
        <v>8.4350000000000005</v>
      </c>
      <c r="AE57" s="2"/>
      <c r="AF57" s="2"/>
      <c r="AG57" s="2"/>
      <c r="AH57" s="2"/>
      <c r="AI57" s="2"/>
      <c r="AJ57" s="2"/>
      <c r="AK57" s="2"/>
      <c r="AL57" s="2"/>
    </row>
    <row r="58" spans="1:38" s="3" customFormat="1" x14ac:dyDescent="0.25">
      <c r="A58" s="3" t="s">
        <v>4</v>
      </c>
      <c r="B58" s="3">
        <v>6.9882153277881391</v>
      </c>
      <c r="C58" s="3">
        <v>7.8957757599684157</v>
      </c>
      <c r="D58" s="3">
        <v>7.5781296087053187</v>
      </c>
      <c r="E58" s="3">
        <v>6.8067032413520829</v>
      </c>
      <c r="F58" s="3">
        <v>7.8957757599684175</v>
      </c>
      <c r="G58" s="3">
        <v>6.2167889604349025</v>
      </c>
      <c r="H58" s="3">
        <v>8.4856900408855971</v>
      </c>
      <c r="I58" s="3">
        <v>5.309228528254625</v>
      </c>
      <c r="J58" s="3">
        <v>7.9865318031864447</v>
      </c>
      <c r="K58" s="3">
        <v>6.5344351116980004</v>
      </c>
      <c r="L58" s="3">
        <v>8.1680438896224992</v>
      </c>
      <c r="M58" s="3">
        <v>8.6</v>
      </c>
      <c r="N58" s="3">
        <v>9.1</v>
      </c>
      <c r="O58" s="3">
        <v>10.9</v>
      </c>
      <c r="P58" s="3">
        <v>11.2</v>
      </c>
      <c r="Q58" s="3">
        <v>14.7</v>
      </c>
      <c r="R58" s="3">
        <v>16.100000000000001</v>
      </c>
      <c r="S58" s="3">
        <v>16.8</v>
      </c>
      <c r="T58" s="3">
        <v>18.5</v>
      </c>
      <c r="U58" s="3">
        <v>17</v>
      </c>
      <c r="V58" s="3">
        <v>21.2</v>
      </c>
      <c r="W58" s="3">
        <v>21.8</v>
      </c>
      <c r="X58" s="3">
        <v>28.4</v>
      </c>
      <c r="Y58" s="3">
        <v>28.1</v>
      </c>
      <c r="Z58" s="3">
        <v>26.8</v>
      </c>
      <c r="AA58" s="3">
        <v>30</v>
      </c>
      <c r="AB58" s="3">
        <v>27.6</v>
      </c>
      <c r="AC58" s="3">
        <v>21.2</v>
      </c>
      <c r="AD58" s="3">
        <v>21.802</v>
      </c>
      <c r="AF58" s="2"/>
      <c r="AG58" s="2"/>
      <c r="AH58" s="2"/>
      <c r="AI58" s="2"/>
      <c r="AJ58" s="2"/>
      <c r="AK58" s="2"/>
      <c r="AL58" s="2"/>
    </row>
    <row r="59" spans="1:38" s="3" customFormat="1" x14ac:dyDescent="0.25">
      <c r="A59" s="3" t="s">
        <v>10</v>
      </c>
      <c r="B59" s="3">
        <v>4.5378021609013892E-2</v>
      </c>
      <c r="C59" s="3">
        <v>0.13613406482704166</v>
      </c>
      <c r="D59" s="3">
        <v>0.22689010804506946</v>
      </c>
      <c r="E59" s="3">
        <v>0.27226812965408331</v>
      </c>
      <c r="F59" s="3">
        <v>0.3176461512630972</v>
      </c>
      <c r="G59" s="3">
        <v>0.18151208643605557</v>
      </c>
      <c r="H59" s="3">
        <v>0.18151208643605557</v>
      </c>
      <c r="I59" s="3">
        <v>0.45378021609013891</v>
      </c>
      <c r="J59" s="3">
        <v>0.13613406482704166</v>
      </c>
      <c r="K59" s="3">
        <v>0.81680438896225005</v>
      </c>
      <c r="L59" s="3">
        <v>1.1344505402253473</v>
      </c>
      <c r="M59" s="3">
        <v>1</v>
      </c>
      <c r="N59" s="3">
        <v>0.6</v>
      </c>
      <c r="O59" s="3">
        <v>0.9</v>
      </c>
      <c r="P59" s="3">
        <v>0.6</v>
      </c>
      <c r="Q59" s="3">
        <v>0.9</v>
      </c>
      <c r="R59" s="3">
        <v>0.2</v>
      </c>
      <c r="S59" s="3">
        <v>0.2</v>
      </c>
      <c r="T59" s="3">
        <v>-0.1</v>
      </c>
      <c r="U59" s="3">
        <v>0.2</v>
      </c>
      <c r="V59" s="3">
        <v>0.9</v>
      </c>
      <c r="W59" s="3">
        <v>0.8</v>
      </c>
      <c r="X59" s="3">
        <v>1</v>
      </c>
      <c r="Y59" s="3">
        <v>0.5</v>
      </c>
      <c r="Z59" s="3">
        <v>0.5</v>
      </c>
      <c r="AA59" s="3">
        <v>0.6</v>
      </c>
      <c r="AB59" s="3">
        <v>0.4</v>
      </c>
      <c r="AC59" s="3">
        <v>1.9</v>
      </c>
      <c r="AD59" s="3">
        <v>1.3089999999999999</v>
      </c>
      <c r="AE59" s="2"/>
      <c r="AF59" s="2"/>
      <c r="AG59" s="2"/>
      <c r="AH59" s="2"/>
      <c r="AI59" s="2"/>
      <c r="AJ59" s="2"/>
      <c r="AK59" s="2"/>
      <c r="AL59" s="2"/>
    </row>
    <row r="60" spans="1:38" s="4" customFormat="1" x14ac:dyDescent="0.25">
      <c r="A60" s="4" t="s">
        <v>5</v>
      </c>
      <c r="B60" s="4">
        <v>13.97643065557628</v>
      </c>
      <c r="C60" s="4">
        <v>16.0184416279819</v>
      </c>
      <c r="D60" s="4">
        <v>15.610039433500777</v>
      </c>
      <c r="E60" s="4">
        <v>14.157942742012334</v>
      </c>
      <c r="F60" s="4">
        <v>16.199953714417958</v>
      </c>
      <c r="G60" s="4">
        <v>15.519283390282752</v>
      </c>
      <c r="H60" s="4">
        <v>15.428527347064723</v>
      </c>
      <c r="I60" s="4">
        <v>17.652050405906401</v>
      </c>
      <c r="J60" s="4">
        <v>21.690694329108638</v>
      </c>
      <c r="K60" s="4">
        <v>19.512549291875974</v>
      </c>
      <c r="L60" s="4">
        <f t="shared" ref="L60:AA60" si="5">SUM(L54:L59)</f>
        <v>22.734388826115957</v>
      </c>
      <c r="M60" s="4">
        <f t="shared" si="5"/>
        <v>24.2</v>
      </c>
      <c r="N60" s="4">
        <f t="shared" si="5"/>
        <v>24.9</v>
      </c>
      <c r="O60" s="4">
        <f t="shared" si="5"/>
        <v>24</v>
      </c>
      <c r="P60" s="4">
        <f t="shared" si="5"/>
        <v>25.9</v>
      </c>
      <c r="Q60" s="4">
        <f t="shared" si="5"/>
        <v>28.599999999999998</v>
      </c>
      <c r="R60" s="4">
        <f t="shared" si="5"/>
        <v>30.6</v>
      </c>
      <c r="S60" s="4">
        <f t="shared" si="5"/>
        <v>33.300000000000004</v>
      </c>
      <c r="T60" s="4">
        <f t="shared" si="5"/>
        <v>36.6</v>
      </c>
      <c r="U60" s="4">
        <f t="shared" si="5"/>
        <v>35.6</v>
      </c>
      <c r="V60" s="4">
        <f t="shared" si="5"/>
        <v>39.499999999999993</v>
      </c>
      <c r="W60" s="4">
        <f t="shared" si="5"/>
        <v>38.199999999999996</v>
      </c>
      <c r="X60" s="4">
        <f t="shared" si="5"/>
        <v>42.2</v>
      </c>
      <c r="Y60" s="4">
        <f t="shared" si="5"/>
        <v>43.1</v>
      </c>
      <c r="Z60" s="4">
        <f t="shared" si="5"/>
        <v>42.7</v>
      </c>
      <c r="AA60" s="4">
        <f t="shared" si="5"/>
        <v>45.1</v>
      </c>
      <c r="AB60" s="4">
        <v>43.067</v>
      </c>
      <c r="AC60" s="4">
        <f>SUM(AC54:AC59)</f>
        <v>39.499999999999993</v>
      </c>
      <c r="AD60" s="4">
        <f>SUM(AD54:AD59)</f>
        <v>47.274999999999999</v>
      </c>
      <c r="AE60" s="2"/>
      <c r="AF60" s="2"/>
      <c r="AG60" s="2"/>
      <c r="AH60" s="2"/>
      <c r="AI60" s="2"/>
      <c r="AJ60" s="2"/>
      <c r="AK60" s="2"/>
      <c r="AL60" s="2"/>
    </row>
    <row r="61" spans="1:38" s="4" customFormat="1" x14ac:dyDescent="0.25">
      <c r="AE61" s="2"/>
      <c r="AF61" s="2"/>
      <c r="AG61" s="2"/>
      <c r="AH61" s="2"/>
      <c r="AI61" s="2"/>
      <c r="AJ61" s="2"/>
      <c r="AK61" s="2"/>
      <c r="AL61" s="2"/>
    </row>
    <row r="62" spans="1:38" x14ac:dyDescent="0.25">
      <c r="A62" s="4" t="s">
        <v>33</v>
      </c>
    </row>
    <row r="63" spans="1:38" s="1" customFormat="1" x14ac:dyDescent="0.25">
      <c r="B63" s="1">
        <v>1990</v>
      </c>
      <c r="C63" s="1">
        <v>1991</v>
      </c>
      <c r="D63" s="1">
        <v>1992</v>
      </c>
      <c r="E63" s="1">
        <v>1993</v>
      </c>
      <c r="F63" s="1">
        <v>1994</v>
      </c>
      <c r="G63" s="1">
        <v>1995</v>
      </c>
      <c r="H63" s="1">
        <v>1996</v>
      </c>
      <c r="I63" s="1">
        <v>1997</v>
      </c>
      <c r="J63" s="1">
        <v>1998</v>
      </c>
      <c r="K63" s="1">
        <v>1999</v>
      </c>
      <c r="L63" s="1">
        <v>2000</v>
      </c>
      <c r="M63" s="1">
        <v>2001</v>
      </c>
      <c r="N63" s="1">
        <v>2002</v>
      </c>
      <c r="O63" s="1">
        <v>2003</v>
      </c>
      <c r="P63" s="1">
        <v>2004</v>
      </c>
      <c r="Q63" s="1">
        <v>2005</v>
      </c>
      <c r="R63" s="1">
        <v>2006</v>
      </c>
      <c r="S63" s="1">
        <v>2007</v>
      </c>
      <c r="T63" s="1">
        <v>2008</v>
      </c>
      <c r="U63" s="1">
        <v>2009</v>
      </c>
      <c r="V63" s="1">
        <v>2010</v>
      </c>
      <c r="W63" s="1">
        <v>2011</v>
      </c>
      <c r="X63" s="1">
        <v>2012</v>
      </c>
      <c r="Y63" s="1">
        <v>2013</v>
      </c>
      <c r="Z63" s="1">
        <v>2014</v>
      </c>
      <c r="AA63" s="1">
        <v>2015</v>
      </c>
      <c r="AB63" s="1">
        <v>2016</v>
      </c>
      <c r="AC63" s="1">
        <v>2017</v>
      </c>
      <c r="AD63" s="1">
        <v>2018</v>
      </c>
      <c r="AE63" s="2"/>
      <c r="AF63" s="2"/>
      <c r="AG63" s="2"/>
      <c r="AH63" s="2"/>
      <c r="AI63" s="2"/>
      <c r="AJ63" s="2"/>
      <c r="AK63" s="2"/>
      <c r="AL63" s="2"/>
    </row>
    <row r="64" spans="1:38" s="3" customFormat="1" x14ac:dyDescent="0.25">
      <c r="A64" s="3" t="s">
        <v>22</v>
      </c>
      <c r="B64" s="3">
        <f>B4+B5+B16+B24+B25+B35+B36+B54</f>
        <v>50.369603986005423</v>
      </c>
      <c r="C64" s="3">
        <f t="shared" ref="C64:O64" si="6">C4+C5+C16+C24+C25+C35+C36+C54</f>
        <v>51.776322655884847</v>
      </c>
      <c r="D64" s="3">
        <f t="shared" si="6"/>
        <v>53.092285282546257</v>
      </c>
      <c r="E64" s="3">
        <f t="shared" si="6"/>
        <v>55.406564384605957</v>
      </c>
      <c r="F64" s="3">
        <f t="shared" si="6"/>
        <v>55.588076471042008</v>
      </c>
      <c r="G64" s="3">
        <f t="shared" si="6"/>
        <v>52.820017152892163</v>
      </c>
      <c r="H64" s="3">
        <f t="shared" si="6"/>
        <v>50.324225964396405</v>
      </c>
      <c r="I64" s="3">
        <f t="shared" si="6"/>
        <v>51.458676504621749</v>
      </c>
      <c r="J64" s="3">
        <f t="shared" si="6"/>
        <v>53.092285282546257</v>
      </c>
      <c r="K64" s="3">
        <f t="shared" si="6"/>
        <v>58.991428091718049</v>
      </c>
      <c r="L64" s="3">
        <f t="shared" si="6"/>
        <v>61.623353345040854</v>
      </c>
      <c r="M64" s="3">
        <f t="shared" si="6"/>
        <v>65.2</v>
      </c>
      <c r="N64" s="3">
        <f t="shared" si="6"/>
        <v>68.099999999999994</v>
      </c>
      <c r="O64" s="3">
        <f t="shared" si="6"/>
        <v>68</v>
      </c>
      <c r="P64" s="3">
        <f>P4+P5+P16+P17+P24+P25+P35+P36+P54</f>
        <v>67.599999999999994</v>
      </c>
      <c r="Q64" s="3">
        <f t="shared" ref="Q64:R64" si="7">Q4+Q5+Q16+Q17+Q24+Q25+Q35+Q36+Q54</f>
        <v>71.5</v>
      </c>
      <c r="R64" s="3">
        <f t="shared" si="7"/>
        <v>81.8</v>
      </c>
      <c r="S64" s="3">
        <f>S4+S5+S16+S17+S24+S25+S35+S36+S54</f>
        <v>79.600000000000009</v>
      </c>
      <c r="T64" s="3">
        <f>T4+T5+T16+T17+ T54+T44</f>
        <v>104.61308000000001</v>
      </c>
      <c r="U64" s="3">
        <f>U4+U5+U16+U17+ U54+U44</f>
        <v>130.29159000000001</v>
      </c>
      <c r="V64" s="3">
        <f t="shared" ref="V64:AA64" si="8">V4+V5+V16+V17+V45+V54</f>
        <v>85.738</v>
      </c>
      <c r="W64" s="3">
        <f t="shared" si="8"/>
        <v>81.817999999999998</v>
      </c>
      <c r="X64" s="3">
        <f t="shared" si="8"/>
        <v>75.865000000000009</v>
      </c>
      <c r="Y64" s="3">
        <f t="shared" si="8"/>
        <v>75.331999999999994</v>
      </c>
      <c r="Z64" s="3">
        <f t="shared" si="8"/>
        <v>72.266999999999996</v>
      </c>
      <c r="AA64" s="3">
        <f t="shared" si="8"/>
        <v>67.72</v>
      </c>
      <c r="AB64" s="3">
        <f>AB4+AB5+AB16+AB17+AB45+AB54</f>
        <v>65.575000000000003</v>
      </c>
      <c r="AC64" s="3">
        <f>AC4+AC5+AC16+AC17+AC45+AC54</f>
        <v>63.337000000000003</v>
      </c>
      <c r="AD64" s="3">
        <f>AD4+AD5+AD16+AD17+AD45+AD54</f>
        <v>44.358000000000004</v>
      </c>
      <c r="AE64" s="2"/>
      <c r="AF64" s="2"/>
      <c r="AG64" s="2"/>
      <c r="AH64" s="2"/>
      <c r="AI64" s="2"/>
      <c r="AJ64" s="2"/>
      <c r="AK64" s="2"/>
      <c r="AL64" s="2"/>
    </row>
    <row r="65" spans="1:38" s="3" customFormat="1" x14ac:dyDescent="0.25">
      <c r="A65" s="3" t="s">
        <v>23</v>
      </c>
      <c r="B65" s="3">
        <f>+B7+B8+B11+B18+B19+B27+B28+B29+B30+B37+B38+B39+B40+B55+B57+B58+B59</f>
        <v>123.11057262525469</v>
      </c>
      <c r="C65" s="3">
        <f t="shared" ref="C65:O65" si="9">+C7+C8+C11+C18+C19+C27+C28+C29+C37+C38+C39+C40+C55+C57+C58+C59</f>
        <v>133.50213957371886</v>
      </c>
      <c r="D65" s="3">
        <f t="shared" si="9"/>
        <v>148.52226472630244</v>
      </c>
      <c r="E65" s="3">
        <f t="shared" si="9"/>
        <v>142.57774389552165</v>
      </c>
      <c r="F65" s="3">
        <f t="shared" si="9"/>
        <v>139.21977029645461</v>
      </c>
      <c r="G65" s="3">
        <f t="shared" si="9"/>
        <v>128.10215500224621</v>
      </c>
      <c r="H65" s="3">
        <f t="shared" si="9"/>
        <v>133.00298133601967</v>
      </c>
      <c r="I65" s="3">
        <f t="shared" si="9"/>
        <v>135.81641867577858</v>
      </c>
      <c r="J65" s="3">
        <f t="shared" si="9"/>
        <v>160.81970858234521</v>
      </c>
      <c r="K65" s="3">
        <f t="shared" si="9"/>
        <v>164.0415481165852</v>
      </c>
      <c r="L65" s="3">
        <f t="shared" si="9"/>
        <v>166.2650711754269</v>
      </c>
      <c r="M65" s="3">
        <f t="shared" si="9"/>
        <v>174.1</v>
      </c>
      <c r="N65" s="3">
        <f t="shared" si="9"/>
        <v>178.39999999999998</v>
      </c>
      <c r="O65" s="3">
        <f t="shared" si="9"/>
        <v>170.20000000000002</v>
      </c>
      <c r="P65" s="3">
        <f t="shared" ref="P65:R65" si="10">+P7+P8+P11+P18+P19+P27+P28+P29+P37+P38+P39+P40+P55+P57+P58+P59</f>
        <v>180.49999999999997</v>
      </c>
      <c r="Q65" s="3">
        <f t="shared" si="10"/>
        <v>188.1</v>
      </c>
      <c r="R65" s="3">
        <f t="shared" si="10"/>
        <v>194.8</v>
      </c>
      <c r="S65" s="3">
        <f>+S7+S8+S11+S18+S19+S27+S28+S29+S37+S38+S39+S40+S55+S57+S58+S59</f>
        <v>211.7</v>
      </c>
      <c r="T65" s="3">
        <f>T7+T9+T10+T11+T18+T19+T55+T57+T58+T59+T46+T48+T49+T50</f>
        <v>232.23591999999999</v>
      </c>
      <c r="U65" s="3">
        <f>U7+U9+U10+U11+U18+U19+U55+U57+U58+U59+U46+U49+U50+U48</f>
        <v>227.16840999999999</v>
      </c>
      <c r="V65" s="3">
        <f t="shared" ref="V65:AD65" si="11">V7+V9+V10+V11+V18+V19+V55+V57+V58+V59+V49+V50+V47+V48</f>
        <v>272.30819999999994</v>
      </c>
      <c r="W65" s="3">
        <f t="shared" si="11"/>
        <v>273.51400000000001</v>
      </c>
      <c r="X65" s="3">
        <f t="shared" si="11"/>
        <v>288.87279999999998</v>
      </c>
      <c r="Y65" s="3">
        <f t="shared" si="11"/>
        <v>276.28941999999995</v>
      </c>
      <c r="Z65" s="3">
        <f t="shared" si="11"/>
        <v>280.50044000000003</v>
      </c>
      <c r="AA65" s="3">
        <f t="shared" si="11"/>
        <v>288.01155999999992</v>
      </c>
      <c r="AB65" s="3">
        <f t="shared" si="11"/>
        <v>303.62900000000002</v>
      </c>
      <c r="AC65" s="3">
        <f t="shared" si="11"/>
        <v>308.66899999999998</v>
      </c>
      <c r="AD65" s="3">
        <f t="shared" si="11"/>
        <v>206.97699999999998</v>
      </c>
      <c r="AE65" s="2"/>
      <c r="AF65" s="2"/>
      <c r="AG65" s="2"/>
      <c r="AH65" s="2"/>
      <c r="AI65" s="2"/>
      <c r="AJ65" s="2"/>
      <c r="AK65" s="2"/>
      <c r="AL65" s="2"/>
    </row>
    <row r="66" spans="1:38" s="3" customFormat="1" x14ac:dyDescent="0.25">
      <c r="A66" s="3" t="s">
        <v>13</v>
      </c>
      <c r="B66" s="3">
        <f>+B20+B31</f>
        <v>0.27226812965408331</v>
      </c>
      <c r="C66" s="3">
        <f>+C20+C31</f>
        <v>0.3176461512630972</v>
      </c>
      <c r="D66" s="3">
        <f>+D20+D31</f>
        <v>0.58991428091718057</v>
      </c>
      <c r="E66" s="3">
        <f>+E20+E31</f>
        <v>0.58991428091718057</v>
      </c>
      <c r="F66" s="3">
        <f>+F20+F31</f>
        <v>0.90756043218027782</v>
      </c>
      <c r="G66" s="3">
        <v>0.77142636735323611</v>
      </c>
      <c r="H66" s="3">
        <f>+H20+H31</f>
        <v>0.68067032413520834</v>
      </c>
      <c r="I66" s="3">
        <f t="shared" ref="I66:R66" si="12">I31+I20+I12</f>
        <v>7.9120725186163341</v>
      </c>
      <c r="J66" s="3">
        <f t="shared" si="12"/>
        <v>8.7358285618343618</v>
      </c>
      <c r="K66" s="3">
        <f t="shared" si="12"/>
        <v>4.8639142809171805</v>
      </c>
      <c r="L66" s="3">
        <f t="shared" si="12"/>
        <v>5.2313406482704163</v>
      </c>
      <c r="M66" s="3">
        <f t="shared" si="12"/>
        <v>0.83400000000000007</v>
      </c>
      <c r="N66" s="3">
        <f t="shared" si="12"/>
        <v>2.9119999999999999</v>
      </c>
      <c r="O66" s="3">
        <f t="shared" si="12"/>
        <v>3.5300000000000002</v>
      </c>
      <c r="P66" s="3">
        <f t="shared" si="12"/>
        <v>6.5110000000000001</v>
      </c>
      <c r="Q66" s="3">
        <f t="shared" si="12"/>
        <v>9.6489999999999991</v>
      </c>
      <c r="R66" s="3">
        <f t="shared" si="12"/>
        <v>10.587</v>
      </c>
      <c r="S66" s="3">
        <f>S31+S20+S12</f>
        <v>15.251999999999999</v>
      </c>
      <c r="T66" s="3">
        <f t="shared" ref="T66:AC66" si="13">T20+T12</f>
        <v>12.225</v>
      </c>
      <c r="U66" s="3">
        <f>U20+U12</f>
        <v>10.73</v>
      </c>
      <c r="V66" s="3">
        <f t="shared" si="13"/>
        <v>13.164</v>
      </c>
      <c r="W66" s="3">
        <f t="shared" si="13"/>
        <v>15.278</v>
      </c>
      <c r="X66" s="3">
        <f t="shared" si="13"/>
        <v>17.593</v>
      </c>
      <c r="Y66" s="3">
        <f t="shared" si="13"/>
        <v>18.23</v>
      </c>
      <c r="Z66" s="3">
        <f t="shared" si="13"/>
        <v>14.385</v>
      </c>
      <c r="AA66" s="3">
        <f t="shared" si="13"/>
        <v>15.183999999999999</v>
      </c>
      <c r="AB66" s="3">
        <f t="shared" si="13"/>
        <v>17.222999999999999</v>
      </c>
      <c r="AC66" s="3">
        <f t="shared" si="13"/>
        <v>19.053999999999998</v>
      </c>
      <c r="AD66" s="3">
        <f t="shared" ref="AD66" si="14">AD20+AD12</f>
        <v>0</v>
      </c>
      <c r="AE66" s="2"/>
      <c r="AF66" s="2"/>
      <c r="AG66" s="2"/>
      <c r="AH66" s="2"/>
      <c r="AI66" s="2"/>
      <c r="AJ66" s="2"/>
      <c r="AK66" s="2"/>
      <c r="AL66" s="2"/>
    </row>
    <row r="67" spans="1:38" s="4" customFormat="1" x14ac:dyDescent="0.25">
      <c r="A67" s="4" t="s">
        <v>5</v>
      </c>
      <c r="B67" s="4">
        <f t="shared" ref="B67:K67" si="15">SUM(B64:B66)</f>
        <v>173.7524447409142</v>
      </c>
      <c r="C67" s="4">
        <f t="shared" si="15"/>
        <v>185.59610838086681</v>
      </c>
      <c r="D67" s="4">
        <f t="shared" si="15"/>
        <v>202.20446428976589</v>
      </c>
      <c r="E67" s="4">
        <f t="shared" si="15"/>
        <v>198.57422256104479</v>
      </c>
      <c r="F67" s="4">
        <f t="shared" si="15"/>
        <v>195.71540719967689</v>
      </c>
      <c r="G67" s="4">
        <f t="shared" si="15"/>
        <v>181.69359852249158</v>
      </c>
      <c r="H67" s="4">
        <f t="shared" si="15"/>
        <v>184.0078776245513</v>
      </c>
      <c r="I67" s="4">
        <f t="shared" si="15"/>
        <v>195.18716769901667</v>
      </c>
      <c r="J67" s="4">
        <f t="shared" si="15"/>
        <v>222.64782242672584</v>
      </c>
      <c r="K67" s="4">
        <f t="shared" si="15"/>
        <v>227.89689048922043</v>
      </c>
      <c r="L67" s="4">
        <f>SUM(L64:L66)</f>
        <v>233.11976516873818</v>
      </c>
      <c r="M67" s="4">
        <f t="shared" ref="M67:Z67" si="16">SUM(M64:M66)</f>
        <v>240.13400000000001</v>
      </c>
      <c r="N67" s="4">
        <f t="shared" si="16"/>
        <v>249.41199999999998</v>
      </c>
      <c r="O67" s="4">
        <f t="shared" si="16"/>
        <v>241.73000000000002</v>
      </c>
      <c r="P67" s="4">
        <f t="shared" si="16"/>
        <v>254.61099999999996</v>
      </c>
      <c r="Q67" s="4">
        <f t="shared" si="16"/>
        <v>269.24900000000002</v>
      </c>
      <c r="R67" s="4">
        <f t="shared" si="16"/>
        <v>287.18700000000001</v>
      </c>
      <c r="S67" s="4">
        <f t="shared" si="16"/>
        <v>306.55200000000002</v>
      </c>
      <c r="T67" s="4">
        <f t="shared" si="16"/>
        <v>349.07400000000001</v>
      </c>
      <c r="U67" s="4">
        <f t="shared" si="16"/>
        <v>368.19000000000005</v>
      </c>
      <c r="V67" s="4">
        <f t="shared" si="16"/>
        <v>371.21019999999993</v>
      </c>
      <c r="W67" s="4">
        <f t="shared" si="16"/>
        <v>370.61</v>
      </c>
      <c r="X67" s="4">
        <f t="shared" si="16"/>
        <v>382.33080000000001</v>
      </c>
      <c r="Y67" s="4">
        <f t="shared" si="16"/>
        <v>369.85141999999996</v>
      </c>
      <c r="Z67" s="4">
        <f t="shared" si="16"/>
        <v>367.15244000000001</v>
      </c>
      <c r="AA67" s="4">
        <f t="shared" ref="AA67" si="17">SUM(AA64:AA66)</f>
        <v>370.91555999999997</v>
      </c>
      <c r="AB67" s="4">
        <f>SUM(AB64:AB66)</f>
        <v>386.42700000000002</v>
      </c>
      <c r="AC67" s="4">
        <f>SUM(AC64:AC66)</f>
        <v>391.05999999999995</v>
      </c>
      <c r="AD67" s="4">
        <f>SUM(AD64:AD66)</f>
        <v>251.33499999999998</v>
      </c>
      <c r="AE67" s="2"/>
      <c r="AF67" s="2"/>
      <c r="AG67" s="2"/>
      <c r="AH67" s="2"/>
      <c r="AI67" s="2"/>
      <c r="AJ67" s="2"/>
      <c r="AK67" s="2"/>
      <c r="AL67" s="2"/>
    </row>
    <row r="68" spans="1:38" s="4" customFormat="1" x14ac:dyDescent="0.25">
      <c r="AC68" s="3"/>
      <c r="AD68" s="3"/>
      <c r="AE68" s="2"/>
      <c r="AF68" s="2"/>
      <c r="AG68" s="2"/>
      <c r="AH68" s="2"/>
      <c r="AI68" s="2"/>
      <c r="AJ68" s="2"/>
      <c r="AK68" s="2"/>
      <c r="AL68" s="2"/>
    </row>
    <row r="69" spans="1:38" s="3" customFormat="1" x14ac:dyDescent="0.25">
      <c r="AE69" s="2"/>
      <c r="AF69" s="2"/>
      <c r="AG69" s="2"/>
      <c r="AH69" s="2"/>
      <c r="AI69" s="2"/>
      <c r="AJ69" s="2"/>
      <c r="AK69" s="2"/>
      <c r="AL69" s="2"/>
    </row>
    <row r="70" spans="1:38" s="3" customFormat="1" x14ac:dyDescent="0.25">
      <c r="A70" s="3" t="s">
        <v>29</v>
      </c>
      <c r="B70" s="3">
        <v>28.98929224340559</v>
      </c>
      <c r="C70" s="3">
        <v>27.897310513447433</v>
      </c>
      <c r="D70" s="3">
        <v>26.25673249551167</v>
      </c>
      <c r="E70" s="3">
        <v>27.90219378427788</v>
      </c>
      <c r="F70" s="3">
        <v>28.402504057500579</v>
      </c>
      <c r="G70" s="3">
        <v>29.070929070929076</v>
      </c>
      <c r="H70" s="3">
        <v>27.34895191122072</v>
      </c>
      <c r="I70" s="3">
        <v>27.318718381112983</v>
      </c>
      <c r="J70" s="3">
        <v>24.683544303797468</v>
      </c>
      <c r="K70" s="3">
        <v>26.379870129870131</v>
      </c>
      <c r="L70" s="3">
        <f>+L64/L67*100</f>
        <v>26.434203595064648</v>
      </c>
      <c r="M70" s="3">
        <f t="shared" ref="M70:AA70" si="18">+M64/M67*100</f>
        <v>27.151507075216337</v>
      </c>
      <c r="N70" s="3">
        <f t="shared" si="18"/>
        <v>27.304219524321205</v>
      </c>
      <c r="O70" s="3">
        <f t="shared" si="18"/>
        <v>28.13055888801555</v>
      </c>
      <c r="P70" s="3">
        <f t="shared" si="18"/>
        <v>26.550306153308384</v>
      </c>
      <c r="Q70" s="3">
        <f t="shared" si="18"/>
        <v>26.555344680945886</v>
      </c>
      <c r="R70" s="3">
        <f t="shared" si="18"/>
        <v>28.483183431004882</v>
      </c>
      <c r="S70" s="3">
        <f t="shared" si="18"/>
        <v>25.966230851535794</v>
      </c>
      <c r="T70" s="3">
        <f t="shared" si="18"/>
        <v>29.96874015251781</v>
      </c>
      <c r="U70" s="3">
        <f t="shared" si="18"/>
        <v>35.387052880306364</v>
      </c>
      <c r="V70" s="3">
        <f t="shared" si="18"/>
        <v>23.096886885112536</v>
      </c>
      <c r="W70" s="3">
        <f t="shared" si="18"/>
        <v>22.076576455033592</v>
      </c>
      <c r="X70" s="3">
        <f t="shared" si="18"/>
        <v>19.842764433312723</v>
      </c>
      <c r="Y70" s="3">
        <f t="shared" si="18"/>
        <v>20.368179200177199</v>
      </c>
      <c r="Z70" s="3">
        <f t="shared" si="18"/>
        <v>19.68310492502787</v>
      </c>
      <c r="AA70" s="3">
        <f t="shared" si="18"/>
        <v>18.257524704544615</v>
      </c>
      <c r="AB70" s="3">
        <f>AB64/AB67*100</f>
        <v>16.969569931707671</v>
      </c>
      <c r="AC70" s="3">
        <f>AC64/AC67*100</f>
        <v>16.19623587173324</v>
      </c>
      <c r="AD70" s="3">
        <f>AD64/AD67*100</f>
        <v>17.648954582529296</v>
      </c>
    </row>
    <row r="71" spans="1:38" s="3" customFormat="1" x14ac:dyDescent="0.25"/>
    <row r="72" spans="1:38" s="3" customFormat="1" x14ac:dyDescent="0.25">
      <c r="A72" s="3" t="s">
        <v>26</v>
      </c>
      <c r="B72" s="3">
        <f t="shared" ref="B72:AD72" si="19">B13+B21+B32+B41+B51+B60</f>
        <v>173.75244474091417</v>
      </c>
      <c r="C72" s="3">
        <f t="shared" si="19"/>
        <v>185.59610838086681</v>
      </c>
      <c r="D72" s="3">
        <f t="shared" si="19"/>
        <v>202.20446428976589</v>
      </c>
      <c r="E72" s="3">
        <f t="shared" si="19"/>
        <v>198.57422256104476</v>
      </c>
      <c r="F72" s="3">
        <f t="shared" si="19"/>
        <v>195.71540719967692</v>
      </c>
      <c r="G72" s="3">
        <f t="shared" si="19"/>
        <v>181.69359852249164</v>
      </c>
      <c r="H72" s="3">
        <f t="shared" si="19"/>
        <v>184.0078776245513</v>
      </c>
      <c r="I72" s="3">
        <f t="shared" si="19"/>
        <v>195.18716769901667</v>
      </c>
      <c r="J72" s="3">
        <f t="shared" si="19"/>
        <v>222.64782242672584</v>
      </c>
      <c r="K72" s="3">
        <f t="shared" si="19"/>
        <v>227.89689048922045</v>
      </c>
      <c r="L72" s="3">
        <f t="shared" si="19"/>
        <v>233.11976516873816</v>
      </c>
      <c r="M72" s="3">
        <f t="shared" si="19"/>
        <v>240.53399999999999</v>
      </c>
      <c r="N72" s="3">
        <f t="shared" si="19"/>
        <v>249.71200000000002</v>
      </c>
      <c r="O72" s="3">
        <f t="shared" si="19"/>
        <v>241.92999999999998</v>
      </c>
      <c r="P72" s="3">
        <f t="shared" si="19"/>
        <v>254.61100000000002</v>
      </c>
      <c r="Q72" s="3">
        <f t="shared" si="19"/>
        <v>269.44900000000001</v>
      </c>
      <c r="R72" s="3">
        <f t="shared" si="19"/>
        <v>287.387</v>
      </c>
      <c r="S72" s="3">
        <f t="shared" si="19"/>
        <v>306.75200000000001</v>
      </c>
      <c r="T72" s="3">
        <f t="shared" si="19"/>
        <v>349.07400000000007</v>
      </c>
      <c r="U72" s="3">
        <f t="shared" si="19"/>
        <v>368.19</v>
      </c>
      <c r="V72" s="3">
        <f t="shared" si="19"/>
        <v>371.21</v>
      </c>
      <c r="W72" s="3">
        <f t="shared" si="19"/>
        <v>370.61</v>
      </c>
      <c r="X72" s="3">
        <f t="shared" si="19"/>
        <v>382.33100000000002</v>
      </c>
      <c r="Y72" s="3">
        <f t="shared" si="19"/>
        <v>369.851</v>
      </c>
      <c r="Z72" s="3">
        <f t="shared" si="19"/>
        <v>367.15199999999999</v>
      </c>
      <c r="AA72" s="3">
        <f t="shared" si="19"/>
        <v>370.916</v>
      </c>
      <c r="AB72" s="3">
        <f t="shared" si="19"/>
        <v>386.51599999999996</v>
      </c>
      <c r="AC72" s="3">
        <f t="shared" si="19"/>
        <v>391.06000000000006</v>
      </c>
      <c r="AD72" s="3">
        <f t="shared" si="19"/>
        <v>251.33500000000001</v>
      </c>
    </row>
    <row r="73" spans="1:38" s="3" customFormat="1" x14ac:dyDescent="0.25"/>
    <row r="74" spans="1:38" x14ac:dyDescent="0.25">
      <c r="A74" s="4" t="s">
        <v>44</v>
      </c>
    </row>
    <row r="75" spans="1:38" s="1" customFormat="1" x14ac:dyDescent="0.25">
      <c r="B75" s="1">
        <v>1990</v>
      </c>
      <c r="C75" s="1">
        <v>1991</v>
      </c>
      <c r="D75" s="1">
        <v>1992</v>
      </c>
      <c r="E75" s="1">
        <v>1993</v>
      </c>
      <c r="F75" s="1">
        <v>1994</v>
      </c>
      <c r="G75" s="1">
        <v>1995</v>
      </c>
      <c r="H75" s="1">
        <v>1996</v>
      </c>
      <c r="I75" s="1">
        <v>1997</v>
      </c>
      <c r="J75" s="1">
        <v>1998</v>
      </c>
      <c r="K75" s="1">
        <v>1999</v>
      </c>
      <c r="L75" s="1">
        <v>2000</v>
      </c>
      <c r="M75" s="1">
        <v>2001</v>
      </c>
      <c r="N75" s="1">
        <v>2002</v>
      </c>
      <c r="O75" s="1">
        <v>2003</v>
      </c>
      <c r="P75" s="1">
        <v>2004</v>
      </c>
      <c r="Q75" s="1">
        <v>2005</v>
      </c>
      <c r="R75" s="1">
        <v>2006</v>
      </c>
      <c r="S75" s="1">
        <v>2007</v>
      </c>
      <c r="T75" s="1">
        <v>2008</v>
      </c>
      <c r="U75" s="1">
        <v>2009</v>
      </c>
      <c r="V75" s="1">
        <v>2010</v>
      </c>
      <c r="W75" s="1">
        <v>2011</v>
      </c>
      <c r="X75" s="1">
        <v>2012</v>
      </c>
      <c r="Y75" s="1">
        <v>2013</v>
      </c>
      <c r="Z75" s="1">
        <v>2014</v>
      </c>
      <c r="AA75" s="1">
        <v>2015</v>
      </c>
      <c r="AB75" s="1">
        <v>2016</v>
      </c>
      <c r="AC75" s="1">
        <v>2017</v>
      </c>
      <c r="AD75" s="1">
        <v>2018</v>
      </c>
      <c r="AE75" s="2"/>
      <c r="AF75" s="2"/>
      <c r="AG75" s="2"/>
      <c r="AH75" s="2"/>
      <c r="AI75" s="2"/>
      <c r="AJ75" s="2"/>
      <c r="AK75" s="2"/>
      <c r="AL75" s="2"/>
    </row>
    <row r="76" spans="1:38" s="3" customFormat="1" x14ac:dyDescent="0.25">
      <c r="A76" s="3" t="s">
        <v>22</v>
      </c>
      <c r="B76" s="3">
        <f t="shared" ref="B76:S76" si="20">B16+B17+B24+B25+B35+B36+B54</f>
        <v>24.458753647258483</v>
      </c>
      <c r="C76" s="3">
        <f t="shared" si="20"/>
        <v>25.230180014611722</v>
      </c>
      <c r="D76" s="3">
        <f t="shared" si="20"/>
        <v>25.729338252310875</v>
      </c>
      <c r="E76" s="3">
        <f t="shared" si="20"/>
        <v>27.816727246325513</v>
      </c>
      <c r="F76" s="3">
        <f t="shared" si="20"/>
        <v>27.816727246325513</v>
      </c>
      <c r="G76" s="3">
        <f t="shared" si="20"/>
        <v>26.001606381964955</v>
      </c>
      <c r="H76" s="3">
        <f t="shared" si="20"/>
        <v>24.912533863348621</v>
      </c>
      <c r="I76" s="3">
        <f t="shared" si="20"/>
        <v>24.413375625649472</v>
      </c>
      <c r="J76" s="3">
        <f t="shared" si="20"/>
        <v>26.863788792536226</v>
      </c>
      <c r="K76" s="3">
        <f t="shared" si="20"/>
        <v>30.494030521257336</v>
      </c>
      <c r="L76" s="3">
        <f t="shared" si="20"/>
        <v>31.900749191136764</v>
      </c>
      <c r="M76" s="3">
        <f t="shared" si="20"/>
        <v>34.299999999999997</v>
      </c>
      <c r="N76" s="3">
        <f t="shared" si="20"/>
        <v>34.299999999999997</v>
      </c>
      <c r="O76" s="3">
        <f t="shared" si="20"/>
        <v>34</v>
      </c>
      <c r="P76" s="3">
        <f t="shared" si="20"/>
        <v>35.9</v>
      </c>
      <c r="Q76" s="3">
        <f t="shared" si="20"/>
        <v>37.1</v>
      </c>
      <c r="R76" s="3">
        <f t="shared" si="20"/>
        <v>37.199999999999996</v>
      </c>
      <c r="S76" s="3">
        <f t="shared" si="20"/>
        <v>37.5</v>
      </c>
      <c r="T76" s="3">
        <f t="shared" ref="T76:AD76" si="21">T16+T17+ T54+T44+T45</f>
        <v>59.713080000000005</v>
      </c>
      <c r="U76" s="3">
        <f t="shared" si="21"/>
        <v>85.557590000000005</v>
      </c>
      <c r="V76" s="3">
        <f t="shared" si="21"/>
        <v>43.054000000000002</v>
      </c>
      <c r="W76" s="3">
        <f t="shared" si="21"/>
        <v>43.031000000000006</v>
      </c>
      <c r="X76" s="3">
        <f t="shared" si="21"/>
        <v>41.168000000000006</v>
      </c>
      <c r="Y76" s="3">
        <f t="shared" si="21"/>
        <v>41.636000000000003</v>
      </c>
      <c r="Z76" s="3">
        <f t="shared" si="21"/>
        <v>40.585999999999999</v>
      </c>
      <c r="AA76" s="3">
        <f t="shared" si="21"/>
        <v>38.014000000000003</v>
      </c>
      <c r="AB76" s="3">
        <f t="shared" si="21"/>
        <v>37.003999999999998</v>
      </c>
      <c r="AC76" s="3">
        <f t="shared" si="21"/>
        <v>35</v>
      </c>
      <c r="AD76" s="3">
        <f t="shared" si="21"/>
        <v>44.358000000000004</v>
      </c>
      <c r="AE76" s="2"/>
      <c r="AF76" s="2"/>
      <c r="AG76" s="2"/>
      <c r="AH76" s="2"/>
      <c r="AI76" s="2"/>
      <c r="AJ76" s="2"/>
      <c r="AK76" s="2"/>
      <c r="AL76" s="2"/>
    </row>
    <row r="77" spans="1:38" s="3" customFormat="1" x14ac:dyDescent="0.25">
      <c r="A77" s="3" t="s">
        <v>23</v>
      </c>
      <c r="B77" s="3">
        <f t="shared" ref="B77:S77" si="22">B18+B19+B27+B28+B29+B30+B37+B38+B39+B40+B55+B57+B58+B59</f>
        <v>88.124117964704965</v>
      </c>
      <c r="C77" s="3">
        <f t="shared" si="22"/>
        <v>94.703931098011992</v>
      </c>
      <c r="D77" s="3">
        <f t="shared" si="22"/>
        <v>106.72910682440067</v>
      </c>
      <c r="E77" s="3">
        <f t="shared" si="22"/>
        <v>102.28206070671732</v>
      </c>
      <c r="F77" s="3">
        <f t="shared" si="22"/>
        <v>101.9644145554542</v>
      </c>
      <c r="G77" s="3">
        <f t="shared" si="22"/>
        <v>94.749309119621017</v>
      </c>
      <c r="H77" s="3">
        <f t="shared" si="22"/>
        <v>98.243416783515073</v>
      </c>
      <c r="I77" s="3">
        <f t="shared" si="22"/>
        <v>98.198038761906034</v>
      </c>
      <c r="J77" s="3">
        <f t="shared" si="22"/>
        <v>109.04338592646039</v>
      </c>
      <c r="K77" s="3">
        <f t="shared" si="22"/>
        <v>112.08371337426431</v>
      </c>
      <c r="L77" s="3">
        <f t="shared" si="22"/>
        <v>111.72068920139218</v>
      </c>
      <c r="M77" s="3">
        <f t="shared" si="22"/>
        <v>113.39999999999998</v>
      </c>
      <c r="N77" s="3">
        <f t="shared" si="22"/>
        <v>114.49999999999999</v>
      </c>
      <c r="O77" s="3">
        <f t="shared" si="22"/>
        <v>110.6</v>
      </c>
      <c r="P77" s="3">
        <f t="shared" si="22"/>
        <v>115.60000000000001</v>
      </c>
      <c r="Q77" s="3">
        <f t="shared" si="22"/>
        <v>124.10000000000004</v>
      </c>
      <c r="R77" s="3">
        <f t="shared" si="22"/>
        <v>126.49999999999999</v>
      </c>
      <c r="S77" s="3">
        <f t="shared" si="22"/>
        <v>133.99999999999997</v>
      </c>
      <c r="T77" s="3">
        <f>T18+T19+T55+T57+T58+T59+T46+T48+T49+T50</f>
        <v>157.35492000000002</v>
      </c>
      <c r="U77" s="3">
        <f>U18+U19+U55+U57+U58+U59+U46+U48+U49+U50</f>
        <v>141.95141000000001</v>
      </c>
      <c r="V77" s="3">
        <f t="shared" ref="V77:AD77" si="23">V18+V19+V55+V57+V58+V59+V47+V48+V49+V50</f>
        <v>190.95220000000003</v>
      </c>
      <c r="W77" s="3">
        <f t="shared" si="23"/>
        <v>189.33499999999998</v>
      </c>
      <c r="X77" s="3">
        <f t="shared" si="23"/>
        <v>195.86679999999998</v>
      </c>
      <c r="Y77" s="3">
        <f t="shared" si="23"/>
        <v>186.46242000000001</v>
      </c>
      <c r="Z77" s="3">
        <f t="shared" si="23"/>
        <v>186.84943999999999</v>
      </c>
      <c r="AA77" s="3">
        <f t="shared" si="23"/>
        <v>195.03256000000002</v>
      </c>
      <c r="AB77" s="3">
        <f t="shared" si="23"/>
        <v>196.792</v>
      </c>
      <c r="AC77" s="3">
        <f t="shared" si="23"/>
        <v>197</v>
      </c>
      <c r="AD77" s="3">
        <f t="shared" si="23"/>
        <v>206.97699999999998</v>
      </c>
      <c r="AE77" s="2"/>
      <c r="AF77" s="2"/>
      <c r="AG77" s="2"/>
      <c r="AH77" s="2"/>
      <c r="AI77" s="2"/>
      <c r="AJ77" s="2"/>
      <c r="AK77" s="2"/>
      <c r="AL77" s="2"/>
    </row>
    <row r="78" spans="1:38" s="3" customFormat="1" x14ac:dyDescent="0.25">
      <c r="A78" s="3" t="s">
        <v>13</v>
      </c>
      <c r="B78" s="3">
        <f t="shared" ref="B78:S78" si="24">+B20+B31</f>
        <v>0.27226812965408331</v>
      </c>
      <c r="C78" s="3">
        <f t="shared" si="24"/>
        <v>0.3176461512630972</v>
      </c>
      <c r="D78" s="3">
        <f t="shared" si="24"/>
        <v>0.58991428091718057</v>
      </c>
      <c r="E78" s="3">
        <f t="shared" si="24"/>
        <v>0.58991428091718057</v>
      </c>
      <c r="F78" s="3">
        <f t="shared" si="24"/>
        <v>0.90756043218027782</v>
      </c>
      <c r="G78" s="3">
        <f t="shared" si="24"/>
        <v>0.77142636735323611</v>
      </c>
      <c r="H78" s="3">
        <f t="shared" si="24"/>
        <v>0.68067032413520834</v>
      </c>
      <c r="I78" s="3">
        <f t="shared" si="24"/>
        <v>1.0890725186163333</v>
      </c>
      <c r="J78" s="3">
        <f t="shared" si="24"/>
        <v>1.1798285618343611</v>
      </c>
      <c r="K78" s="3">
        <f t="shared" si="24"/>
        <v>0.58991428091718068</v>
      </c>
      <c r="L78" s="3">
        <f t="shared" si="24"/>
        <v>1.3613406482704167</v>
      </c>
      <c r="M78" s="3">
        <f t="shared" si="24"/>
        <v>-2.1999999999999997</v>
      </c>
      <c r="N78" s="3">
        <f t="shared" si="24"/>
        <v>-0.8</v>
      </c>
      <c r="O78" s="3">
        <f t="shared" si="24"/>
        <v>0.6</v>
      </c>
      <c r="P78" s="3">
        <f t="shared" si="24"/>
        <v>0.8</v>
      </c>
      <c r="Q78" s="3">
        <f t="shared" si="24"/>
        <v>1.2</v>
      </c>
      <c r="R78" s="3">
        <f t="shared" si="24"/>
        <v>1.6</v>
      </c>
      <c r="S78" s="3">
        <f t="shared" si="24"/>
        <v>3.1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3">
        <v>0</v>
      </c>
      <c r="AE78" s="2"/>
      <c r="AF78" s="2"/>
      <c r="AG78" s="2"/>
      <c r="AH78" s="2"/>
      <c r="AI78" s="2"/>
      <c r="AJ78" s="2"/>
      <c r="AK78" s="2"/>
      <c r="AL78" s="2"/>
    </row>
    <row r="79" spans="1:38" s="4" customFormat="1" x14ac:dyDescent="0.25">
      <c r="A79" s="4" t="s">
        <v>5</v>
      </c>
      <c r="B79" s="4">
        <f>SUM(B76:B78)</f>
        <v>112.85513974161752</v>
      </c>
      <c r="C79" s="4">
        <f t="shared" ref="C79:AD79" si="25">SUM(C76:C78)</f>
        <v>120.2517572638868</v>
      </c>
      <c r="D79" s="4">
        <f t="shared" si="25"/>
        <v>133.04835935762873</v>
      </c>
      <c r="E79" s="4">
        <f t="shared" si="25"/>
        <v>130.68870223396002</v>
      </c>
      <c r="F79" s="4">
        <f t="shared" si="25"/>
        <v>130.68870223395999</v>
      </c>
      <c r="G79" s="4">
        <f t="shared" si="25"/>
        <v>121.52234186893922</v>
      </c>
      <c r="H79" s="4">
        <f t="shared" si="25"/>
        <v>123.83662097099889</v>
      </c>
      <c r="I79" s="4">
        <f t="shared" si="25"/>
        <v>123.70048690617183</v>
      </c>
      <c r="J79" s="4">
        <f t="shared" si="25"/>
        <v>137.08700328083097</v>
      </c>
      <c r="K79" s="4">
        <f t="shared" si="25"/>
        <v>143.16765817643883</v>
      </c>
      <c r="L79" s="4">
        <f t="shared" si="25"/>
        <v>144.98277904079936</v>
      </c>
      <c r="M79" s="4">
        <f t="shared" si="25"/>
        <v>145.5</v>
      </c>
      <c r="N79" s="4">
        <f t="shared" si="25"/>
        <v>147.99999999999997</v>
      </c>
      <c r="O79" s="4">
        <f t="shared" si="25"/>
        <v>145.19999999999999</v>
      </c>
      <c r="P79" s="4">
        <f t="shared" si="25"/>
        <v>152.30000000000001</v>
      </c>
      <c r="Q79" s="4">
        <f t="shared" si="25"/>
        <v>162.40000000000003</v>
      </c>
      <c r="R79" s="4">
        <f t="shared" si="25"/>
        <v>165.29999999999998</v>
      </c>
      <c r="S79" s="4">
        <f t="shared" si="25"/>
        <v>174.59999999999997</v>
      </c>
      <c r="T79" s="4">
        <f t="shared" si="25"/>
        <v>217.06800000000004</v>
      </c>
      <c r="U79" s="4">
        <f t="shared" si="25"/>
        <v>227.50900000000001</v>
      </c>
      <c r="V79" s="4">
        <f t="shared" si="25"/>
        <v>234.00620000000004</v>
      </c>
      <c r="W79" s="4">
        <f t="shared" si="25"/>
        <v>232.36599999999999</v>
      </c>
      <c r="X79" s="4">
        <f t="shared" si="25"/>
        <v>237.03479999999999</v>
      </c>
      <c r="Y79" s="4">
        <f t="shared" si="25"/>
        <v>228.09842</v>
      </c>
      <c r="Z79" s="4">
        <f t="shared" si="25"/>
        <v>227.43543999999997</v>
      </c>
      <c r="AA79" s="4">
        <f t="shared" si="25"/>
        <v>233.04656000000003</v>
      </c>
      <c r="AB79" s="4">
        <f t="shared" si="25"/>
        <v>233.79599999999999</v>
      </c>
      <c r="AC79" s="4">
        <f t="shared" si="25"/>
        <v>232</v>
      </c>
      <c r="AD79" s="4">
        <f t="shared" si="25"/>
        <v>251.33499999999998</v>
      </c>
      <c r="AE79" s="2"/>
      <c r="AF79" s="2"/>
      <c r="AG79" s="2"/>
      <c r="AH79" s="2"/>
      <c r="AI79" s="2"/>
      <c r="AJ79" s="2"/>
      <c r="AK79" s="2"/>
      <c r="AL79" s="2"/>
    </row>
    <row r="80" spans="1:38" x14ac:dyDescent="0.25">
      <c r="L80" s="2" t="s">
        <v>28</v>
      </c>
    </row>
    <row r="81" spans="1:29" x14ac:dyDescent="0.25">
      <c r="A81" s="2" t="s">
        <v>24</v>
      </c>
    </row>
    <row r="82" spans="1:29" x14ac:dyDescent="0.25">
      <c r="A82" s="2" t="s">
        <v>30</v>
      </c>
      <c r="AC82" s="3"/>
    </row>
    <row r="83" spans="1:29" x14ac:dyDescent="0.25">
      <c r="A83" s="2" t="s">
        <v>36</v>
      </c>
    </row>
    <row r="84" spans="1:29" x14ac:dyDescent="0.25">
      <c r="A84" s="2" t="s">
        <v>25</v>
      </c>
    </row>
    <row r="85" spans="1:29" x14ac:dyDescent="0.25">
      <c r="A85" s="2" t="s">
        <v>32</v>
      </c>
    </row>
    <row r="86" spans="1:29" x14ac:dyDescent="0.25">
      <c r="A86" s="2" t="s">
        <v>43</v>
      </c>
    </row>
    <row r="87" spans="1:29" x14ac:dyDescent="0.25">
      <c r="A87" s="2" t="s">
        <v>31</v>
      </c>
    </row>
    <row r="88" spans="1:29" x14ac:dyDescent="0.25">
      <c r="A88" s="2" t="s">
        <v>45</v>
      </c>
    </row>
    <row r="90" spans="1:29" x14ac:dyDescent="0.25">
      <c r="A90" s="2" t="s">
        <v>27</v>
      </c>
      <c r="V90" s="3"/>
      <c r="W90" s="3"/>
      <c r="X90" s="3"/>
      <c r="Y90" s="3"/>
      <c r="Z90" s="3"/>
      <c r="AA90" s="3"/>
      <c r="AC90" s="3"/>
    </row>
    <row r="92" spans="1:29" x14ac:dyDescent="0.25">
      <c r="V92" s="3"/>
    </row>
  </sheetData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van Steen</dc:creator>
  <cp:lastModifiedBy>Lionne Koens</cp:lastModifiedBy>
  <dcterms:created xsi:type="dcterms:W3CDTF">2012-08-28T13:19:16Z</dcterms:created>
  <dcterms:modified xsi:type="dcterms:W3CDTF">2019-10-10T13:00:33Z</dcterms:modified>
</cp:coreProperties>
</file>