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15" windowWidth="15480" windowHeight="10920" activeTab="2"/>
  </bookViews>
  <sheets>
    <sheet name="inhoud" sheetId="22" r:id="rId1"/>
    <sheet name="Inkomsten naar bron (%)" sheetId="24" r:id="rId2"/>
    <sheet name="inkomsten-vanaf 2001" sheetId="18" r:id="rId3"/>
    <sheet name="Uitgaven naar bestemming (%)" sheetId="25" r:id="rId4"/>
    <sheet name="uitgaven vanaf 2001" sheetId="21" r:id="rId5"/>
  </sheets>
  <calcPr calcId="162913"/>
</workbook>
</file>

<file path=xl/calcChain.xml><?xml version="1.0" encoding="utf-8"?>
<calcChain xmlns="http://schemas.openxmlformats.org/spreadsheetml/2006/main">
  <c r="B10" i="24" l="1"/>
  <c r="B8" i="24"/>
  <c r="B4" i="24" s="1"/>
  <c r="V10" i="18"/>
  <c r="V8" i="18"/>
  <c r="B13" i="24" l="1"/>
  <c r="V4" i="18"/>
  <c r="V18" i="18" s="1"/>
  <c r="V16" i="18" l="1"/>
  <c r="V13" i="18"/>
  <c r="V17" i="18" s="1"/>
  <c r="U18" i="18"/>
  <c r="U17" i="18"/>
  <c r="U16" i="18"/>
  <c r="U10" i="18"/>
  <c r="U4" i="18" s="1"/>
  <c r="U8" i="18"/>
  <c r="U13" i="18" l="1"/>
  <c r="C9" i="25" l="1"/>
  <c r="C8" i="25"/>
  <c r="T18" i="18"/>
  <c r="T17" i="18"/>
  <c r="T16" i="18"/>
  <c r="T4" i="18"/>
  <c r="T8" i="18"/>
  <c r="T13" i="18"/>
  <c r="C12" i="25" l="1"/>
  <c r="C11" i="25"/>
  <c r="C10" i="25"/>
  <c r="C7" i="25"/>
  <c r="C6" i="25"/>
  <c r="C5" i="25"/>
  <c r="C4" i="25"/>
  <c r="C13" i="24"/>
  <c r="C11" i="24"/>
  <c r="S13" i="18"/>
  <c r="S8" i="18"/>
  <c r="S4" i="18" s="1"/>
  <c r="C4" i="24" l="1"/>
  <c r="C5" i="24"/>
  <c r="C6" i="24"/>
  <c r="C7" i="24"/>
  <c r="C8" i="24"/>
  <c r="C9" i="24"/>
  <c r="C10" i="24"/>
  <c r="S18" i="18"/>
  <c r="S17" i="18"/>
  <c r="S16" i="18"/>
  <c r="Q8" i="18"/>
  <c r="Q13" i="18"/>
  <c r="R13" i="18"/>
  <c r="R17" i="18" s="1"/>
  <c r="P13" i="18"/>
  <c r="R8" i="18"/>
  <c r="R4" i="18" s="1"/>
  <c r="R16" i="18" s="1"/>
  <c r="R18" i="18" l="1"/>
  <c r="Q18" i="18" l="1"/>
  <c r="Q16" i="18"/>
  <c r="Q17" i="18"/>
  <c r="B4" i="21"/>
  <c r="D4" i="21"/>
  <c r="E4" i="21"/>
  <c r="F4" i="21"/>
  <c r="G4" i="21"/>
  <c r="H4" i="21"/>
  <c r="I4" i="21"/>
  <c r="C4" i="21"/>
  <c r="K4" i="21"/>
  <c r="J4" i="21"/>
  <c r="P10" i="18"/>
  <c r="P8" i="18"/>
  <c r="P4" i="18"/>
  <c r="P17" i="18"/>
  <c r="P16" i="18"/>
  <c r="P18" i="18"/>
  <c r="O10" i="18"/>
  <c r="O8" i="18"/>
  <c r="O4" i="18"/>
  <c r="O16" i="18"/>
  <c r="O18" i="18"/>
  <c r="O13" i="18"/>
  <c r="O17" i="18"/>
  <c r="N4" i="18"/>
  <c r="N16" i="18"/>
  <c r="N13" i="18"/>
  <c r="N18" i="18"/>
  <c r="N17" i="18"/>
  <c r="M4" i="18"/>
  <c r="M16" i="18"/>
  <c r="C13" i="18"/>
  <c r="D13" i="18"/>
  <c r="E13" i="18"/>
  <c r="F13" i="18"/>
  <c r="G13" i="18"/>
  <c r="H13" i="18"/>
  <c r="I13" i="18"/>
  <c r="J13" i="18"/>
  <c r="K13" i="18"/>
  <c r="L13" i="18"/>
  <c r="M13" i="18"/>
  <c r="B13" i="18"/>
  <c r="M17" i="18"/>
  <c r="M18" i="18"/>
  <c r="L8" i="21"/>
  <c r="L4" i="21"/>
  <c r="L4" i="18"/>
  <c r="L16" i="18"/>
  <c r="L17" i="18"/>
  <c r="L18" i="18"/>
  <c r="C4" i="18"/>
  <c r="C17" i="18"/>
  <c r="D4" i="18"/>
  <c r="D16" i="18"/>
  <c r="E4" i="18"/>
  <c r="E17" i="18"/>
  <c r="F4" i="18"/>
  <c r="F16" i="18"/>
  <c r="G4" i="18"/>
  <c r="G17" i="18"/>
  <c r="H4" i="18"/>
  <c r="H16" i="18"/>
  <c r="I4" i="18"/>
  <c r="I17" i="18"/>
  <c r="J4" i="18"/>
  <c r="J16" i="18"/>
  <c r="K4" i="18"/>
  <c r="K17" i="18"/>
  <c r="B4" i="18"/>
  <c r="B18" i="18"/>
  <c r="B17" i="18"/>
  <c r="K18" i="18"/>
  <c r="I18" i="18"/>
  <c r="G18" i="18"/>
  <c r="E18" i="18"/>
  <c r="C18" i="18"/>
  <c r="J17" i="18"/>
  <c r="H17" i="18"/>
  <c r="F17" i="18"/>
  <c r="D17" i="18"/>
  <c r="K16" i="18"/>
  <c r="I16" i="18"/>
  <c r="G16" i="18"/>
  <c r="E16" i="18"/>
  <c r="C16" i="18"/>
  <c r="B16" i="18"/>
  <c r="J18" i="18"/>
  <c r="H18" i="18"/>
  <c r="F18" i="18"/>
  <c r="D18" i="18"/>
</calcChain>
</file>

<file path=xl/comments1.xml><?xml version="1.0" encoding="utf-8"?>
<comments xmlns="http://schemas.openxmlformats.org/spreadsheetml/2006/main">
  <authors>
    <author>Jan van Steen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</rPr>
          <t>Jan van Steen:</t>
        </r>
        <r>
          <rPr>
            <sz val="9"/>
            <color indexed="81"/>
            <rFont val="Tahoma"/>
            <family val="2"/>
          </rPr>
          <t xml:space="preserve">
Bijgesteld cijfer</t>
        </r>
      </text>
    </comment>
  </commentList>
</comments>
</file>

<file path=xl/sharedStrings.xml><?xml version="1.0" encoding="utf-8"?>
<sst xmlns="http://schemas.openxmlformats.org/spreadsheetml/2006/main" count="91" uniqueCount="55">
  <si>
    <t>- Rijksbijdrage OCW</t>
  </si>
  <si>
    <t>- Specifieke subsidies OCW</t>
  </si>
  <si>
    <t>- Inkomsten van bedrijven</t>
  </si>
  <si>
    <t>- Subsidies en bijdragen van overige derden</t>
  </si>
  <si>
    <t>- Overige baten</t>
  </si>
  <si>
    <t>Bestemming</t>
  </si>
  <si>
    <t>Totale uitgaven</t>
  </si>
  <si>
    <t>- Universiteiten</t>
  </si>
  <si>
    <t>- NWO-instituten</t>
  </si>
  <si>
    <t>Totaal</t>
  </si>
  <si>
    <t>Toelichting</t>
  </si>
  <si>
    <t xml:space="preserve">Bron </t>
  </si>
  <si>
    <t>Bronnen</t>
  </si>
  <si>
    <t>in procenten van het totaal</t>
  </si>
  <si>
    <t>Aandeel OCW totaal</t>
  </si>
  <si>
    <t xml:space="preserve">Inhoud </t>
  </si>
  <si>
    <t>- Subsidies en bijdragen van overige ministeries</t>
  </si>
  <si>
    <t>Totaal subsidies en bijdragen derden*</t>
  </si>
  <si>
    <t>De gegevens over het jaar voorafgaand aan het verslagjaar worden vaak licht bijgesteld in het verslagjaar.</t>
  </si>
  <si>
    <t>Inkomsten naar financieringsbron, vanaf 2001 (M€)</t>
  </si>
  <si>
    <t xml:space="preserve">- Subsidie EZ </t>
  </si>
  <si>
    <t>Financiële jaarverslagen NWO vanaf 2001</t>
  </si>
  <si>
    <t xml:space="preserve">NWO Jaarverslagen en financiële jaarrekeningen (onderdeel van het jaarverslag) </t>
  </si>
  <si>
    <t>Bijgewerkt</t>
  </si>
  <si>
    <t>* Totaal subsidies en bijdragen derden is exclusief de middelen van OCW en overige baten</t>
  </si>
  <si>
    <t>% bijdragen derden</t>
  </si>
  <si>
    <t>Overige baten</t>
  </si>
  <si>
    <t>De gegevens over het jaar dat voorafgaat aan het verslagjaar worden vaak licht bijgesteld in het verslagjaar.</t>
  </si>
  <si>
    <t>Kengetallen NWO: Ontwikkeling uitgaven naar bestemming (M€)</t>
  </si>
  <si>
    <t>Kengetallen NWO: Ontwikkeling inkomsten naar financieringsbron, vanaf 2001 (in miljoenen euro en in procenten van het totaal)</t>
  </si>
  <si>
    <t>2012*</t>
  </si>
  <si>
    <t>- Hogescholen</t>
  </si>
  <si>
    <r>
      <t>Sinds 2015 ligt de uitvoering van de SIA -Raak regeling bij NWO, waardoor ook de hogescholen aan de bestemmingscategorie</t>
    </r>
    <r>
      <rPr>
        <sz val="11"/>
        <rFont val="Calibri"/>
        <family val="2"/>
      </rPr>
      <t>ë</t>
    </r>
    <r>
      <rPr>
        <sz val="11"/>
        <rFont val="Calibri"/>
        <family val="2"/>
        <scheme val="minor"/>
      </rPr>
      <t>n zijn toegevoegd.</t>
    </r>
  </si>
  <si>
    <t>- Overige onderzoeksinstellingen</t>
  </si>
  <si>
    <t>- Exploitatie instituten / STW</t>
  </si>
  <si>
    <t xml:space="preserve">* Vanaf 2012 zijn de gegevens anders gecategoriseerd, waardoor de gegevens over de verdeling naar bestemming vanaf 2012 niet meer vergelijkbaar is met voorgaande jaren. De exploitatie van STW / instellingen is vanaf 2012 als een aparte categorie opgenomen. </t>
  </si>
  <si>
    <t>- Apparaatskosten NWO</t>
  </si>
  <si>
    <t>Af: cashbijdragen derden</t>
  </si>
  <si>
    <t>Inkomsten naar financieringsbron, laatst beschikbare jaar, in M€ en in procenten van het totaal</t>
  </si>
  <si>
    <t>Uitgaven naar bestemming, laatst beschikbare jaar in M€ en in procenten van het totaal</t>
  </si>
  <si>
    <t>Meest recente financiële jaarverslag NWO</t>
  </si>
  <si>
    <t xml:space="preserve">Uitgaven naar bestemming, vanaf 2001, in M€ </t>
  </si>
  <si>
    <t>Kengetallen NWO: Inkomsten naar financieringsbron (in miljoenen euro en in procenten van het totaal)</t>
  </si>
  <si>
    <t>Kengetallen NWO: Uitgaven naar bestemming (M€)</t>
  </si>
  <si>
    <t>Meest recente financiële jaarverslag NWO en contact met NWO</t>
  </si>
  <si>
    <t>Financiële jaarverslagen NWO vanaf 2001 en contact met NWO</t>
  </si>
  <si>
    <t>- OCW**</t>
  </si>
  <si>
    <t>** Gewijzigde zienswijze van OCW m.b.t. vordering OCW</t>
  </si>
  <si>
    <t>- KNAW-instituten</t>
  </si>
  <si>
    <t>-TO2</t>
  </si>
  <si>
    <t>- NWO-instituten / STW</t>
  </si>
  <si>
    <t>Nieuwe indeling vanaf 2019:</t>
  </si>
  <si>
    <t>7 oktober 2022: cijfers 2021 toegevoegd</t>
  </si>
  <si>
    <t>Gegevens van NWO</t>
  </si>
  <si>
    <t>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</si>
</sst>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1">
    <font>
      <sz val="10"/>
      <name val="Arial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quotePrefix="1" applyFont="1" applyFill="1" applyBorder="1" applyAlignment="1">
      <alignment wrapText="1"/>
    </xf>
    <xf numFmtId="0" fontId="3" fillId="0" borderId="3" xfId="0" applyFont="1" applyFill="1" applyBorder="1"/>
    <xf numFmtId="164" fontId="3" fillId="0" borderId="3" xfId="0" applyNumberFormat="1" applyFont="1" applyFill="1" applyBorder="1"/>
    <xf numFmtId="0" fontId="2" fillId="2" borderId="3" xfId="0" applyFont="1" applyFill="1" applyBorder="1" applyAlignment="1">
      <alignment wrapText="1"/>
    </xf>
    <xf numFmtId="164" fontId="2" fillId="0" borderId="3" xfId="0" applyNumberFormat="1" applyFont="1" applyBorder="1"/>
    <xf numFmtId="164" fontId="2" fillId="0" borderId="3" xfId="0" quotePrefix="1" applyNumberFormat="1" applyFont="1" applyBorder="1"/>
    <xf numFmtId="0" fontId="2" fillId="2" borderId="3" xfId="0" quotePrefix="1" applyFont="1" applyFill="1" applyBorder="1" applyAlignment="1">
      <alignment wrapText="1"/>
    </xf>
    <xf numFmtId="0" fontId="2" fillId="0" borderId="3" xfId="0" quotePrefix="1" applyFont="1" applyBorder="1"/>
    <xf numFmtId="0" fontId="2" fillId="0" borderId="3" xfId="0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/>
    <xf numFmtId="0" fontId="3" fillId="0" borderId="1" xfId="0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3" fillId="0" borderId="3" xfId="0" applyFont="1" applyBorder="1"/>
    <xf numFmtId="164" fontId="3" fillId="0" borderId="4" xfId="0" applyNumberFormat="1" applyFont="1" applyFill="1" applyBorder="1"/>
    <xf numFmtId="164" fontId="2" fillId="2" borderId="2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/>
    <xf numFmtId="15" fontId="2" fillId="0" borderId="0" xfId="0" quotePrefix="1" applyNumberFormat="1" applyFont="1"/>
    <xf numFmtId="0" fontId="4" fillId="2" borderId="0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0" xfId="0" quotePrefix="1" applyFont="1"/>
    <xf numFmtId="164" fontId="2" fillId="0" borderId="0" xfId="0" applyNumberFormat="1" applyFont="1"/>
    <xf numFmtId="0" fontId="5" fillId="0" borderId="0" xfId="0" applyFont="1"/>
    <xf numFmtId="164" fontId="5" fillId="2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164" fontId="2" fillId="2" borderId="7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164" fontId="2" fillId="0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2" fillId="0" borderId="6" xfId="0" quotePrefix="1" applyFont="1" applyFill="1" applyBorder="1" applyAlignment="1">
      <alignment wrapText="1"/>
    </xf>
    <xf numFmtId="0" fontId="5" fillId="0" borderId="6" xfId="0" quotePrefix="1" applyFont="1" applyFill="1" applyBorder="1" applyAlignment="1">
      <alignment wrapText="1"/>
    </xf>
    <xf numFmtId="164" fontId="5" fillId="2" borderId="7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164" fontId="2" fillId="3" borderId="7" xfId="0" applyNumberFormat="1" applyFont="1" applyFill="1" applyBorder="1" applyAlignment="1">
      <alignment horizontal="right" wrapText="1"/>
    </xf>
    <xf numFmtId="164" fontId="5" fillId="3" borderId="7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9" fontId="10" fillId="0" borderId="3" xfId="1" applyFont="1" applyFill="1" applyBorder="1"/>
    <xf numFmtId="9" fontId="5" fillId="0" borderId="3" xfId="1" applyFont="1" applyFill="1" applyBorder="1"/>
    <xf numFmtId="0" fontId="10" fillId="0" borderId="1" xfId="0" applyFont="1" applyBorder="1" applyAlignment="1">
      <alignment horizontal="right"/>
    </xf>
    <xf numFmtId="9" fontId="10" fillId="0" borderId="1" xfId="1" applyFont="1" applyFill="1" applyBorder="1"/>
    <xf numFmtId="166" fontId="5" fillId="0" borderId="1" xfId="1" applyNumberFormat="1" applyFont="1" applyFill="1" applyBorder="1"/>
    <xf numFmtId="0" fontId="3" fillId="0" borderId="4" xfId="0" applyFont="1" applyBorder="1"/>
    <xf numFmtId="0" fontId="2" fillId="0" borderId="4" xfId="0" applyFont="1" applyBorder="1"/>
    <xf numFmtId="0" fontId="3" fillId="0" borderId="8" xfId="0" applyFont="1" applyBorder="1"/>
    <xf numFmtId="0" fontId="2" fillId="0" borderId="8" xfId="0" applyFont="1" applyBorder="1"/>
    <xf numFmtId="164" fontId="3" fillId="0" borderId="8" xfId="0" applyNumberFormat="1" applyFont="1" applyBorder="1"/>
    <xf numFmtId="164" fontId="2" fillId="0" borderId="8" xfId="0" applyNumberFormat="1" applyFont="1" applyBorder="1"/>
    <xf numFmtId="164" fontId="2" fillId="0" borderId="8" xfId="0" applyNumberFormat="1" applyFont="1" applyBorder="1" applyAlignment="1">
      <alignment vertical="center"/>
    </xf>
    <xf numFmtId="0" fontId="2" fillId="0" borderId="9" xfId="0" quotePrefix="1" applyFont="1" applyFill="1" applyBorder="1" applyAlignment="1">
      <alignment wrapText="1"/>
    </xf>
    <xf numFmtId="0" fontId="3" fillId="0" borderId="0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3" fontId="2" fillId="0" borderId="10" xfId="0" applyNumberFormat="1" applyFont="1" applyBorder="1"/>
    <xf numFmtId="0" fontId="0" fillId="0" borderId="0" xfId="0" applyFill="1"/>
    <xf numFmtId="0" fontId="8" fillId="0" borderId="0" xfId="0" applyFont="1" applyFill="1"/>
    <xf numFmtId="164" fontId="8" fillId="0" borderId="0" xfId="0" applyNumberFormat="1" applyFont="1" applyFill="1"/>
    <xf numFmtId="0" fontId="3" fillId="0" borderId="2" xfId="0" applyFont="1" applyBorder="1"/>
    <xf numFmtId="164" fontId="3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/>
    <xf numFmtId="164" fontId="2" fillId="0" borderId="10" xfId="0" applyNumberFormat="1" applyFont="1" applyFill="1" applyBorder="1"/>
    <xf numFmtId="164" fontId="2" fillId="0" borderId="10" xfId="0" applyNumberFormat="1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2"/>
  <sheetViews>
    <sheetView workbookViewId="0">
      <selection activeCell="B18" sqref="B18"/>
    </sheetView>
  </sheetViews>
  <sheetFormatPr defaultRowHeight="15" customHeight="1"/>
  <cols>
    <col min="1" max="1" width="9.140625" style="2"/>
    <col min="2" max="2" width="9.42578125" style="2" bestFit="1" customWidth="1"/>
    <col min="3" max="16384" width="9.140625" style="2"/>
  </cols>
  <sheetData>
    <row r="1" spans="2:2" ht="20.100000000000001" customHeight="1">
      <c r="B1" s="1" t="s">
        <v>15</v>
      </c>
    </row>
    <row r="5" spans="2:2" ht="15" customHeight="1">
      <c r="B5" s="2" t="s">
        <v>38</v>
      </c>
    </row>
    <row r="6" spans="2:2" ht="15" customHeight="1">
      <c r="B6" s="2" t="s">
        <v>19</v>
      </c>
    </row>
    <row r="7" spans="2:2" ht="15" customHeight="1">
      <c r="B7" s="2" t="s">
        <v>39</v>
      </c>
    </row>
    <row r="8" spans="2:2" ht="15" customHeight="1">
      <c r="B8" s="2" t="s">
        <v>41</v>
      </c>
    </row>
    <row r="14" spans="2:2" ht="15" customHeight="1">
      <c r="B14" s="3" t="s">
        <v>12</v>
      </c>
    </row>
    <row r="15" spans="2:2" ht="15" customHeight="1">
      <c r="B15" s="2" t="s">
        <v>22</v>
      </c>
    </row>
    <row r="16" spans="2:2" ht="15" customHeight="1">
      <c r="B16" s="2" t="s">
        <v>53</v>
      </c>
    </row>
    <row r="19" spans="2:2" ht="15" customHeight="1">
      <c r="B19" s="3" t="s">
        <v>23</v>
      </c>
    </row>
    <row r="20" spans="2:2" ht="15" customHeight="1">
      <c r="B20" s="2" t="s">
        <v>52</v>
      </c>
    </row>
    <row r="21" spans="2:2" ht="15" customHeight="1">
      <c r="B21" s="29"/>
    </row>
    <row r="22" spans="2:2" ht="15" customHeight="1">
      <c r="B22" s="3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" sqref="B3:B13"/>
    </sheetView>
  </sheetViews>
  <sheetFormatPr defaultColWidth="46.28515625" defaultRowHeight="12.75"/>
  <cols>
    <col min="3" max="3" width="41" customWidth="1"/>
  </cols>
  <sheetData>
    <row r="1" spans="1:3" ht="15">
      <c r="A1" s="30" t="s">
        <v>42</v>
      </c>
    </row>
    <row r="2" spans="1:3" ht="15">
      <c r="A2" s="2"/>
    </row>
    <row r="3" spans="1:3" ht="15">
      <c r="A3" s="25"/>
      <c r="B3" s="67">
        <v>2021</v>
      </c>
      <c r="C3" s="52" t="s">
        <v>54</v>
      </c>
    </row>
    <row r="4" spans="1:3" ht="15">
      <c r="A4" s="8" t="s">
        <v>9</v>
      </c>
      <c r="B4" s="68">
        <f>SUM(B5:B11)</f>
        <v>1107.2660000000001</v>
      </c>
      <c r="C4" s="53">
        <f>B4/B$4</f>
        <v>1</v>
      </c>
    </row>
    <row r="5" spans="1:3" ht="15">
      <c r="A5" s="10" t="s">
        <v>0</v>
      </c>
      <c r="B5" s="69">
        <v>996.44399999999996</v>
      </c>
      <c r="C5" s="54">
        <f t="shared" ref="C5:C11" si="0">B5/B$4</f>
        <v>0.89991384184107515</v>
      </c>
    </row>
    <row r="6" spans="1:3" ht="15">
      <c r="A6" s="10" t="s">
        <v>1</v>
      </c>
      <c r="B6" s="69">
        <v>1.0269999999999999</v>
      </c>
      <c r="C6" s="54">
        <f t="shared" si="0"/>
        <v>9.2750974020696004E-4</v>
      </c>
    </row>
    <row r="7" spans="1:3" ht="15">
      <c r="A7" s="13" t="s">
        <v>20</v>
      </c>
      <c r="B7" s="69">
        <v>30.69</v>
      </c>
      <c r="C7" s="54">
        <f t="shared" si="0"/>
        <v>2.7716917163536133E-2</v>
      </c>
    </row>
    <row r="8" spans="1:3" ht="15">
      <c r="A8" s="13" t="s">
        <v>16</v>
      </c>
      <c r="B8" s="69">
        <f>81.631-B7</f>
        <v>50.941000000000003</v>
      </c>
      <c r="C8" s="54">
        <f t="shared" si="0"/>
        <v>4.6006108739905315E-2</v>
      </c>
    </row>
    <row r="9" spans="1:3" ht="15">
      <c r="A9" s="10" t="s">
        <v>2</v>
      </c>
      <c r="B9" s="69">
        <v>10.5</v>
      </c>
      <c r="C9" s="54">
        <f t="shared" si="0"/>
        <v>9.4828162338588921E-3</v>
      </c>
    </row>
    <row r="10" spans="1:3" ht="15">
      <c r="A10" s="10" t="s">
        <v>3</v>
      </c>
      <c r="B10" s="69">
        <f>22.009-B9</f>
        <v>11.509</v>
      </c>
      <c r="C10" s="54">
        <f t="shared" si="0"/>
        <v>1.0394069717664951E-2</v>
      </c>
    </row>
    <row r="11" spans="1:3" ht="15">
      <c r="A11" s="14" t="s">
        <v>4</v>
      </c>
      <c r="B11" s="69">
        <v>6.1550000000000002</v>
      </c>
      <c r="C11" s="54">
        <f t="shared" si="0"/>
        <v>5.558736563752522E-3</v>
      </c>
    </row>
    <row r="12" spans="1:3" ht="15">
      <c r="A12" s="15"/>
      <c r="B12" s="2"/>
      <c r="C12" s="54"/>
    </row>
    <row r="13" spans="1:3" ht="15">
      <c r="A13" s="15" t="s">
        <v>17</v>
      </c>
      <c r="B13" s="16">
        <f t="shared" ref="B13" si="1">+B7+B8+B9+B10</f>
        <v>103.64</v>
      </c>
      <c r="C13" s="54">
        <f t="shared" ref="C13" si="2">B13/B$4</f>
        <v>9.3599911854965287E-2</v>
      </c>
    </row>
    <row r="14" spans="1:3" ht="15">
      <c r="A14" s="17"/>
    </row>
    <row r="15" spans="1:3" ht="15">
      <c r="A15" s="3" t="s">
        <v>11</v>
      </c>
    </row>
    <row r="16" spans="1:3" ht="15">
      <c r="A16" s="2" t="s">
        <v>40</v>
      </c>
    </row>
    <row r="17" spans="1:1" ht="15">
      <c r="A17" s="2"/>
    </row>
    <row r="18" spans="1:1" ht="15">
      <c r="A18" s="3" t="s">
        <v>10</v>
      </c>
    </row>
    <row r="19" spans="1:1" ht="15">
      <c r="A19" s="2" t="s">
        <v>18</v>
      </c>
    </row>
    <row r="20" spans="1:1" ht="15">
      <c r="A20" s="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workbookViewId="0">
      <pane xSplit="1" topLeftCell="L1" activePane="topRight" state="frozen"/>
      <selection pane="topRight" activeCell="A2" sqref="A2"/>
    </sheetView>
  </sheetViews>
  <sheetFormatPr defaultRowHeight="15" customHeight="1"/>
  <cols>
    <col min="1" max="1" width="46.140625" style="2" customWidth="1"/>
    <col min="2" max="12" width="10.7109375" style="2" customWidth="1"/>
    <col min="13" max="17" width="9.140625" style="2" customWidth="1"/>
    <col min="18" max="16384" width="9.140625" style="2"/>
  </cols>
  <sheetData>
    <row r="1" spans="1:22" ht="15" customHeight="1">
      <c r="A1" s="30" t="s">
        <v>29</v>
      </c>
    </row>
    <row r="3" spans="1:22" s="3" customFormat="1" ht="15" customHeight="1">
      <c r="A3" s="25"/>
      <c r="B3" s="25">
        <v>2001</v>
      </c>
      <c r="C3" s="25">
        <v>2002</v>
      </c>
      <c r="D3" s="25">
        <v>2003</v>
      </c>
      <c r="E3" s="25">
        <v>2004</v>
      </c>
      <c r="F3" s="25">
        <v>2005</v>
      </c>
      <c r="G3" s="25">
        <v>2006</v>
      </c>
      <c r="H3" s="25">
        <v>2007</v>
      </c>
      <c r="I3" s="25">
        <v>2008</v>
      </c>
      <c r="J3" s="25">
        <v>2009</v>
      </c>
      <c r="K3" s="25">
        <v>2010</v>
      </c>
      <c r="L3" s="25">
        <v>2011</v>
      </c>
      <c r="M3" s="25">
        <v>2012</v>
      </c>
      <c r="N3" s="25">
        <v>2013</v>
      </c>
      <c r="O3" s="25">
        <v>2014</v>
      </c>
      <c r="P3" s="25">
        <v>2015</v>
      </c>
      <c r="Q3" s="58">
        <v>2016</v>
      </c>
      <c r="R3" s="60">
        <v>2017</v>
      </c>
      <c r="S3" s="60">
        <v>2018</v>
      </c>
      <c r="T3" s="67">
        <v>2019</v>
      </c>
      <c r="U3" s="67">
        <v>2020</v>
      </c>
      <c r="V3" s="67">
        <v>2021</v>
      </c>
    </row>
    <row r="4" spans="1:22" ht="15" customHeight="1">
      <c r="A4" s="8" t="s">
        <v>9</v>
      </c>
      <c r="B4" s="9">
        <f>SUM(B5:B11)</f>
        <v>432.57499999999993</v>
      </c>
      <c r="C4" s="9">
        <f t="shared" ref="C4:K4" si="0">SUM(C5:C11)</f>
        <v>446.23699999999997</v>
      </c>
      <c r="D4" s="9">
        <f t="shared" si="0"/>
        <v>438.49100000000004</v>
      </c>
      <c r="E4" s="9">
        <f t="shared" si="0"/>
        <v>451.65499999999997</v>
      </c>
      <c r="F4" s="9">
        <f t="shared" si="0"/>
        <v>489.64100000000002</v>
      </c>
      <c r="G4" s="9">
        <f t="shared" si="0"/>
        <v>504.661</v>
      </c>
      <c r="H4" s="9">
        <f t="shared" si="0"/>
        <v>566.65899999999988</v>
      </c>
      <c r="I4" s="9">
        <f t="shared" si="0"/>
        <v>601.06600000000003</v>
      </c>
      <c r="J4" s="9">
        <f t="shared" si="0"/>
        <v>707.3610000000001</v>
      </c>
      <c r="K4" s="9">
        <f t="shared" si="0"/>
        <v>727.39599999999996</v>
      </c>
      <c r="L4" s="26">
        <f t="shared" ref="L4:M4" si="1">SUM(L5:L11)</f>
        <v>698.34800000000007</v>
      </c>
      <c r="M4" s="26">
        <f t="shared" si="1"/>
        <v>733.96400000000006</v>
      </c>
      <c r="N4" s="9">
        <f t="shared" ref="N4:O4" si="2">SUM(N5:N11)</f>
        <v>731.17200000000003</v>
      </c>
      <c r="O4" s="9">
        <f t="shared" si="2"/>
        <v>813.63800000000003</v>
      </c>
      <c r="P4" s="9">
        <f t="shared" ref="P4" si="3">SUM(P5:P11)</f>
        <v>851.66999999999985</v>
      </c>
      <c r="Q4" s="26">
        <v>913.85599999999999</v>
      </c>
      <c r="R4" s="62">
        <f>SUM(R5:R11)</f>
        <v>903.27599999999995</v>
      </c>
      <c r="S4" s="62">
        <f>SUM(S5:S11)</f>
        <v>1220.278</v>
      </c>
      <c r="T4" s="68">
        <f>SUM(T5:T11)</f>
        <v>1166.2270000000001</v>
      </c>
      <c r="U4" s="68">
        <f>SUM(U5:U11)</f>
        <v>1035.5710000000001</v>
      </c>
      <c r="V4" s="68">
        <f>SUM(V5:V11)</f>
        <v>1107.2660000000001</v>
      </c>
    </row>
    <row r="5" spans="1:22" ht="15" customHeight="1">
      <c r="A5" s="10" t="s">
        <v>0</v>
      </c>
      <c r="B5" s="11">
        <v>277.19900000000001</v>
      </c>
      <c r="C5" s="11">
        <v>295.512</v>
      </c>
      <c r="D5" s="12">
        <v>313.83300000000003</v>
      </c>
      <c r="E5" s="12">
        <v>303.59699999999998</v>
      </c>
      <c r="F5" s="12">
        <v>305.96899999999999</v>
      </c>
      <c r="G5" s="12">
        <v>308.11500000000001</v>
      </c>
      <c r="H5" s="12">
        <v>310.53899999999999</v>
      </c>
      <c r="I5" s="11">
        <v>403.60899999999998</v>
      </c>
      <c r="J5" s="11">
        <v>502.07100000000003</v>
      </c>
      <c r="K5" s="11">
        <v>521.34799999999996</v>
      </c>
      <c r="L5" s="27">
        <v>508.75400000000002</v>
      </c>
      <c r="M5" s="6">
        <v>576.26300000000003</v>
      </c>
      <c r="N5" s="31">
        <v>602.92200000000003</v>
      </c>
      <c r="O5" s="6">
        <v>678.24</v>
      </c>
      <c r="P5" s="6">
        <v>693.39</v>
      </c>
      <c r="Q5" s="27">
        <v>763.22699999999998</v>
      </c>
      <c r="R5" s="63">
        <v>740.93299999999999</v>
      </c>
      <c r="S5" s="63">
        <v>1080.152</v>
      </c>
      <c r="T5" s="69">
        <v>1012.939</v>
      </c>
      <c r="U5" s="69">
        <v>952.26800000000003</v>
      </c>
      <c r="V5" s="69">
        <v>996.44399999999996</v>
      </c>
    </row>
    <row r="6" spans="1:22" ht="15" customHeight="1">
      <c r="A6" s="10" t="s">
        <v>1</v>
      </c>
      <c r="B6" s="11">
        <v>70.209000000000003</v>
      </c>
      <c r="C6" s="11">
        <v>85.991</v>
      </c>
      <c r="D6" s="12">
        <v>41.292000000000002</v>
      </c>
      <c r="E6" s="12">
        <v>55.225000000000001</v>
      </c>
      <c r="F6" s="12">
        <v>80.944000000000003</v>
      </c>
      <c r="G6" s="12">
        <v>102.839</v>
      </c>
      <c r="H6" s="12">
        <v>155.92500000000001</v>
      </c>
      <c r="I6" s="11">
        <v>99.194000000000003</v>
      </c>
      <c r="J6" s="11">
        <v>107.985</v>
      </c>
      <c r="K6" s="11">
        <v>104.032</v>
      </c>
      <c r="L6" s="27">
        <v>75.813000000000002</v>
      </c>
      <c r="M6" s="6">
        <v>38.831000000000003</v>
      </c>
      <c r="N6" s="6">
        <v>14.874000000000001</v>
      </c>
      <c r="O6" s="6">
        <v>10.178000000000001</v>
      </c>
      <c r="P6" s="6">
        <v>13.01</v>
      </c>
      <c r="Q6" s="27">
        <v>5.944</v>
      </c>
      <c r="R6" s="63">
        <v>4.6130000000000004</v>
      </c>
      <c r="S6" s="63">
        <v>1.7470000000000001</v>
      </c>
      <c r="T6" s="69">
        <v>1.0169999999999999</v>
      </c>
      <c r="U6" s="69">
        <v>-1.4239999999999999</v>
      </c>
      <c r="V6" s="69">
        <v>1.0269999999999999</v>
      </c>
    </row>
    <row r="7" spans="1:22" ht="14.25" customHeight="1">
      <c r="A7" s="13" t="s">
        <v>20</v>
      </c>
      <c r="B7" s="11">
        <v>17.809999999999999</v>
      </c>
      <c r="C7" s="11">
        <v>16.492999999999999</v>
      </c>
      <c r="D7" s="11">
        <v>21.779</v>
      </c>
      <c r="E7" s="11">
        <v>27.192</v>
      </c>
      <c r="F7" s="11">
        <v>35.31</v>
      </c>
      <c r="G7" s="11">
        <v>34.646999999999998</v>
      </c>
      <c r="H7" s="11">
        <v>33.548999999999999</v>
      </c>
      <c r="I7" s="11">
        <v>33.018000000000001</v>
      </c>
      <c r="J7" s="11">
        <v>32.325000000000003</v>
      </c>
      <c r="K7" s="11">
        <v>27.922999999999998</v>
      </c>
      <c r="L7" s="27">
        <v>25.257999999999999</v>
      </c>
      <c r="M7" s="6">
        <v>28.199000000000002</v>
      </c>
      <c r="N7" s="6">
        <v>28.664999999999999</v>
      </c>
      <c r="O7" s="6">
        <v>28.48</v>
      </c>
      <c r="P7" s="6">
        <v>42.468000000000004</v>
      </c>
      <c r="Q7" s="27">
        <v>33.841000000000001</v>
      </c>
      <c r="R7" s="64">
        <v>33.762</v>
      </c>
      <c r="S7" s="64">
        <v>35.765999999999998</v>
      </c>
      <c r="T7" s="69">
        <v>32.387</v>
      </c>
      <c r="U7" s="69">
        <v>10.581</v>
      </c>
      <c r="V7" s="69">
        <v>30.69</v>
      </c>
    </row>
    <row r="8" spans="1:22" ht="15" customHeight="1">
      <c r="A8" s="13" t="s">
        <v>16</v>
      </c>
      <c r="B8" s="11">
        <v>17.175999999999998</v>
      </c>
      <c r="C8" s="11">
        <v>18.815999999999999</v>
      </c>
      <c r="D8" s="11">
        <v>20.245000000000001</v>
      </c>
      <c r="E8" s="11">
        <v>26.567999999999998</v>
      </c>
      <c r="F8" s="11">
        <v>21.478999999999999</v>
      </c>
      <c r="G8" s="11">
        <v>12.829000000000001</v>
      </c>
      <c r="H8" s="11">
        <v>16.259999999999998</v>
      </c>
      <c r="I8" s="11">
        <v>16.512000000000008</v>
      </c>
      <c r="J8" s="11">
        <v>13.066000000000003</v>
      </c>
      <c r="K8" s="11">
        <v>15.879999999999999</v>
      </c>
      <c r="L8" s="27">
        <v>9.4350000000000005</v>
      </c>
      <c r="M8" s="6">
        <v>10.845000000000001</v>
      </c>
      <c r="N8" s="6">
        <v>4.1360000000000001</v>
      </c>
      <c r="O8" s="6">
        <f>81.694-28.48-16.766-13.745</f>
        <v>22.703000000000003</v>
      </c>
      <c r="P8" s="6">
        <f>0.149+16.25+5.746+0.05+0.13+0.001+0.051</f>
        <v>22.377000000000002</v>
      </c>
      <c r="Q8" s="27">
        <f>94.82-Q7</f>
        <v>60.978999999999992</v>
      </c>
      <c r="R8" s="64">
        <f>110.926-R7</f>
        <v>77.164000000000001</v>
      </c>
      <c r="S8" s="64">
        <f>83.663-S7</f>
        <v>47.896999999999998</v>
      </c>
      <c r="T8" s="69">
        <f>98.644-T7</f>
        <v>66.257000000000005</v>
      </c>
      <c r="U8" s="69">
        <f>52.738-U7</f>
        <v>42.156999999999996</v>
      </c>
      <c r="V8" s="69">
        <f>81.631-V7</f>
        <v>50.941000000000003</v>
      </c>
    </row>
    <row r="9" spans="1:22" ht="15" customHeight="1">
      <c r="A9" s="10" t="s">
        <v>2</v>
      </c>
      <c r="B9" s="11">
        <v>3.5609999999999999</v>
      </c>
      <c r="C9" s="11">
        <v>6.3819999999999997</v>
      </c>
      <c r="D9" s="11">
        <v>10.446999999999999</v>
      </c>
      <c r="E9" s="11">
        <v>10.561999999999999</v>
      </c>
      <c r="F9" s="11">
        <v>12.651</v>
      </c>
      <c r="G9" s="11">
        <v>10.443</v>
      </c>
      <c r="H9" s="11">
        <v>12.478</v>
      </c>
      <c r="I9" s="11">
        <v>12.359</v>
      </c>
      <c r="J9" s="11">
        <v>10.198</v>
      </c>
      <c r="K9" s="11">
        <v>11.135</v>
      </c>
      <c r="L9" s="27">
        <v>12.861000000000001</v>
      </c>
      <c r="M9" s="6">
        <v>22.042000000000002</v>
      </c>
      <c r="N9" s="6">
        <v>31.16</v>
      </c>
      <c r="O9" s="6">
        <v>26.638999999999999</v>
      </c>
      <c r="P9" s="6">
        <v>34.881999999999998</v>
      </c>
      <c r="Q9" s="27">
        <v>32.454999999999998</v>
      </c>
      <c r="R9" s="64">
        <v>35.101999999999997</v>
      </c>
      <c r="S9" s="64">
        <v>37.878999999999998</v>
      </c>
      <c r="T9" s="69">
        <v>41.994999999999997</v>
      </c>
      <c r="U9" s="69">
        <v>18.466000000000001</v>
      </c>
      <c r="V9" s="69">
        <v>10.5</v>
      </c>
    </row>
    <row r="10" spans="1:22" ht="15" customHeight="1">
      <c r="A10" s="10" t="s">
        <v>3</v>
      </c>
      <c r="B10" s="11">
        <v>28.815999999999995</v>
      </c>
      <c r="C10" s="11">
        <v>17.052</v>
      </c>
      <c r="D10" s="11">
        <v>17.972999999999999</v>
      </c>
      <c r="E10" s="11">
        <v>15.127999999999998</v>
      </c>
      <c r="F10" s="11">
        <v>23.828999999999997</v>
      </c>
      <c r="G10" s="11">
        <v>27.953000000000003</v>
      </c>
      <c r="H10" s="11">
        <v>27.310000000000002</v>
      </c>
      <c r="I10" s="11">
        <v>27.002000000000002</v>
      </c>
      <c r="J10" s="11">
        <v>28.463000000000001</v>
      </c>
      <c r="K10" s="11">
        <v>39.069000000000003</v>
      </c>
      <c r="L10" s="27">
        <v>44.213999999999999</v>
      </c>
      <c r="M10" s="6">
        <v>45.908999999999999</v>
      </c>
      <c r="N10" s="6">
        <v>33.369</v>
      </c>
      <c r="O10" s="6">
        <f>16.766+13.745+7.941</f>
        <v>38.451999999999998</v>
      </c>
      <c r="P10" s="6">
        <f>14.643+19.595+4.003</f>
        <v>38.241</v>
      </c>
      <c r="Q10" s="27">
        <v>8.5860000000000003</v>
      </c>
      <c r="R10" s="63">
        <v>4.5629999999999997</v>
      </c>
      <c r="S10" s="63">
        <v>10.173999999999999</v>
      </c>
      <c r="T10" s="69">
        <v>5.4390000000000001</v>
      </c>
      <c r="U10" s="69">
        <f>25.623-U9</f>
        <v>7.157</v>
      </c>
      <c r="V10" s="69">
        <f>22.009-V9</f>
        <v>11.509</v>
      </c>
    </row>
    <row r="11" spans="1:22" ht="15" customHeight="1">
      <c r="A11" s="14" t="s">
        <v>4</v>
      </c>
      <c r="B11" s="11">
        <v>17.803999999999998</v>
      </c>
      <c r="C11" s="11">
        <v>5.9909999999999997</v>
      </c>
      <c r="D11" s="12">
        <v>12.922000000000001</v>
      </c>
      <c r="E11" s="12">
        <v>13.382999999999999</v>
      </c>
      <c r="F11" s="12">
        <v>9.4589999999999996</v>
      </c>
      <c r="G11" s="12">
        <v>7.835</v>
      </c>
      <c r="H11" s="12">
        <v>10.598000000000001</v>
      </c>
      <c r="I11" s="11">
        <v>9.3719999999999999</v>
      </c>
      <c r="J11" s="11">
        <v>13.253</v>
      </c>
      <c r="K11" s="11">
        <v>8.0090000000000003</v>
      </c>
      <c r="L11" s="27">
        <v>22.013000000000002</v>
      </c>
      <c r="M11" s="6">
        <v>11.875</v>
      </c>
      <c r="N11" s="6">
        <v>16.045999999999999</v>
      </c>
      <c r="O11" s="6">
        <v>8.9459999999999997</v>
      </c>
      <c r="P11" s="6">
        <v>7.3019999999999996</v>
      </c>
      <c r="Q11" s="27">
        <v>8.8239999999999998</v>
      </c>
      <c r="R11" s="63">
        <v>7.1390000000000002</v>
      </c>
      <c r="S11" s="63">
        <v>6.6630000000000003</v>
      </c>
      <c r="T11" s="69">
        <v>6.1929999999999996</v>
      </c>
      <c r="U11" s="69">
        <v>6.3659999999999997</v>
      </c>
      <c r="V11" s="69">
        <v>6.1550000000000002</v>
      </c>
    </row>
    <row r="12" spans="1:22" ht="1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8"/>
      <c r="M12" s="24"/>
      <c r="N12" s="24"/>
      <c r="O12" s="24"/>
      <c r="P12" s="24"/>
      <c r="Q12" s="59"/>
      <c r="R12" s="61"/>
      <c r="S12" s="61"/>
    </row>
    <row r="13" spans="1:22" ht="15" customHeight="1">
      <c r="A13" s="15" t="s">
        <v>17</v>
      </c>
      <c r="B13" s="16">
        <f>+B7+B8+B9+B10</f>
        <v>67.363</v>
      </c>
      <c r="C13" s="16">
        <f t="shared" ref="C13:M13" si="4">+C7+C8+C9+C10</f>
        <v>58.742999999999995</v>
      </c>
      <c r="D13" s="16">
        <f t="shared" si="4"/>
        <v>70.444000000000003</v>
      </c>
      <c r="E13" s="16">
        <f t="shared" si="4"/>
        <v>79.45</v>
      </c>
      <c r="F13" s="16">
        <f t="shared" si="4"/>
        <v>93.268999999999991</v>
      </c>
      <c r="G13" s="16">
        <f t="shared" si="4"/>
        <v>85.872</v>
      </c>
      <c r="H13" s="16">
        <f t="shared" si="4"/>
        <v>89.597000000000008</v>
      </c>
      <c r="I13" s="16">
        <f t="shared" si="4"/>
        <v>88.89100000000002</v>
      </c>
      <c r="J13" s="16">
        <f t="shared" si="4"/>
        <v>84.052000000000007</v>
      </c>
      <c r="K13" s="16">
        <f t="shared" si="4"/>
        <v>94.007000000000005</v>
      </c>
      <c r="L13" s="16">
        <f t="shared" si="4"/>
        <v>91.768000000000001</v>
      </c>
      <c r="M13" s="16">
        <f t="shared" si="4"/>
        <v>106.995</v>
      </c>
      <c r="N13" s="16">
        <f t="shared" ref="N13:O13" si="5">+N7+N8+N9+N10</f>
        <v>97.33</v>
      </c>
      <c r="O13" s="16">
        <f t="shared" si="5"/>
        <v>116.274</v>
      </c>
      <c r="P13" s="16">
        <f>+P7+P8+P9+P10</f>
        <v>137.96800000000002</v>
      </c>
      <c r="Q13" s="16">
        <f t="shared" ref="Q13:V13" si="6">+Q7+Q8+Q9+Q10</f>
        <v>135.86099999999999</v>
      </c>
      <c r="R13" s="16">
        <f t="shared" si="6"/>
        <v>150.59099999999998</v>
      </c>
      <c r="S13" s="16">
        <f t="shared" si="6"/>
        <v>131.71600000000001</v>
      </c>
      <c r="T13" s="16">
        <f t="shared" si="6"/>
        <v>146.078</v>
      </c>
      <c r="U13" s="16">
        <f t="shared" si="6"/>
        <v>78.361000000000004</v>
      </c>
      <c r="V13" s="16">
        <f t="shared" si="6"/>
        <v>103.64</v>
      </c>
    </row>
    <row r="14" spans="1:22" ht="1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22" s="21" customFormat="1" ht="15" customHeight="1">
      <c r="A15" s="19" t="s">
        <v>13</v>
      </c>
      <c r="B15" s="20"/>
      <c r="C15" s="20"/>
      <c r="D15" s="20"/>
      <c r="E15" s="20"/>
      <c r="F15" s="20"/>
      <c r="G15" s="20"/>
      <c r="H15" s="20"/>
      <c r="J15" s="20"/>
    </row>
    <row r="16" spans="1:22" s="21" customFormat="1" ht="15" customHeight="1">
      <c r="A16" s="15" t="s">
        <v>14</v>
      </c>
      <c r="B16" s="16">
        <f t="shared" ref="B16:M16" si="7">+(B5+B6)/B4*100</f>
        <v>80.311622262035499</v>
      </c>
      <c r="C16" s="16">
        <f t="shared" si="7"/>
        <v>85.493358910175544</v>
      </c>
      <c r="D16" s="16">
        <f t="shared" si="7"/>
        <v>80.98797922876409</v>
      </c>
      <c r="E16" s="16">
        <f t="shared" si="7"/>
        <v>79.446037351518299</v>
      </c>
      <c r="F16" s="16">
        <f t="shared" si="7"/>
        <v>79.019730782348702</v>
      </c>
      <c r="G16" s="16">
        <f t="shared" si="7"/>
        <v>81.431693750854535</v>
      </c>
      <c r="H16" s="16">
        <f t="shared" si="7"/>
        <v>82.318290188631977</v>
      </c>
      <c r="I16" s="16">
        <f t="shared" si="7"/>
        <v>83.651878495872339</v>
      </c>
      <c r="J16" s="16">
        <f t="shared" si="7"/>
        <v>86.243940505625844</v>
      </c>
      <c r="K16" s="16">
        <f t="shared" si="7"/>
        <v>85.975177207463332</v>
      </c>
      <c r="L16" s="16">
        <f t="shared" si="7"/>
        <v>83.707120232319696</v>
      </c>
      <c r="M16" s="16">
        <f t="shared" si="7"/>
        <v>83.804382776266962</v>
      </c>
      <c r="N16" s="16">
        <f t="shared" ref="N16:O16" si="8">+(N5+N6)/N4*100</f>
        <v>84.493935763404522</v>
      </c>
      <c r="O16" s="16">
        <f t="shared" si="8"/>
        <v>84.60986335446475</v>
      </c>
      <c r="P16" s="16">
        <f t="shared" ref="P16:R16" si="9">+(P5+P6)/P4*100</f>
        <v>82.942923902450488</v>
      </c>
      <c r="Q16" s="16">
        <f t="shared" si="9"/>
        <v>84.167636914349742</v>
      </c>
      <c r="R16" s="16">
        <f t="shared" si="9"/>
        <v>82.53800610223233</v>
      </c>
      <c r="S16" s="16">
        <f t="shared" ref="S16:V16" si="10">+(S5+S6)/S4*100</f>
        <v>88.660043039373008</v>
      </c>
      <c r="T16" s="16">
        <f t="shared" si="10"/>
        <v>86.943279481610347</v>
      </c>
      <c r="U16" s="16">
        <f t="shared" si="10"/>
        <v>91.818330177264514</v>
      </c>
      <c r="V16" s="16">
        <f t="shared" si="10"/>
        <v>90.084135158128205</v>
      </c>
    </row>
    <row r="17" spans="1:22" s="21" customFormat="1" ht="15" customHeight="1">
      <c r="A17" s="15" t="s">
        <v>25</v>
      </c>
      <c r="B17" s="16">
        <f t="shared" ref="B17:M17" si="11">+B13/B4*100</f>
        <v>15.572559671733227</v>
      </c>
      <c r="C17" s="16">
        <f t="shared" si="11"/>
        <v>13.164080970426028</v>
      </c>
      <c r="D17" s="16">
        <f t="shared" si="11"/>
        <v>16.065095976884358</v>
      </c>
      <c r="E17" s="16">
        <f t="shared" si="11"/>
        <v>17.590860280523852</v>
      </c>
      <c r="F17" s="16">
        <f t="shared" si="11"/>
        <v>19.04844569797055</v>
      </c>
      <c r="G17" s="16">
        <f t="shared" si="11"/>
        <v>17.015778909010209</v>
      </c>
      <c r="H17" s="16">
        <f t="shared" si="11"/>
        <v>15.811449213724661</v>
      </c>
      <c r="I17" s="16">
        <f t="shared" si="11"/>
        <v>14.788891735682938</v>
      </c>
      <c r="J17" s="16">
        <f t="shared" si="11"/>
        <v>11.882475850379084</v>
      </c>
      <c r="K17" s="16">
        <f t="shared" si="11"/>
        <v>12.923771920659449</v>
      </c>
      <c r="L17" s="16">
        <f t="shared" si="11"/>
        <v>13.140726400018327</v>
      </c>
      <c r="M17" s="16">
        <f t="shared" si="11"/>
        <v>14.57769045893259</v>
      </c>
      <c r="N17" s="16">
        <f t="shared" ref="N17:O17" si="12">+N13/N4*100</f>
        <v>13.31150536399096</v>
      </c>
      <c r="O17" s="16">
        <f t="shared" si="12"/>
        <v>14.29063047694429</v>
      </c>
      <c r="P17" s="16">
        <f t="shared" ref="P17:R17" si="13">+P13/P4*100</f>
        <v>16.199701762419721</v>
      </c>
      <c r="Q17" s="16">
        <f t="shared" si="13"/>
        <v>14.866784263603893</v>
      </c>
      <c r="R17" s="16">
        <f t="shared" si="13"/>
        <v>16.671648532674396</v>
      </c>
      <c r="S17" s="16">
        <f t="shared" ref="S17:V17" si="14">+S13/S4*100</f>
        <v>10.793933841305014</v>
      </c>
      <c r="T17" s="16">
        <f t="shared" si="14"/>
        <v>12.525691825004909</v>
      </c>
      <c r="U17" s="16">
        <f t="shared" si="14"/>
        <v>7.5669365016980965</v>
      </c>
      <c r="V17" s="16">
        <f t="shared" si="14"/>
        <v>9.3599911854965292</v>
      </c>
    </row>
    <row r="18" spans="1:22" s="21" customFormat="1" ht="15" customHeight="1">
      <c r="A18" s="15" t="s">
        <v>26</v>
      </c>
      <c r="B18" s="16">
        <f>B11/B4*100</f>
        <v>4.1158180662312898</v>
      </c>
      <c r="C18" s="16">
        <f t="shared" ref="C18:K18" si="15">C11/C4*100</f>
        <v>1.3425601193984362</v>
      </c>
      <c r="D18" s="16">
        <f t="shared" si="15"/>
        <v>2.9469247943515375</v>
      </c>
      <c r="E18" s="16">
        <f t="shared" si="15"/>
        <v>2.9631023679578439</v>
      </c>
      <c r="F18" s="16">
        <f t="shared" si="15"/>
        <v>1.9318235196807456</v>
      </c>
      <c r="G18" s="16">
        <f t="shared" si="15"/>
        <v>1.5525273401352591</v>
      </c>
      <c r="H18" s="16">
        <f t="shared" si="15"/>
        <v>1.8702605976433802</v>
      </c>
      <c r="I18" s="16">
        <f t="shared" si="15"/>
        <v>1.5592297684447298</v>
      </c>
      <c r="J18" s="16">
        <f t="shared" si="15"/>
        <v>1.8735836439950744</v>
      </c>
      <c r="K18" s="16">
        <f t="shared" si="15"/>
        <v>1.101050871877217</v>
      </c>
      <c r="L18" s="16">
        <f t="shared" ref="L18:M18" si="16">L11/L4*100</f>
        <v>3.1521533676619682</v>
      </c>
      <c r="M18" s="16">
        <f t="shared" si="16"/>
        <v>1.6179267648004532</v>
      </c>
      <c r="N18" s="16">
        <f t="shared" ref="N18:O18" si="17">N11/N4*100</f>
        <v>2.1945588726045306</v>
      </c>
      <c r="O18" s="16">
        <f t="shared" si="17"/>
        <v>1.0995061685909457</v>
      </c>
      <c r="P18" s="16">
        <f t="shared" ref="P18:R18" si="18">P11/P4*100</f>
        <v>0.85737433512980388</v>
      </c>
      <c r="Q18" s="16">
        <f t="shared" si="18"/>
        <v>0.96557882204636181</v>
      </c>
      <c r="R18" s="16">
        <f t="shared" si="18"/>
        <v>0.79034536509328279</v>
      </c>
      <c r="S18" s="16">
        <f t="shared" ref="S18:V18" si="19">S11/S4*100</f>
        <v>0.54602311932199055</v>
      </c>
      <c r="T18" s="16">
        <f t="shared" si="19"/>
        <v>0.53102869338473546</v>
      </c>
      <c r="U18" s="16">
        <f t="shared" si="19"/>
        <v>0.61473332103737932</v>
      </c>
      <c r="V18" s="16">
        <f t="shared" si="19"/>
        <v>0.55587365637525221</v>
      </c>
    </row>
    <row r="20" spans="1:22" ht="15" customHeight="1">
      <c r="A20" s="3" t="s">
        <v>11</v>
      </c>
    </row>
    <row r="21" spans="1:22" ht="15" customHeight="1">
      <c r="A21" s="2" t="s">
        <v>21</v>
      </c>
    </row>
    <row r="23" spans="1:22" ht="15" customHeight="1">
      <c r="A23" s="3" t="s">
        <v>10</v>
      </c>
    </row>
    <row r="24" spans="1:22" ht="15" customHeight="1">
      <c r="A24" s="2" t="s">
        <v>18</v>
      </c>
    </row>
    <row r="25" spans="1:22" ht="15" customHeight="1">
      <c r="A25" s="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2" sqref="A2"/>
    </sheetView>
  </sheetViews>
  <sheetFormatPr defaultRowHeight="12.75"/>
  <cols>
    <col min="1" max="1" width="54.28515625" customWidth="1"/>
    <col min="2" max="2" width="26.7109375" customWidth="1"/>
    <col min="3" max="3" width="33.42578125" customWidth="1"/>
  </cols>
  <sheetData>
    <row r="1" spans="1:3" ht="15">
      <c r="A1" s="36" t="s">
        <v>43</v>
      </c>
    </row>
    <row r="2" spans="1:3" ht="15">
      <c r="A2" s="21"/>
    </row>
    <row r="3" spans="1:3" ht="15">
      <c r="A3" s="4" t="s">
        <v>5</v>
      </c>
      <c r="B3" s="22">
        <v>2021</v>
      </c>
      <c r="C3" s="55" t="s">
        <v>54</v>
      </c>
    </row>
    <row r="4" spans="1:3" ht="15">
      <c r="A4" s="4" t="s">
        <v>6</v>
      </c>
      <c r="B4" s="39">
        <v>862.98800000000006</v>
      </c>
      <c r="C4" s="56">
        <f>B4/B$4</f>
        <v>1</v>
      </c>
    </row>
    <row r="5" spans="1:3" ht="15">
      <c r="A5" s="7" t="s">
        <v>31</v>
      </c>
      <c r="B5" s="42">
        <v>68.978999999999999</v>
      </c>
      <c r="C5" s="57">
        <f t="shared" ref="C5:C12" si="0">B5/B$4</f>
        <v>7.9930427769563411E-2</v>
      </c>
    </row>
    <row r="6" spans="1:3" ht="15">
      <c r="A6" s="5" t="s">
        <v>7</v>
      </c>
      <c r="B6" s="40">
        <v>413.87035913352702</v>
      </c>
      <c r="C6" s="57">
        <f t="shared" si="0"/>
        <v>0.47957834770996466</v>
      </c>
    </row>
    <row r="7" spans="1:3" ht="15">
      <c r="A7" s="7" t="s">
        <v>50</v>
      </c>
      <c r="B7" s="40">
        <v>207.505</v>
      </c>
      <c r="C7" s="57">
        <f t="shared" si="0"/>
        <v>0.24044946163793701</v>
      </c>
    </row>
    <row r="8" spans="1:3" ht="15">
      <c r="A8" s="7" t="s">
        <v>48</v>
      </c>
      <c r="B8" s="40">
        <v>8.2710000000000008</v>
      </c>
      <c r="C8" s="57">
        <f t="shared" si="0"/>
        <v>9.5841425373238108E-3</v>
      </c>
    </row>
    <row r="9" spans="1:3" ht="15">
      <c r="A9" s="7" t="s">
        <v>49</v>
      </c>
      <c r="B9" s="40">
        <v>3.637</v>
      </c>
      <c r="C9" s="57">
        <f t="shared" si="0"/>
        <v>4.2144270835747424E-3</v>
      </c>
    </row>
    <row r="10" spans="1:3" ht="15">
      <c r="A10" s="7" t="s">
        <v>33</v>
      </c>
      <c r="B10" s="40">
        <v>76.584640866473507</v>
      </c>
      <c r="C10" s="57">
        <f t="shared" si="0"/>
        <v>8.8743575653976073E-2</v>
      </c>
    </row>
    <row r="11" spans="1:3" ht="15">
      <c r="A11" s="44" t="s">
        <v>36</v>
      </c>
      <c r="B11" s="40">
        <v>84.543000000000006</v>
      </c>
      <c r="C11" s="57">
        <f t="shared" si="0"/>
        <v>9.796544100265589E-2</v>
      </c>
    </row>
    <row r="12" spans="1:3" ht="15">
      <c r="A12" s="45" t="s">
        <v>37</v>
      </c>
      <c r="B12" s="47">
        <v>-0.40200000000000002</v>
      </c>
      <c r="C12" s="57">
        <f t="shared" si="0"/>
        <v>-4.6582339499506365E-4</v>
      </c>
    </row>
    <row r="13" spans="1:3" ht="15">
      <c r="A13" s="2"/>
    </row>
    <row r="14" spans="1:3" ht="15">
      <c r="A14" s="2"/>
    </row>
    <row r="15" spans="1:3" ht="15">
      <c r="A15" s="3" t="s">
        <v>11</v>
      </c>
    </row>
    <row r="16" spans="1:3" ht="15">
      <c r="A16" s="2" t="s">
        <v>44</v>
      </c>
    </row>
    <row r="17" spans="1:9" ht="15">
      <c r="A17" s="2"/>
    </row>
    <row r="18" spans="1:9" ht="15">
      <c r="A18" s="3" t="s">
        <v>10</v>
      </c>
    </row>
    <row r="19" spans="1:9" ht="15">
      <c r="A19" s="2" t="s">
        <v>27</v>
      </c>
    </row>
    <row r="20" spans="1:9" ht="15">
      <c r="A20" s="2"/>
    </row>
    <row r="21" spans="1:9" ht="15">
      <c r="A21" s="2"/>
    </row>
    <row r="22" spans="1:9" ht="15">
      <c r="A22" s="21"/>
      <c r="B22" s="70"/>
      <c r="C22" s="70"/>
      <c r="D22" s="70"/>
      <c r="E22" s="70"/>
      <c r="F22" s="70"/>
      <c r="G22" s="70"/>
      <c r="H22" s="70"/>
      <c r="I22" s="70"/>
    </row>
    <row r="23" spans="1:9">
      <c r="A23" s="71"/>
      <c r="B23" s="72"/>
      <c r="C23" s="72"/>
      <c r="D23" s="72"/>
      <c r="E23" s="72"/>
      <c r="F23" s="72"/>
      <c r="G23" s="71"/>
      <c r="H23" s="71"/>
      <c r="I23" s="71"/>
    </row>
    <row r="24" spans="1:9">
      <c r="A24" s="71"/>
      <c r="B24" s="72"/>
      <c r="C24" s="72"/>
      <c r="D24" s="72"/>
      <c r="E24" s="72"/>
      <c r="F24" s="72"/>
      <c r="G24" s="71"/>
      <c r="H24" s="71"/>
      <c r="I24" s="71"/>
    </row>
    <row r="25" spans="1:9">
      <c r="A25" s="71"/>
      <c r="B25" s="72"/>
      <c r="C25" s="72"/>
      <c r="D25" s="72"/>
      <c r="E25" s="72"/>
      <c r="F25" s="72"/>
      <c r="G25" s="72"/>
      <c r="H25" s="72"/>
      <c r="I25" s="72"/>
    </row>
    <row r="26" spans="1:9">
      <c r="A26" s="71"/>
      <c r="B26" s="72"/>
      <c r="C26" s="72"/>
      <c r="D26" s="72"/>
      <c r="E26" s="72"/>
      <c r="F26" s="72"/>
      <c r="G26" s="72"/>
      <c r="H26" s="72"/>
      <c r="I26" s="72"/>
    </row>
    <row r="27" spans="1:9">
      <c r="A27" s="71"/>
      <c r="B27" s="72"/>
      <c r="C27" s="72"/>
      <c r="D27" s="72"/>
      <c r="E27" s="72"/>
      <c r="F27" s="72"/>
      <c r="G27" s="72"/>
      <c r="H27" s="72"/>
      <c r="I27" s="72"/>
    </row>
    <row r="28" spans="1:9">
      <c r="A28" s="71"/>
      <c r="B28" s="72"/>
      <c r="C28" s="72"/>
      <c r="D28" s="72"/>
      <c r="E28" s="72"/>
      <c r="F28" s="72"/>
      <c r="G28" s="72"/>
      <c r="H28" s="72"/>
      <c r="I28" s="72"/>
    </row>
    <row r="29" spans="1:9">
      <c r="A29" s="70"/>
      <c r="B29" s="70"/>
      <c r="C29" s="70"/>
      <c r="D29" s="70"/>
      <c r="E29" s="70"/>
      <c r="F29" s="70"/>
      <c r="G29" s="70"/>
      <c r="H29" s="70"/>
      <c r="I29" s="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workbookViewId="0">
      <selection activeCell="A2" sqref="A2"/>
    </sheetView>
  </sheetViews>
  <sheetFormatPr defaultRowHeight="15" customHeight="1"/>
  <cols>
    <col min="1" max="1" width="35.85546875" style="2" customWidth="1"/>
    <col min="2" max="11" width="10.7109375" style="2" customWidth="1"/>
    <col min="12" max="16384" width="9.140625" style="2"/>
  </cols>
  <sheetData>
    <row r="1" spans="1:28" s="21" customFormat="1" ht="15" customHeight="1">
      <c r="A1" s="36" t="s">
        <v>28</v>
      </c>
      <c r="B1" s="37"/>
      <c r="C1" s="37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8" s="21" customFormat="1" ht="15" customHeight="1"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>
      <c r="A3" s="4" t="s">
        <v>5</v>
      </c>
      <c r="B3" s="22">
        <v>2001</v>
      </c>
      <c r="C3" s="22">
        <v>2002</v>
      </c>
      <c r="D3" s="22">
        <v>2003</v>
      </c>
      <c r="E3" s="22">
        <v>2004</v>
      </c>
      <c r="F3" s="22">
        <v>2005</v>
      </c>
      <c r="G3" s="22">
        <v>2006</v>
      </c>
      <c r="H3" s="22">
        <v>2007</v>
      </c>
      <c r="I3" s="22">
        <v>2008</v>
      </c>
      <c r="J3" s="22">
        <v>2009</v>
      </c>
      <c r="K3" s="22">
        <v>2010</v>
      </c>
      <c r="L3" s="22">
        <v>2011</v>
      </c>
      <c r="M3" s="43" t="s">
        <v>30</v>
      </c>
      <c r="N3" s="22">
        <v>2013</v>
      </c>
      <c r="O3" s="22">
        <v>2014</v>
      </c>
      <c r="P3" s="22">
        <v>2015</v>
      </c>
      <c r="Q3" s="22">
        <v>2016</v>
      </c>
      <c r="R3" s="73">
        <v>2017</v>
      </c>
      <c r="S3" s="67">
        <v>2018</v>
      </c>
      <c r="T3" s="66"/>
    </row>
    <row r="4" spans="1:28" ht="15" customHeight="1">
      <c r="A4" s="4" t="s">
        <v>6</v>
      </c>
      <c r="B4" s="23">
        <f t="shared" ref="B4:L4" si="0">+SUM(B6:B10)</f>
        <v>389.51900000000006</v>
      </c>
      <c r="C4" s="23">
        <f t="shared" si="0"/>
        <v>401.03900000000004</v>
      </c>
      <c r="D4" s="23">
        <f t="shared" si="0"/>
        <v>476.97099999999995</v>
      </c>
      <c r="E4" s="23">
        <f t="shared" si="0"/>
        <v>480.66700000000009</v>
      </c>
      <c r="F4" s="23">
        <f t="shared" si="0"/>
        <v>512.43399999999997</v>
      </c>
      <c r="G4" s="23">
        <f t="shared" si="0"/>
        <v>522.96100000000001</v>
      </c>
      <c r="H4" s="23">
        <f t="shared" si="0"/>
        <v>528.09199999999987</v>
      </c>
      <c r="I4" s="23">
        <f t="shared" si="0"/>
        <v>520.73900000000003</v>
      </c>
      <c r="J4" s="23">
        <f t="shared" si="0"/>
        <v>652.31600000000003</v>
      </c>
      <c r="K4" s="23">
        <f t="shared" si="0"/>
        <v>739.15200000000004</v>
      </c>
      <c r="L4" s="23">
        <f t="shared" si="0"/>
        <v>754.6049999999999</v>
      </c>
      <c r="M4" s="23">
        <v>756.45500000000015</v>
      </c>
      <c r="N4" s="23">
        <v>735.21799999999985</v>
      </c>
      <c r="O4" s="23">
        <v>766.82600000000014</v>
      </c>
      <c r="P4" s="39">
        <v>857.23500000000001</v>
      </c>
      <c r="Q4" s="39">
        <v>817.85199999999986</v>
      </c>
      <c r="R4" s="74">
        <v>873.4</v>
      </c>
      <c r="S4" s="78">
        <v>1339.5920000000001</v>
      </c>
      <c r="T4" s="82"/>
    </row>
    <row r="5" spans="1:28" ht="15" customHeight="1">
      <c r="A5" s="7" t="s">
        <v>31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6"/>
      <c r="N5" s="46"/>
      <c r="O5" s="46"/>
      <c r="P5" s="42">
        <v>31.727</v>
      </c>
      <c r="Q5" s="42">
        <v>31.524999999999999</v>
      </c>
      <c r="R5" s="75">
        <v>34.973678570948401</v>
      </c>
      <c r="S5" s="79">
        <v>25.434999999999999</v>
      </c>
      <c r="T5" s="18"/>
    </row>
    <row r="6" spans="1:28" ht="15" customHeight="1">
      <c r="A6" s="5" t="s">
        <v>7</v>
      </c>
      <c r="B6" s="48">
        <v>205.44800000000004</v>
      </c>
      <c r="C6" s="48">
        <v>225.17400000000001</v>
      </c>
      <c r="D6" s="48">
        <v>256.04700000000003</v>
      </c>
      <c r="E6" s="48">
        <v>274.964</v>
      </c>
      <c r="F6" s="48">
        <v>288.959</v>
      </c>
      <c r="G6" s="48">
        <v>293.56</v>
      </c>
      <c r="H6" s="48">
        <v>285.18199999999996</v>
      </c>
      <c r="I6" s="48">
        <v>285.75099999999998</v>
      </c>
      <c r="J6" s="48">
        <v>376.35199999999998</v>
      </c>
      <c r="K6" s="48">
        <v>425.78</v>
      </c>
      <c r="L6" s="49">
        <v>450.29199999999997</v>
      </c>
      <c r="M6" s="6">
        <v>464.42200000000003</v>
      </c>
      <c r="N6" s="6">
        <v>443.60199999999998</v>
      </c>
      <c r="O6" s="6">
        <v>433.28300000000002</v>
      </c>
      <c r="P6" s="40">
        <v>496.42500000000001</v>
      </c>
      <c r="Q6" s="40">
        <v>439.11399999999998</v>
      </c>
      <c r="R6" s="76">
        <v>478.95072387331601</v>
      </c>
      <c r="S6" s="80">
        <v>608.71079592811498</v>
      </c>
      <c r="T6" s="83"/>
    </row>
    <row r="7" spans="1:28" ht="15" customHeight="1">
      <c r="A7" s="5" t="s">
        <v>8</v>
      </c>
      <c r="B7" s="48">
        <v>99.949000000000012</v>
      </c>
      <c r="C7" s="48">
        <v>99.75800000000001</v>
      </c>
      <c r="D7" s="48">
        <v>127.66499999999999</v>
      </c>
      <c r="E7" s="48">
        <v>120.18800000000002</v>
      </c>
      <c r="F7" s="48">
        <v>132.88799999999998</v>
      </c>
      <c r="G7" s="48">
        <v>124.88600000000002</v>
      </c>
      <c r="H7" s="48">
        <v>125.46899999999999</v>
      </c>
      <c r="I7" s="48">
        <v>134.19800000000001</v>
      </c>
      <c r="J7" s="48">
        <v>140.86000000000001</v>
      </c>
      <c r="K7" s="48">
        <v>165.04</v>
      </c>
      <c r="L7" s="49">
        <v>166.023</v>
      </c>
      <c r="M7" s="6">
        <v>102.878</v>
      </c>
      <c r="N7" s="6">
        <v>85.024000000000001</v>
      </c>
      <c r="O7" s="6">
        <v>122.28100000000001</v>
      </c>
      <c r="P7" s="40">
        <v>98.325999999999993</v>
      </c>
      <c r="Q7" s="40">
        <v>89.204999999999998</v>
      </c>
      <c r="R7" s="76">
        <v>115.486</v>
      </c>
      <c r="S7" s="80">
        <v>164.43100000000001</v>
      </c>
      <c r="T7" s="83"/>
    </row>
    <row r="8" spans="1:28" ht="15" customHeight="1">
      <c r="A8" s="7" t="s">
        <v>33</v>
      </c>
      <c r="B8" s="48">
        <v>84.122000000000014</v>
      </c>
      <c r="C8" s="48">
        <v>76.107000000000028</v>
      </c>
      <c r="D8" s="48">
        <v>59.164999999999985</v>
      </c>
      <c r="E8" s="48">
        <v>52.200000000000017</v>
      </c>
      <c r="F8" s="48">
        <v>54.096999999999987</v>
      </c>
      <c r="G8" s="48">
        <v>69.681999999999988</v>
      </c>
      <c r="H8" s="48">
        <v>85.960999999999913</v>
      </c>
      <c r="I8" s="48">
        <v>68.670000000000044</v>
      </c>
      <c r="J8" s="48">
        <v>101.15700000000004</v>
      </c>
      <c r="K8" s="48">
        <v>108.94000000000005</v>
      </c>
      <c r="L8" s="49">
        <f>50.928+44.583</f>
        <v>95.510999999999996</v>
      </c>
      <c r="M8" s="6">
        <v>90.873999999999995</v>
      </c>
      <c r="N8" s="6">
        <v>75.477999999999994</v>
      </c>
      <c r="O8" s="6">
        <v>133.78700000000001</v>
      </c>
      <c r="P8" s="40">
        <v>103.86799999999999</v>
      </c>
      <c r="Q8" s="40">
        <v>111.17400000000001</v>
      </c>
      <c r="R8" s="76">
        <v>136.660597555735</v>
      </c>
      <c r="S8" s="80">
        <v>115.094204071885</v>
      </c>
      <c r="T8" s="83"/>
    </row>
    <row r="9" spans="1:28" ht="15" customHeight="1">
      <c r="A9" s="44" t="s">
        <v>34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38">
        <v>47.033000000000001</v>
      </c>
      <c r="N9" s="6">
        <v>77.622</v>
      </c>
      <c r="O9" s="6">
        <v>32.86</v>
      </c>
      <c r="P9" s="40">
        <v>87.498999999999995</v>
      </c>
      <c r="Q9" s="40">
        <v>94.132000000000005</v>
      </c>
      <c r="R9" s="76">
        <v>51.920999999999999</v>
      </c>
      <c r="S9" s="80">
        <v>13.298999999999999</v>
      </c>
      <c r="T9" s="83"/>
    </row>
    <row r="10" spans="1:28" ht="15" customHeight="1">
      <c r="A10" s="44" t="s">
        <v>36</v>
      </c>
      <c r="B10" s="50"/>
      <c r="C10" s="50"/>
      <c r="D10" s="50">
        <v>34.094000000000001</v>
      </c>
      <c r="E10" s="50">
        <v>33.314999999999998</v>
      </c>
      <c r="F10" s="50">
        <v>36.49</v>
      </c>
      <c r="G10" s="50">
        <v>34.832999999999998</v>
      </c>
      <c r="H10" s="50">
        <v>31.48</v>
      </c>
      <c r="I10" s="50">
        <v>32.119999999999997</v>
      </c>
      <c r="J10" s="50">
        <v>33.947000000000003</v>
      </c>
      <c r="K10" s="50">
        <v>39.392000000000003</v>
      </c>
      <c r="L10" s="50">
        <v>42.779000000000003</v>
      </c>
      <c r="M10" s="38">
        <v>51.247999999999998</v>
      </c>
      <c r="N10" s="6">
        <v>53.491999999999997</v>
      </c>
      <c r="O10" s="6">
        <v>52.704999999999998</v>
      </c>
      <c r="P10" s="40">
        <v>51</v>
      </c>
      <c r="Q10" s="40">
        <v>60.134999999999998</v>
      </c>
      <c r="R10" s="76">
        <v>62.506</v>
      </c>
      <c r="S10" s="80">
        <v>72.38</v>
      </c>
      <c r="T10" s="83"/>
    </row>
    <row r="11" spans="1:28" ht="15" customHeight="1">
      <c r="A11" s="65" t="s">
        <v>46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8"/>
      <c r="N11" s="6"/>
      <c r="O11" s="6"/>
      <c r="P11" s="40"/>
      <c r="Q11" s="40"/>
      <c r="R11" s="76"/>
      <c r="S11" s="80">
        <v>342.02300000000002</v>
      </c>
      <c r="T11" s="83"/>
    </row>
    <row r="12" spans="1:28" s="34" customFormat="1" ht="15" customHeight="1">
      <c r="A12" s="45" t="s">
        <v>37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46"/>
      <c r="N12" s="35"/>
      <c r="O12" s="35">
        <v>-8.09</v>
      </c>
      <c r="P12" s="47">
        <v>-11.583</v>
      </c>
      <c r="Q12" s="47">
        <v>-7.4329999999999998</v>
      </c>
      <c r="R12" s="77">
        <v>-7.0990000000000002</v>
      </c>
      <c r="S12" s="81">
        <v>-1.7809999999999999</v>
      </c>
      <c r="T12" s="84"/>
      <c r="U12" s="2"/>
      <c r="V12" s="2"/>
      <c r="W12" s="2"/>
      <c r="X12" s="2"/>
      <c r="Y12" s="2"/>
      <c r="Z12" s="2"/>
      <c r="AA12" s="2"/>
      <c r="AB12" s="2"/>
    </row>
    <row r="15" spans="1:28" ht="15" customHeight="1">
      <c r="A15" s="3" t="s">
        <v>11</v>
      </c>
    </row>
    <row r="16" spans="1:28" ht="15" customHeight="1">
      <c r="A16" s="2" t="s">
        <v>45</v>
      </c>
    </row>
    <row r="18" spans="1:16" ht="15" customHeight="1">
      <c r="A18" s="3" t="s">
        <v>10</v>
      </c>
      <c r="B18" s="21"/>
    </row>
    <row r="19" spans="1:16" ht="15" customHeight="1">
      <c r="A19" s="2" t="s">
        <v>27</v>
      </c>
      <c r="P19" s="34"/>
    </row>
    <row r="20" spans="1:16" ht="15" customHeight="1">
      <c r="A20" s="2" t="s">
        <v>35</v>
      </c>
    </row>
    <row r="21" spans="1:16" ht="15" customHeight="1">
      <c r="A21" s="2" t="s">
        <v>47</v>
      </c>
    </row>
    <row r="22" spans="1:16" ht="15" customHeight="1">
      <c r="A22" s="2" t="s">
        <v>32</v>
      </c>
    </row>
    <row r="23" spans="1:16" ht="15" customHeight="1">
      <c r="P23" s="33"/>
    </row>
    <row r="24" spans="1:16" ht="15" customHeight="1">
      <c r="A24" s="3" t="s">
        <v>51</v>
      </c>
    </row>
    <row r="25" spans="1:16" ht="15" customHeight="1">
      <c r="A25" s="4" t="s">
        <v>5</v>
      </c>
      <c r="B25" s="22">
        <v>2019</v>
      </c>
      <c r="C25" s="22">
        <v>2020</v>
      </c>
      <c r="D25" s="22">
        <v>2021</v>
      </c>
    </row>
    <row r="26" spans="1:16" ht="15" customHeight="1">
      <c r="A26" s="4" t="s">
        <v>6</v>
      </c>
      <c r="B26" s="39">
        <v>963.83</v>
      </c>
      <c r="C26" s="39">
        <v>1053.211</v>
      </c>
      <c r="D26" s="39">
        <v>862.98800000000006</v>
      </c>
      <c r="E26" s="85"/>
    </row>
    <row r="27" spans="1:16" ht="15" customHeight="1">
      <c r="A27" s="7" t="s">
        <v>31</v>
      </c>
      <c r="B27" s="42">
        <v>56.258000000000003</v>
      </c>
      <c r="C27" s="42">
        <v>53.667000000000002</v>
      </c>
      <c r="D27" s="42">
        <v>68.978999999999999</v>
      </c>
      <c r="E27" s="85"/>
    </row>
    <row r="28" spans="1:16" ht="15" customHeight="1">
      <c r="A28" s="5" t="s">
        <v>7</v>
      </c>
      <c r="B28" s="40">
        <v>521.66399999999999</v>
      </c>
      <c r="C28" s="40">
        <v>611.73900000000003</v>
      </c>
      <c r="D28" s="40">
        <v>413.87035913352702</v>
      </c>
      <c r="E28" s="85"/>
    </row>
    <row r="29" spans="1:16" ht="15" customHeight="1">
      <c r="A29" s="7" t="s">
        <v>50</v>
      </c>
      <c r="B29" s="40">
        <v>189.59700000000001</v>
      </c>
      <c r="C29" s="40">
        <v>188.506</v>
      </c>
      <c r="D29" s="40">
        <v>207.505</v>
      </c>
      <c r="E29" s="85"/>
    </row>
    <row r="30" spans="1:16" ht="15" customHeight="1">
      <c r="A30" s="7" t="s">
        <v>48</v>
      </c>
      <c r="B30" s="40">
        <v>16.73</v>
      </c>
      <c r="C30" s="40">
        <v>15.784000000000001</v>
      </c>
      <c r="D30" s="40">
        <v>8.2710000000000008</v>
      </c>
      <c r="E30" s="85"/>
    </row>
    <row r="31" spans="1:16" ht="15" customHeight="1">
      <c r="A31" s="7" t="s">
        <v>49</v>
      </c>
      <c r="B31" s="40">
        <v>5.1920000000000002</v>
      </c>
      <c r="C31" s="40">
        <v>3.3279999999999998</v>
      </c>
      <c r="D31" s="40">
        <v>3.637</v>
      </c>
      <c r="E31" s="85"/>
    </row>
    <row r="32" spans="1:16" ht="15" customHeight="1">
      <c r="A32" s="7" t="s">
        <v>33</v>
      </c>
      <c r="B32" s="40">
        <v>94.218999999999994</v>
      </c>
      <c r="C32" s="40">
        <v>101.53700000000001</v>
      </c>
      <c r="D32" s="40">
        <v>76.584640866473507</v>
      </c>
      <c r="E32" s="85"/>
    </row>
    <row r="33" spans="1:4" ht="15" customHeight="1">
      <c r="A33" s="44" t="s">
        <v>36</v>
      </c>
      <c r="B33" s="40">
        <v>80.742999999999995</v>
      </c>
      <c r="C33" s="40">
        <v>78.835999999999999</v>
      </c>
      <c r="D33" s="40">
        <v>84.543000000000006</v>
      </c>
    </row>
    <row r="34" spans="1:4" ht="15" customHeight="1">
      <c r="A34" s="45" t="s">
        <v>37</v>
      </c>
      <c r="B34" s="47">
        <v>-0.57299999999999995</v>
      </c>
      <c r="C34" s="47">
        <v>-0.185</v>
      </c>
      <c r="D34" s="47">
        <v>-0.40200000000000002</v>
      </c>
    </row>
    <row r="35" spans="1:4" ht="15" customHeight="1">
      <c r="B35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inhoud</vt:lpstr>
      <vt:lpstr>Inkomsten naar bron (%)</vt:lpstr>
      <vt:lpstr>inkomsten-vanaf 2001</vt:lpstr>
      <vt:lpstr>Uitgaven naar bestemming (%)</vt:lpstr>
      <vt:lpstr>uitgaven vanaf 2001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Nelleke van den Broek-Honingh</cp:lastModifiedBy>
  <cp:lastPrinted>2015-08-10T11:12:50Z</cp:lastPrinted>
  <dcterms:created xsi:type="dcterms:W3CDTF">2009-09-30T13:38:46Z</dcterms:created>
  <dcterms:modified xsi:type="dcterms:W3CDTF">2022-10-07T15:18:28Z</dcterms:modified>
</cp:coreProperties>
</file>