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rathenau$\group\Microdata\F&amp;C publicaties\24 TWIN 2016-2022 begroting 2018\18TwIn_Data\YYPrCd_WrkDat\"/>
    </mc:Choice>
  </mc:AlternateContent>
  <bookViews>
    <workbookView xWindow="0" yWindow="0" windowWidth="28800" windowHeight="11700"/>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10" r:id="rId8"/>
    <sheet name="NABS 2007" sheetId="7" r:id="rId9"/>
  </sheets>
  <externalReferences>
    <externalReference r:id="rId10"/>
  </externalReferences>
  <definedNames>
    <definedName name="_xlnm.Print_Area" localSheetId="6">Fiscaal!$A$1:$I$32</definedName>
    <definedName name="_xlnm.Print_Area" localSheetId="0">Inhoud!$B$1:$B$11</definedName>
    <definedName name="_xlnm.Print_Area" localSheetId="4">Innovatie!$A$1:$L$106</definedName>
    <definedName name="_xlnm.Print_Area" localSheetId="3">'R&amp;D'!$A$1:$V$277</definedName>
    <definedName name="_xlnm.Print_Area" localSheetId="1">Toelichting!$A$1:$A$54</definedName>
    <definedName name="_xlnm.Print_Titles" localSheetId="4">Innovatie!$A:$B,Innovatie!$2:$3</definedName>
    <definedName name="_xlnm.Print_Titles" localSheetId="3">'R&amp;D'!$A:$B,'R&amp;D'!$3:$4</definedName>
    <definedName name="_xlnm.Print_Titles" localSheetId="7">Type!$A:$B,Type!$3:$4</definedName>
  </definedNames>
  <calcPr calcId="162913"/>
</workbook>
</file>

<file path=xl/calcChain.xml><?xml version="1.0" encoding="utf-8"?>
<calcChain xmlns="http://schemas.openxmlformats.org/spreadsheetml/2006/main">
  <c r="F19" i="4" l="1"/>
  <c r="B313" i="10" l="1"/>
  <c r="B314" i="10"/>
  <c r="B315" i="10"/>
  <c r="B316" i="10"/>
  <c r="B317" i="10"/>
  <c r="B318" i="10"/>
  <c r="B319" i="10"/>
  <c r="B320" i="10"/>
  <c r="B321" i="10"/>
  <c r="B312" i="10"/>
  <c r="B300" i="10"/>
  <c r="B301" i="10"/>
  <c r="B302" i="10"/>
  <c r="B303" i="10"/>
  <c r="B304" i="10"/>
  <c r="B305" i="10"/>
  <c r="B306" i="10"/>
  <c r="B307" i="10"/>
  <c r="B308" i="10"/>
  <c r="B299" i="10"/>
  <c r="B287" i="10"/>
  <c r="B288" i="10"/>
  <c r="B289" i="10"/>
  <c r="B290" i="10"/>
  <c r="B291" i="10"/>
  <c r="B292" i="10"/>
  <c r="B293" i="10"/>
  <c r="B294" i="10"/>
  <c r="B295" i="10"/>
  <c r="B286" i="10"/>
  <c r="B274" i="10"/>
  <c r="B275" i="10"/>
  <c r="B276" i="10"/>
  <c r="B277" i="10"/>
  <c r="B278" i="10"/>
  <c r="B279" i="10"/>
  <c r="B280" i="10"/>
  <c r="B281" i="10"/>
  <c r="B282" i="10"/>
  <c r="B273" i="10"/>
  <c r="A48" i="8"/>
  <c r="A49" i="8"/>
  <c r="A50" i="8"/>
  <c r="A51" i="8"/>
  <c r="A52" i="8"/>
  <c r="A53" i="8"/>
  <c r="A54" i="8"/>
  <c r="A55" i="8"/>
  <c r="A56" i="8"/>
  <c r="A47" i="8"/>
  <c r="A34" i="8"/>
  <c r="A35" i="8"/>
  <c r="A36" i="8"/>
  <c r="A37" i="8"/>
  <c r="A38" i="8"/>
  <c r="A39" i="8"/>
  <c r="A40" i="8"/>
  <c r="A41" i="8"/>
  <c r="A42" i="8"/>
  <c r="A33" i="8"/>
  <c r="A20" i="8"/>
  <c r="A21" i="8"/>
  <c r="A22" i="8"/>
  <c r="A23" i="8"/>
  <c r="A24" i="8"/>
  <c r="A25" i="8"/>
  <c r="A26" i="8"/>
  <c r="A27" i="8"/>
  <c r="A28" i="8"/>
  <c r="A19" i="8"/>
  <c r="G19" i="4" l="1"/>
  <c r="H19" i="4" s="1"/>
  <c r="I19" i="4" s="1"/>
  <c r="D295" i="10" l="1"/>
  <c r="E295" i="10"/>
  <c r="F295" i="10"/>
  <c r="G295" i="10"/>
  <c r="H295" i="10"/>
  <c r="I295" i="10"/>
  <c r="C295" i="10"/>
  <c r="D294" i="10"/>
  <c r="E294" i="10"/>
  <c r="F294" i="10"/>
  <c r="G294" i="10"/>
  <c r="H294" i="10"/>
  <c r="I294" i="10"/>
  <c r="C294" i="10"/>
  <c r="D293" i="10"/>
  <c r="E293" i="10"/>
  <c r="F293" i="10"/>
  <c r="G293" i="10"/>
  <c r="H293" i="10"/>
  <c r="I293" i="10"/>
  <c r="C293" i="10"/>
  <c r="D292" i="10"/>
  <c r="E292" i="10"/>
  <c r="F292" i="10"/>
  <c r="F305" i="10" s="1"/>
  <c r="G292" i="10"/>
  <c r="H292" i="10"/>
  <c r="I292" i="10"/>
  <c r="C292" i="10"/>
  <c r="D291" i="10"/>
  <c r="E291" i="10"/>
  <c r="F291" i="10"/>
  <c r="G291" i="10"/>
  <c r="H291" i="10"/>
  <c r="I291" i="10"/>
  <c r="C291" i="10"/>
  <c r="D290" i="10"/>
  <c r="E290" i="10"/>
  <c r="F290" i="10"/>
  <c r="G290" i="10"/>
  <c r="H290" i="10"/>
  <c r="I290" i="10"/>
  <c r="C290" i="10"/>
  <c r="D288" i="10"/>
  <c r="E288" i="10"/>
  <c r="F288" i="10"/>
  <c r="G288" i="10"/>
  <c r="H288" i="10"/>
  <c r="I288" i="10"/>
  <c r="C288" i="10"/>
  <c r="D287" i="10"/>
  <c r="E287" i="10"/>
  <c r="F287" i="10"/>
  <c r="G287" i="10"/>
  <c r="H287" i="10"/>
  <c r="I287" i="10"/>
  <c r="C287" i="10"/>
  <c r="E304" i="10"/>
  <c r="E317" i="10" s="1"/>
  <c r="G306" i="10"/>
  <c r="G319" i="10" s="1"/>
  <c r="H307" i="10"/>
  <c r="C289" i="10"/>
  <c r="D289" i="10"/>
  <c r="E289" i="10"/>
  <c r="E302" i="10" s="1"/>
  <c r="F289" i="10"/>
  <c r="G289" i="10"/>
  <c r="H289" i="10"/>
  <c r="I289" i="10"/>
  <c r="D286" i="10"/>
  <c r="E286" i="10"/>
  <c r="F286" i="10"/>
  <c r="G286" i="10"/>
  <c r="H286" i="10"/>
  <c r="I286" i="10"/>
  <c r="C286" i="10"/>
  <c r="D280" i="10"/>
  <c r="E280" i="10"/>
  <c r="F280" i="10"/>
  <c r="G280" i="10"/>
  <c r="H280" i="10"/>
  <c r="I280" i="10"/>
  <c r="D281" i="10"/>
  <c r="E281" i="10"/>
  <c r="F281" i="10"/>
  <c r="G281" i="10"/>
  <c r="H281" i="10"/>
  <c r="I281" i="10"/>
  <c r="D282" i="10"/>
  <c r="E282" i="10"/>
  <c r="E308" i="10" s="1"/>
  <c r="E321" i="10" s="1"/>
  <c r="F282" i="10"/>
  <c r="G282" i="10"/>
  <c r="H282" i="10"/>
  <c r="I282" i="10"/>
  <c r="C282" i="10"/>
  <c r="C281" i="10"/>
  <c r="C280" i="10"/>
  <c r="D279" i="10"/>
  <c r="E279" i="10"/>
  <c r="F279" i="10"/>
  <c r="G279" i="10"/>
  <c r="H279" i="10"/>
  <c r="I279" i="10"/>
  <c r="C279" i="10"/>
  <c r="D278" i="10"/>
  <c r="E278" i="10"/>
  <c r="F278" i="10"/>
  <c r="G278" i="10"/>
  <c r="H278" i="10"/>
  <c r="I278" i="10"/>
  <c r="C278" i="10"/>
  <c r="D277" i="10"/>
  <c r="D303" i="10" s="1"/>
  <c r="D316" i="10" s="1"/>
  <c r="E277" i="10"/>
  <c r="F277" i="10"/>
  <c r="G277" i="10"/>
  <c r="H277" i="10"/>
  <c r="I277" i="10"/>
  <c r="C277" i="10"/>
  <c r="D276" i="10"/>
  <c r="E276" i="10"/>
  <c r="F276" i="10"/>
  <c r="G276" i="10"/>
  <c r="H276" i="10"/>
  <c r="I276" i="10"/>
  <c r="I302" i="10" s="1"/>
  <c r="C276" i="10"/>
  <c r="D275" i="10"/>
  <c r="E275" i="10"/>
  <c r="F275" i="10"/>
  <c r="G275" i="10"/>
  <c r="H275" i="10"/>
  <c r="I275" i="10"/>
  <c r="C275" i="10"/>
  <c r="D274" i="10"/>
  <c r="E274" i="10"/>
  <c r="F274" i="10"/>
  <c r="G274" i="10"/>
  <c r="H274" i="10"/>
  <c r="I274" i="10"/>
  <c r="C274" i="10"/>
  <c r="D273" i="10"/>
  <c r="E273" i="10"/>
  <c r="F273" i="10"/>
  <c r="G273" i="10"/>
  <c r="H273" i="10"/>
  <c r="H299" i="10" s="1"/>
  <c r="H312" i="10" s="1"/>
  <c r="I273" i="10"/>
  <c r="I299" i="10" s="1"/>
  <c r="C273" i="10"/>
  <c r="I308" i="10"/>
  <c r="I304" i="10"/>
  <c r="I317" i="10" s="1"/>
  <c r="D23" i="10"/>
  <c r="E23" i="10"/>
  <c r="F23" i="10"/>
  <c r="G23" i="10"/>
  <c r="H23" i="10"/>
  <c r="I23" i="10"/>
  <c r="C23" i="10"/>
  <c r="H302" i="10" l="1"/>
  <c r="H315" i="10" s="1"/>
  <c r="G302" i="10"/>
  <c r="G315" i="10" s="1"/>
  <c r="F302" i="10"/>
  <c r="F315" i="10" s="1"/>
  <c r="D302" i="10"/>
  <c r="D315" i="10" s="1"/>
  <c r="C302" i="10"/>
  <c r="C315" i="10" s="1"/>
  <c r="G299" i="10"/>
  <c r="G312" i="10" s="1"/>
  <c r="F299" i="10"/>
  <c r="F312" i="10" s="1"/>
  <c r="E299" i="10"/>
  <c r="E312" i="10" s="1"/>
  <c r="D299" i="10"/>
  <c r="D312" i="10" s="1"/>
  <c r="C299" i="10"/>
  <c r="H300" i="10"/>
  <c r="H313" i="10" s="1"/>
  <c r="F301" i="10"/>
  <c r="F314" i="10" s="1"/>
  <c r="G300" i="10"/>
  <c r="G313" i="10" s="1"/>
  <c r="I300" i="10"/>
  <c r="I313" i="10" s="1"/>
  <c r="E303" i="10"/>
  <c r="E316" i="10" s="1"/>
  <c r="F304" i="10"/>
  <c r="F317" i="10" s="1"/>
  <c r="G305" i="10"/>
  <c r="G318" i="10" s="1"/>
  <c r="H306" i="10"/>
  <c r="H319" i="10" s="1"/>
  <c r="I307" i="10"/>
  <c r="I320" i="10" s="1"/>
  <c r="I303" i="10"/>
  <c r="I316" i="10" s="1"/>
  <c r="D306" i="10"/>
  <c r="D319" i="10" s="1"/>
  <c r="F308" i="10"/>
  <c r="F321" i="10" s="1"/>
  <c r="D305" i="10"/>
  <c r="D318" i="10" s="1"/>
  <c r="E306" i="10"/>
  <c r="E319" i="10" s="1"/>
  <c r="C305" i="10"/>
  <c r="C318" i="10" s="1"/>
  <c r="E307" i="10"/>
  <c r="E320" i="10" s="1"/>
  <c r="C301" i="10"/>
  <c r="C314" i="10" s="1"/>
  <c r="C303" i="10"/>
  <c r="C316" i="10" s="1"/>
  <c r="D304" i="10"/>
  <c r="D317" i="10" s="1"/>
  <c r="E305" i="10"/>
  <c r="E318" i="10" s="1"/>
  <c r="F306" i="10"/>
  <c r="F319" i="10" s="1"/>
  <c r="H308" i="10"/>
  <c r="H321" i="10" s="1"/>
  <c r="G308" i="10"/>
  <c r="G321" i="10" s="1"/>
  <c r="H320" i="10"/>
  <c r="F303" i="10"/>
  <c r="F316" i="10" s="1"/>
  <c r="G304" i="10"/>
  <c r="G317" i="10" s="1"/>
  <c r="H305" i="10"/>
  <c r="H318" i="10" s="1"/>
  <c r="I306" i="10"/>
  <c r="I319" i="10" s="1"/>
  <c r="C308" i="10"/>
  <c r="C321" i="10" s="1"/>
  <c r="I321" i="10"/>
  <c r="G303" i="10"/>
  <c r="G316" i="10" s="1"/>
  <c r="H304" i="10"/>
  <c r="H317" i="10" s="1"/>
  <c r="I305" i="10"/>
  <c r="I318" i="10" s="1"/>
  <c r="C307" i="10"/>
  <c r="C320" i="10" s="1"/>
  <c r="D308" i="10"/>
  <c r="D321" i="10" s="1"/>
  <c r="C296" i="10"/>
  <c r="F318" i="10"/>
  <c r="D296" i="10"/>
  <c r="G301" i="10"/>
  <c r="G314" i="10" s="1"/>
  <c r="H303" i="10"/>
  <c r="H316" i="10" s="1"/>
  <c r="C306" i="10"/>
  <c r="C319" i="10" s="1"/>
  <c r="D307" i="10"/>
  <c r="D320" i="10" s="1"/>
  <c r="E300" i="10"/>
  <c r="E313" i="10" s="1"/>
  <c r="F300" i="10"/>
  <c r="F313" i="10" s="1"/>
  <c r="C283" i="10"/>
  <c r="C300" i="10"/>
  <c r="D301" i="10"/>
  <c r="D314" i="10" s="1"/>
  <c r="D283" i="10"/>
  <c r="D300" i="10"/>
  <c r="D313" i="10" s="1"/>
  <c r="E301" i="10"/>
  <c r="E314" i="10" s="1"/>
  <c r="H283" i="10"/>
  <c r="E296" i="10"/>
  <c r="I283" i="10"/>
  <c r="F296" i="10"/>
  <c r="C312" i="10"/>
  <c r="G296" i="10"/>
  <c r="F283" i="10"/>
  <c r="I315" i="10"/>
  <c r="H296" i="10"/>
  <c r="H301" i="10"/>
  <c r="H314" i="10" s="1"/>
  <c r="I312" i="10"/>
  <c r="G283" i="10"/>
  <c r="I296" i="10"/>
  <c r="I301" i="10"/>
  <c r="I314" i="10" s="1"/>
  <c r="F307" i="10"/>
  <c r="F320" i="10" s="1"/>
  <c r="E315" i="10"/>
  <c r="C304" i="10"/>
  <c r="C317" i="10" s="1"/>
  <c r="G307" i="10"/>
  <c r="G320" i="10" s="1"/>
  <c r="E283" i="10"/>
  <c r="I309" i="10" l="1"/>
  <c r="I322" i="10" s="1"/>
  <c r="G309" i="10"/>
  <c r="G322" i="10" s="1"/>
  <c r="C309" i="10"/>
  <c r="C322" i="10" s="1"/>
  <c r="E309" i="10"/>
  <c r="E322" i="10" s="1"/>
  <c r="H309" i="10"/>
  <c r="H322" i="10" s="1"/>
  <c r="D309" i="10"/>
  <c r="D322" i="10" s="1"/>
  <c r="C313" i="10"/>
  <c r="F309" i="10"/>
  <c r="F322" i="10" s="1"/>
  <c r="H48" i="10" l="1"/>
  <c r="G48" i="10"/>
  <c r="F48" i="10"/>
  <c r="E48" i="10"/>
  <c r="D48" i="10"/>
  <c r="C48" i="10"/>
  <c r="I47" i="10"/>
  <c r="H47" i="10"/>
  <c r="G47" i="10"/>
  <c r="F47" i="10"/>
  <c r="E47" i="10"/>
  <c r="D47" i="10"/>
  <c r="C47" i="10"/>
  <c r="I250" i="10"/>
  <c r="I265" i="10" s="1"/>
  <c r="H250" i="10"/>
  <c r="H265" i="10" s="1"/>
  <c r="G250" i="10"/>
  <c r="G265" i="10" s="1"/>
  <c r="F250" i="10"/>
  <c r="F265" i="10" s="1"/>
  <c r="E250" i="10"/>
  <c r="E265" i="10" s="1"/>
  <c r="D250" i="10"/>
  <c r="D265" i="10" s="1"/>
  <c r="C250" i="10"/>
  <c r="C265" i="10" s="1"/>
  <c r="I227" i="10"/>
  <c r="I264" i="10" s="1"/>
  <c r="H227" i="10"/>
  <c r="H264" i="10" s="1"/>
  <c r="G227" i="10"/>
  <c r="G264" i="10" s="1"/>
  <c r="F227" i="10"/>
  <c r="F264" i="10" s="1"/>
  <c r="E227" i="10"/>
  <c r="E264" i="10" s="1"/>
  <c r="D227" i="10"/>
  <c r="D264" i="10" s="1"/>
  <c r="C227" i="10"/>
  <c r="C264" i="10" s="1"/>
  <c r="I219" i="10"/>
  <c r="I263" i="10" s="1"/>
  <c r="H219" i="10"/>
  <c r="H263" i="10" s="1"/>
  <c r="G219" i="10"/>
  <c r="G263" i="10" s="1"/>
  <c r="F219" i="10"/>
  <c r="F263" i="10" s="1"/>
  <c r="E219" i="10"/>
  <c r="E263" i="10" s="1"/>
  <c r="D219" i="10"/>
  <c r="D263" i="10" s="1"/>
  <c r="C219" i="10"/>
  <c r="C263" i="10" s="1"/>
  <c r="I105" i="10"/>
  <c r="I262" i="10" s="1"/>
  <c r="H105" i="10"/>
  <c r="H262" i="10" s="1"/>
  <c r="G105" i="10"/>
  <c r="G262" i="10" s="1"/>
  <c r="F105" i="10"/>
  <c r="F262" i="10" s="1"/>
  <c r="E105" i="10"/>
  <c r="E262" i="10" s="1"/>
  <c r="D105" i="10"/>
  <c r="D262" i="10" s="1"/>
  <c r="C105" i="10"/>
  <c r="C262" i="10" s="1"/>
  <c r="J101" i="10"/>
  <c r="I72" i="10"/>
  <c r="I261" i="10" s="1"/>
  <c r="H72" i="10"/>
  <c r="H261" i="10" s="1"/>
  <c r="G72" i="10"/>
  <c r="G261" i="10" s="1"/>
  <c r="F72" i="10"/>
  <c r="F261" i="10" s="1"/>
  <c r="E72" i="10"/>
  <c r="E261" i="10" s="1"/>
  <c r="D72" i="10"/>
  <c r="D261" i="10" s="1"/>
  <c r="C72" i="10"/>
  <c r="C261" i="10" s="1"/>
  <c r="I59" i="10"/>
  <c r="H59" i="10"/>
  <c r="G59" i="10"/>
  <c r="F59" i="10"/>
  <c r="E59" i="10"/>
  <c r="D59" i="10"/>
  <c r="C59" i="10"/>
  <c r="I29" i="10"/>
  <c r="I259" i="10" s="1"/>
  <c r="H29" i="10"/>
  <c r="H259" i="10" s="1"/>
  <c r="G29" i="10"/>
  <c r="G259" i="10" s="1"/>
  <c r="F29" i="10"/>
  <c r="F259" i="10" s="1"/>
  <c r="E29" i="10"/>
  <c r="E259" i="10" s="1"/>
  <c r="D29" i="10"/>
  <c r="D259" i="10" s="1"/>
  <c r="C29" i="10"/>
  <c r="C259" i="10" s="1"/>
  <c r="I258" i="10"/>
  <c r="H258" i="10"/>
  <c r="G258" i="10"/>
  <c r="F258" i="10"/>
  <c r="E258" i="10"/>
  <c r="D258" i="10"/>
  <c r="C258" i="10"/>
  <c r="I16" i="10"/>
  <c r="I257" i="10" s="1"/>
  <c r="H16" i="10"/>
  <c r="H257" i="10" s="1"/>
  <c r="G16" i="10"/>
  <c r="G257" i="10" s="1"/>
  <c r="F16" i="10"/>
  <c r="F257" i="10" s="1"/>
  <c r="E16" i="10"/>
  <c r="E257" i="10" s="1"/>
  <c r="D16" i="10"/>
  <c r="D257" i="10" s="1"/>
  <c r="C16" i="10"/>
  <c r="C257" i="10" s="1"/>
  <c r="I8" i="10"/>
  <c r="H8" i="10"/>
  <c r="H256" i="10" s="1"/>
  <c r="G8" i="10"/>
  <c r="G256" i="10" s="1"/>
  <c r="F8" i="10"/>
  <c r="F256" i="10" s="1"/>
  <c r="E8" i="10"/>
  <c r="E256" i="10" s="1"/>
  <c r="D8" i="10"/>
  <c r="C8" i="10"/>
  <c r="C256" i="10" s="1"/>
  <c r="I4" i="10"/>
  <c r="H4" i="10"/>
  <c r="G4" i="10"/>
  <c r="F4" i="10"/>
  <c r="E4" i="10"/>
  <c r="D4" i="10"/>
  <c r="C4" i="10"/>
  <c r="C255" i="10" l="1"/>
  <c r="C272" i="10"/>
  <c r="C285" i="10" s="1"/>
  <c r="C298" i="10" s="1"/>
  <c r="C311" i="10" s="1"/>
  <c r="C3" i="7"/>
  <c r="E255" i="10"/>
  <c r="E272" i="10"/>
  <c r="E285" i="10" s="1"/>
  <c r="E298" i="10" s="1"/>
  <c r="E311" i="10" s="1"/>
  <c r="E3" i="7"/>
  <c r="I255" i="10"/>
  <c r="I272" i="10"/>
  <c r="I285" i="10" s="1"/>
  <c r="I298" i="10" s="1"/>
  <c r="I311" i="10" s="1"/>
  <c r="I3" i="7"/>
  <c r="F272" i="10"/>
  <c r="F285" i="10" s="1"/>
  <c r="F298" i="10" s="1"/>
  <c r="F311" i="10" s="1"/>
  <c r="F3" i="7"/>
  <c r="G255" i="10"/>
  <c r="G3" i="7"/>
  <c r="G272" i="10"/>
  <c r="G285" i="10" s="1"/>
  <c r="G298" i="10" s="1"/>
  <c r="G311" i="10" s="1"/>
  <c r="D255" i="10"/>
  <c r="D3" i="7"/>
  <c r="D272" i="10"/>
  <c r="D285" i="10" s="1"/>
  <c r="D298" i="10" s="1"/>
  <c r="D311" i="10" s="1"/>
  <c r="H255" i="10"/>
  <c r="H3" i="7"/>
  <c r="H272" i="10"/>
  <c r="H285" i="10" s="1"/>
  <c r="H298" i="10" s="1"/>
  <c r="H311" i="10" s="1"/>
  <c r="D64" i="10"/>
  <c r="D260" i="10" s="1"/>
  <c r="K264" i="10"/>
  <c r="E64" i="10"/>
  <c r="E260" i="10" s="1"/>
  <c r="E266" i="10" s="1"/>
  <c r="F64" i="10"/>
  <c r="F260" i="10" s="1"/>
  <c r="F266" i="10" s="1"/>
  <c r="G64" i="10"/>
  <c r="G260" i="10" s="1"/>
  <c r="G266" i="10" s="1"/>
  <c r="H64" i="10"/>
  <c r="H260" i="10" s="1"/>
  <c r="H266" i="10" s="1"/>
  <c r="K265" i="10"/>
  <c r="K263" i="10"/>
  <c r="K262" i="10"/>
  <c r="K259" i="10"/>
  <c r="L258" i="10"/>
  <c r="C64" i="10"/>
  <c r="C260" i="10" s="1"/>
  <c r="C266" i="10" s="1"/>
  <c r="K257" i="10"/>
  <c r="D256" i="10"/>
  <c r="L265" i="10"/>
  <c r="I256" i="10"/>
  <c r="L264" i="10"/>
  <c r="F255" i="10"/>
  <c r="I64" i="10"/>
  <c r="I260" i="10" s="1"/>
  <c r="L262" i="10"/>
  <c r="L263" i="10"/>
  <c r="K261" i="10"/>
  <c r="K258" i="10"/>
  <c r="L257" i="10"/>
  <c r="L259" i="10"/>
  <c r="L261" i="10"/>
  <c r="O39" i="1"/>
  <c r="O38" i="1"/>
  <c r="F252" i="10" l="1"/>
  <c r="G252" i="10"/>
  <c r="D252" i="10"/>
  <c r="D266" i="10"/>
  <c r="E252" i="10"/>
  <c r="H252" i="10"/>
  <c r="C252" i="10"/>
  <c r="K260" i="10"/>
  <c r="L260" i="10"/>
  <c r="K256" i="10"/>
  <c r="I266" i="10"/>
  <c r="L256" i="10"/>
  <c r="I252" i="10"/>
  <c r="D5" i="3"/>
  <c r="C5" i="3"/>
  <c r="E5" i="3" s="1"/>
  <c r="F5" i="3" s="1"/>
  <c r="G5" i="3" s="1"/>
  <c r="H5" i="3" s="1"/>
  <c r="B5" i="3"/>
  <c r="K266" i="10" l="1"/>
  <c r="L266" i="10"/>
  <c r="H60" i="1"/>
  <c r="G60" i="1"/>
  <c r="F60" i="1"/>
  <c r="E60" i="1"/>
  <c r="D60" i="1"/>
  <c r="C60" i="1"/>
  <c r="I59" i="1"/>
  <c r="H59" i="1"/>
  <c r="G59" i="1"/>
  <c r="F59" i="1"/>
  <c r="E59" i="1"/>
  <c r="D59" i="1"/>
  <c r="C59" i="1"/>
  <c r="I50" i="1"/>
  <c r="H50" i="1"/>
  <c r="G50" i="1"/>
  <c r="F50" i="1"/>
  <c r="E50" i="1"/>
  <c r="D50" i="1"/>
  <c r="C50" i="1"/>
  <c r="V172" i="1" l="1"/>
  <c r="U172" i="1"/>
  <c r="T172" i="1"/>
  <c r="S172" i="1"/>
  <c r="R172" i="1"/>
  <c r="Q172" i="1"/>
  <c r="P172" i="1"/>
  <c r="V171" i="1"/>
  <c r="U171" i="1"/>
  <c r="T171" i="1"/>
  <c r="S171" i="1"/>
  <c r="R171" i="1"/>
  <c r="Q171" i="1"/>
  <c r="P171" i="1"/>
  <c r="V151" i="1" l="1"/>
  <c r="U151" i="1"/>
  <c r="T151" i="1"/>
  <c r="S151" i="1"/>
  <c r="R151" i="1"/>
  <c r="Q151" i="1"/>
  <c r="P151" i="1"/>
  <c r="V150" i="1"/>
  <c r="U150" i="1"/>
  <c r="T150" i="1"/>
  <c r="S150" i="1"/>
  <c r="R150" i="1"/>
  <c r="Q150" i="1"/>
  <c r="P150" i="1"/>
  <c r="V222" i="1"/>
  <c r="U222" i="1"/>
  <c r="T222" i="1"/>
  <c r="S222" i="1"/>
  <c r="R222" i="1"/>
  <c r="Q222" i="1"/>
  <c r="V221" i="1"/>
  <c r="U221" i="1"/>
  <c r="T221" i="1"/>
  <c r="S221" i="1"/>
  <c r="R221" i="1"/>
  <c r="Q221" i="1"/>
  <c r="V220" i="1"/>
  <c r="U220" i="1"/>
  <c r="T220" i="1"/>
  <c r="S220" i="1"/>
  <c r="R220" i="1"/>
  <c r="Q220" i="1"/>
  <c r="V219" i="1"/>
  <c r="U219" i="1"/>
  <c r="T219" i="1"/>
  <c r="S219" i="1"/>
  <c r="R219" i="1"/>
  <c r="Q219" i="1"/>
  <c r="V218" i="1"/>
  <c r="U218" i="1"/>
  <c r="T218" i="1"/>
  <c r="S218" i="1"/>
  <c r="R218" i="1"/>
  <c r="Q218" i="1"/>
  <c r="V217" i="1"/>
  <c r="U217" i="1"/>
  <c r="T217" i="1"/>
  <c r="S217" i="1"/>
  <c r="R217" i="1"/>
  <c r="Q217" i="1"/>
  <c r="V216" i="1"/>
  <c r="U216" i="1"/>
  <c r="T216" i="1"/>
  <c r="S216" i="1"/>
  <c r="R216" i="1"/>
  <c r="Q216" i="1"/>
  <c r="V215" i="1"/>
  <c r="U215" i="1"/>
  <c r="T215" i="1"/>
  <c r="S215" i="1"/>
  <c r="R215" i="1"/>
  <c r="Q215" i="1"/>
  <c r="V214" i="1"/>
  <c r="U214" i="1"/>
  <c r="T214" i="1"/>
  <c r="S214" i="1"/>
  <c r="R214" i="1"/>
  <c r="Q214" i="1"/>
  <c r="P222" i="1"/>
  <c r="P221" i="1"/>
  <c r="P220" i="1"/>
  <c r="P219" i="1"/>
  <c r="P218" i="1"/>
  <c r="P217" i="1"/>
  <c r="P216" i="1"/>
  <c r="P215" i="1"/>
  <c r="P214" i="1"/>
  <c r="V210" i="1"/>
  <c r="T210" i="1"/>
  <c r="R210" i="1"/>
  <c r="P210" i="1"/>
  <c r="U210" i="1"/>
  <c r="S210" i="1"/>
  <c r="Q210" i="1"/>
  <c r="P208" i="1"/>
  <c r="V206" i="1"/>
  <c r="U206" i="1"/>
  <c r="T206" i="1"/>
  <c r="S206" i="1"/>
  <c r="R206" i="1"/>
  <c r="Q206" i="1"/>
  <c r="P206" i="1"/>
  <c r="C82" i="2"/>
  <c r="I89" i="2"/>
  <c r="H89" i="2"/>
  <c r="G89" i="2"/>
  <c r="F89" i="2"/>
  <c r="E89" i="2"/>
  <c r="D89" i="2"/>
  <c r="C89" i="2"/>
  <c r="V201" i="1"/>
  <c r="U201" i="1"/>
  <c r="T201" i="1"/>
  <c r="S201" i="1"/>
  <c r="R201" i="1"/>
  <c r="Q201" i="1"/>
  <c r="P201" i="1"/>
  <c r="V199" i="1"/>
  <c r="U199" i="1"/>
  <c r="R199" i="1"/>
  <c r="Q199" i="1"/>
  <c r="T199" i="1"/>
  <c r="S199" i="1"/>
  <c r="P199" i="1"/>
  <c r="V188" i="1"/>
  <c r="U188" i="1"/>
  <c r="T188" i="1"/>
  <c r="S188" i="1"/>
  <c r="R188" i="1"/>
  <c r="Q188" i="1"/>
  <c r="P188" i="1"/>
  <c r="V187" i="1"/>
  <c r="U187" i="1"/>
  <c r="T187" i="1"/>
  <c r="S187" i="1"/>
  <c r="R187" i="1"/>
  <c r="Q187" i="1"/>
  <c r="P187" i="1"/>
  <c r="V186" i="1"/>
  <c r="U186" i="1"/>
  <c r="T186" i="1"/>
  <c r="S186" i="1"/>
  <c r="R186" i="1"/>
  <c r="Q186" i="1"/>
  <c r="P186" i="1"/>
  <c r="V185" i="1"/>
  <c r="U185" i="1"/>
  <c r="T185" i="1"/>
  <c r="S185" i="1"/>
  <c r="R185" i="1"/>
  <c r="Q185" i="1"/>
  <c r="P185" i="1"/>
  <c r="V184" i="1"/>
  <c r="U184" i="1"/>
  <c r="T184" i="1"/>
  <c r="S184" i="1"/>
  <c r="R184" i="1"/>
  <c r="Q184" i="1"/>
  <c r="P184" i="1"/>
  <c r="V182" i="1"/>
  <c r="U182" i="1"/>
  <c r="T182" i="1"/>
  <c r="S182" i="1"/>
  <c r="R182" i="1"/>
  <c r="Q182" i="1"/>
  <c r="P182" i="1"/>
  <c r="V180" i="1"/>
  <c r="T180" i="1"/>
  <c r="R180" i="1"/>
  <c r="Q180" i="1"/>
  <c r="P180" i="1"/>
  <c r="U180" i="1"/>
  <c r="S180" i="1"/>
  <c r="V177" i="1"/>
  <c r="U177" i="1"/>
  <c r="T177" i="1"/>
  <c r="S177" i="1"/>
  <c r="R177" i="1"/>
  <c r="Q177" i="1"/>
  <c r="P177" i="1"/>
  <c r="V176" i="1"/>
  <c r="U176" i="1"/>
  <c r="T176" i="1"/>
  <c r="S176" i="1"/>
  <c r="R176" i="1"/>
  <c r="Q176" i="1"/>
  <c r="P176" i="1"/>
  <c r="V175" i="1"/>
  <c r="U175" i="1"/>
  <c r="T175" i="1"/>
  <c r="S175" i="1"/>
  <c r="R175" i="1"/>
  <c r="Q175" i="1"/>
  <c r="P175" i="1"/>
  <c r="T174" i="1"/>
  <c r="S174" i="1"/>
  <c r="P174" i="1"/>
  <c r="V174" i="1"/>
  <c r="U174" i="1"/>
  <c r="R174" i="1"/>
  <c r="Q174" i="1"/>
  <c r="V170" i="1" l="1"/>
  <c r="U170" i="1"/>
  <c r="T170" i="1"/>
  <c r="R170" i="1"/>
  <c r="P170" i="1"/>
  <c r="S170" i="1"/>
  <c r="Q170" i="1"/>
  <c r="V169" i="1"/>
  <c r="U169" i="1"/>
  <c r="R169" i="1"/>
  <c r="P169" i="1"/>
  <c r="T169" i="1"/>
  <c r="S169" i="1"/>
  <c r="Q169" i="1"/>
  <c r="V141" i="1"/>
  <c r="U141" i="1"/>
  <c r="T141" i="1"/>
  <c r="S141" i="1"/>
  <c r="R141" i="1"/>
  <c r="Q141" i="1"/>
  <c r="P141" i="1"/>
  <c r="V140" i="1"/>
  <c r="U140" i="1"/>
  <c r="T140" i="1"/>
  <c r="S140" i="1"/>
  <c r="R140" i="1"/>
  <c r="Q140" i="1"/>
  <c r="P140" i="1"/>
  <c r="V139" i="1"/>
  <c r="U139" i="1"/>
  <c r="T139" i="1"/>
  <c r="S139" i="1"/>
  <c r="R139" i="1"/>
  <c r="Q139" i="1"/>
  <c r="P139" i="1"/>
  <c r="V138" i="1"/>
  <c r="U138" i="1"/>
  <c r="T138" i="1"/>
  <c r="S138" i="1"/>
  <c r="R138" i="1"/>
  <c r="Q138" i="1"/>
  <c r="P138" i="1"/>
  <c r="V137" i="1"/>
  <c r="U137" i="1"/>
  <c r="T137" i="1"/>
  <c r="S137" i="1"/>
  <c r="R137" i="1"/>
  <c r="Q137" i="1"/>
  <c r="P137" i="1"/>
  <c r="V136" i="1"/>
  <c r="U136" i="1"/>
  <c r="T136" i="1"/>
  <c r="S136" i="1"/>
  <c r="R136" i="1"/>
  <c r="Q136" i="1"/>
  <c r="P136" i="1"/>
  <c r="V135" i="1"/>
  <c r="U135" i="1"/>
  <c r="T135" i="1"/>
  <c r="S135" i="1"/>
  <c r="R135" i="1"/>
  <c r="Q135" i="1"/>
  <c r="P135" i="1"/>
  <c r="V134" i="1"/>
  <c r="U134" i="1"/>
  <c r="T134" i="1"/>
  <c r="S134" i="1"/>
  <c r="R134" i="1"/>
  <c r="Q134" i="1"/>
  <c r="P134" i="1"/>
  <c r="P142" i="1"/>
  <c r="Q142" i="1"/>
  <c r="R142" i="1"/>
  <c r="S142" i="1"/>
  <c r="T142" i="1"/>
  <c r="U142" i="1"/>
  <c r="V142" i="1"/>
  <c r="P143" i="1"/>
  <c r="Q143" i="1"/>
  <c r="R143" i="1"/>
  <c r="S143" i="1"/>
  <c r="T143" i="1"/>
  <c r="U143" i="1"/>
  <c r="V143" i="1"/>
  <c r="P144" i="1"/>
  <c r="Q144" i="1"/>
  <c r="R144" i="1"/>
  <c r="S144" i="1"/>
  <c r="T144" i="1"/>
  <c r="U144" i="1"/>
  <c r="V144" i="1"/>
  <c r="P145" i="1"/>
  <c r="Q145" i="1"/>
  <c r="R145" i="1"/>
  <c r="S145" i="1"/>
  <c r="T145" i="1"/>
  <c r="U145" i="1"/>
  <c r="V145" i="1"/>
  <c r="V133" i="1"/>
  <c r="U133" i="1"/>
  <c r="T133" i="1"/>
  <c r="S133" i="1"/>
  <c r="R133" i="1"/>
  <c r="Q133" i="1"/>
  <c r="P133" i="1"/>
  <c r="V129" i="1" l="1"/>
  <c r="U129" i="1"/>
  <c r="R129" i="1"/>
  <c r="Q129" i="1"/>
  <c r="T129" i="1"/>
  <c r="S129" i="1"/>
  <c r="P129" i="1"/>
  <c r="V128" i="1"/>
  <c r="T128" i="1"/>
  <c r="S128" i="1"/>
  <c r="R128" i="1"/>
  <c r="P128" i="1"/>
  <c r="U128" i="1"/>
  <c r="Q128" i="1"/>
  <c r="V120" i="1"/>
  <c r="U120" i="1"/>
  <c r="T120" i="1"/>
  <c r="S120" i="1"/>
  <c r="R120" i="1"/>
  <c r="Q120" i="1"/>
  <c r="P120" i="1"/>
  <c r="V119" i="1"/>
  <c r="U119" i="1"/>
  <c r="T119" i="1"/>
  <c r="S119" i="1"/>
  <c r="R119" i="1"/>
  <c r="Q119" i="1"/>
  <c r="P119" i="1"/>
  <c r="P118" i="1"/>
  <c r="Q118" i="1"/>
  <c r="R118" i="1"/>
  <c r="S118" i="1"/>
  <c r="T118" i="1"/>
  <c r="U118" i="1"/>
  <c r="V118" i="1"/>
  <c r="P121" i="1"/>
  <c r="Q121" i="1"/>
  <c r="R121" i="1"/>
  <c r="S121" i="1"/>
  <c r="T121" i="1"/>
  <c r="U121" i="1"/>
  <c r="V121" i="1"/>
  <c r="D47" i="2" l="1"/>
  <c r="C47" i="2"/>
  <c r="I47" i="2"/>
  <c r="H47" i="2"/>
  <c r="G47" i="2"/>
  <c r="F47" i="2"/>
  <c r="E47" i="2"/>
  <c r="D63" i="1" l="1"/>
  <c r="E63" i="1"/>
  <c r="F63" i="1"/>
  <c r="G63" i="1"/>
  <c r="H63" i="1"/>
  <c r="I63" i="1"/>
  <c r="C63" i="1"/>
  <c r="D256" i="1" l="1"/>
  <c r="E256" i="1"/>
  <c r="F256" i="1"/>
  <c r="G256" i="1"/>
  <c r="H256" i="1"/>
  <c r="I256" i="1"/>
  <c r="C256" i="1"/>
  <c r="D34" i="2" l="1"/>
  <c r="E34" i="2"/>
  <c r="F34" i="2"/>
  <c r="G34" i="2"/>
  <c r="H34" i="2"/>
  <c r="I34" i="2"/>
  <c r="C34" i="2"/>
  <c r="C37" i="8" l="1"/>
  <c r="D37" i="8"/>
  <c r="E37" i="8"/>
  <c r="F37" i="8"/>
  <c r="G37" i="8"/>
  <c r="H37" i="8"/>
  <c r="B37" i="8"/>
  <c r="C27" i="8"/>
  <c r="D27" i="8"/>
  <c r="E27" i="8"/>
  <c r="F27" i="8"/>
  <c r="G27" i="8"/>
  <c r="H27" i="8"/>
  <c r="B27" i="8"/>
  <c r="C20" i="8"/>
  <c r="D20" i="8"/>
  <c r="E20" i="8"/>
  <c r="F20" i="8"/>
  <c r="G20" i="8"/>
  <c r="H20" i="8"/>
  <c r="B20" i="8"/>
  <c r="C19" i="8"/>
  <c r="D19" i="8"/>
  <c r="E19" i="8"/>
  <c r="F19" i="8"/>
  <c r="G19" i="8"/>
  <c r="H19" i="8"/>
  <c r="B19" i="8"/>
  <c r="Q181" i="1" l="1"/>
  <c r="R181" i="1"/>
  <c r="S181" i="1"/>
  <c r="T181" i="1"/>
  <c r="U181" i="1"/>
  <c r="V181" i="1"/>
  <c r="P181" i="1"/>
  <c r="D104" i="1" l="1"/>
  <c r="C11" i="8" s="1"/>
  <c r="E104" i="1"/>
  <c r="D11" i="8" s="1"/>
  <c r="F104" i="1"/>
  <c r="E11" i="8" s="1"/>
  <c r="G104" i="1"/>
  <c r="F11" i="8" s="1"/>
  <c r="H104" i="1"/>
  <c r="G11" i="8" s="1"/>
  <c r="I104" i="1"/>
  <c r="H11" i="8" s="1"/>
  <c r="C104" i="1"/>
  <c r="B11" i="8" s="1"/>
  <c r="J100" i="1"/>
  <c r="F82" i="2" l="1"/>
  <c r="D2" i="2"/>
  <c r="E2" i="2"/>
  <c r="F2" i="2"/>
  <c r="C2" i="2"/>
  <c r="P207" i="1"/>
  <c r="V205" i="1"/>
  <c r="U205" i="1"/>
  <c r="T205" i="1"/>
  <c r="S205" i="1"/>
  <c r="R205" i="1"/>
  <c r="Q205" i="1"/>
  <c r="P205" i="1"/>
  <c r="G82" i="2" l="1"/>
  <c r="I82" i="2"/>
  <c r="D82" i="2"/>
  <c r="E82" i="2"/>
  <c r="H82" i="2"/>
  <c r="V203" i="1"/>
  <c r="U203" i="1"/>
  <c r="T203" i="1"/>
  <c r="S203" i="1"/>
  <c r="R203" i="1"/>
  <c r="Q203" i="1"/>
  <c r="P203" i="1"/>
  <c r="P200" i="1"/>
  <c r="Q200" i="1"/>
  <c r="R200" i="1"/>
  <c r="S200" i="1"/>
  <c r="T200" i="1"/>
  <c r="U200" i="1"/>
  <c r="V200" i="1"/>
  <c r="V198" i="1"/>
  <c r="U198" i="1"/>
  <c r="T198" i="1"/>
  <c r="S198" i="1"/>
  <c r="R198" i="1"/>
  <c r="Q198" i="1"/>
  <c r="P198" i="1"/>
  <c r="P189" i="1"/>
  <c r="Q189" i="1"/>
  <c r="R189" i="1"/>
  <c r="S189" i="1"/>
  <c r="T189" i="1"/>
  <c r="U189" i="1"/>
  <c r="V189" i="1"/>
  <c r="V173" i="1"/>
  <c r="U173" i="1"/>
  <c r="T173" i="1"/>
  <c r="S173" i="1"/>
  <c r="R173" i="1"/>
  <c r="Q173" i="1"/>
  <c r="P173" i="1"/>
  <c r="T168" i="1"/>
  <c r="S168" i="1"/>
  <c r="Q168" i="1"/>
  <c r="V168" i="1"/>
  <c r="U168" i="1"/>
  <c r="R168" i="1"/>
  <c r="P168" i="1"/>
  <c r="P166" i="1"/>
  <c r="Q166" i="1"/>
  <c r="R166" i="1"/>
  <c r="S166" i="1"/>
  <c r="T166" i="1"/>
  <c r="U166" i="1"/>
  <c r="V166" i="1"/>
  <c r="V167" i="1"/>
  <c r="U167" i="1"/>
  <c r="T167" i="1"/>
  <c r="S167" i="1"/>
  <c r="R167" i="1"/>
  <c r="Q167" i="1"/>
  <c r="P167" i="1"/>
  <c r="V165" i="1"/>
  <c r="U165" i="1"/>
  <c r="T165" i="1"/>
  <c r="S165" i="1"/>
  <c r="R165" i="1"/>
  <c r="Q165" i="1"/>
  <c r="P165" i="1"/>
  <c r="V164" i="1"/>
  <c r="U164" i="1"/>
  <c r="T164" i="1"/>
  <c r="S164" i="1"/>
  <c r="R164" i="1"/>
  <c r="Q164" i="1"/>
  <c r="P164" i="1"/>
  <c r="V163" i="1"/>
  <c r="U163" i="1"/>
  <c r="T163" i="1"/>
  <c r="S163" i="1"/>
  <c r="R163" i="1"/>
  <c r="Q163" i="1"/>
  <c r="P163" i="1"/>
  <c r="V161" i="1"/>
  <c r="U161" i="1"/>
  <c r="T161" i="1"/>
  <c r="S161" i="1"/>
  <c r="R161" i="1"/>
  <c r="Q161" i="1"/>
  <c r="P161" i="1"/>
  <c r="V160" i="1"/>
  <c r="U160" i="1"/>
  <c r="T160" i="1"/>
  <c r="S160" i="1"/>
  <c r="R160" i="1"/>
  <c r="Q160" i="1"/>
  <c r="P160" i="1"/>
  <c r="V157" i="1"/>
  <c r="U157" i="1"/>
  <c r="T157" i="1"/>
  <c r="S157" i="1"/>
  <c r="R157" i="1"/>
  <c r="Q157" i="1"/>
  <c r="P157" i="1"/>
  <c r="Q162" i="1" l="1"/>
  <c r="U162" i="1"/>
  <c r="V162" i="1"/>
  <c r="P162" i="1"/>
  <c r="T162" i="1"/>
  <c r="R162" i="1"/>
  <c r="S162" i="1"/>
  <c r="V149" i="1" l="1"/>
  <c r="U149" i="1"/>
  <c r="T149" i="1"/>
  <c r="S149" i="1"/>
  <c r="R149" i="1"/>
  <c r="Q149" i="1"/>
  <c r="G225" i="1" l="1"/>
  <c r="F12" i="8" s="1"/>
  <c r="C225" i="1"/>
  <c r="B12" i="8" s="1"/>
  <c r="F225" i="1"/>
  <c r="E12" i="8" s="1"/>
  <c r="D225" i="1"/>
  <c r="C12" i="8" s="1"/>
  <c r="H225" i="1"/>
  <c r="G12" i="8" s="1"/>
  <c r="E225" i="1"/>
  <c r="D12" i="8" s="1"/>
  <c r="I225" i="1"/>
  <c r="H12" i="8" s="1"/>
  <c r="J95" i="2" l="1"/>
  <c r="J94" i="2"/>
  <c r="D96" i="2"/>
  <c r="C41" i="8" s="1"/>
  <c r="E96" i="2"/>
  <c r="D41" i="8" s="1"/>
  <c r="F96" i="2"/>
  <c r="E41" i="8" s="1"/>
  <c r="G96" i="2"/>
  <c r="F41" i="8" s="1"/>
  <c r="H96" i="2"/>
  <c r="G41" i="8" s="1"/>
  <c r="I96" i="2"/>
  <c r="H41" i="8" s="1"/>
  <c r="C96" i="2"/>
  <c r="B41" i="8" s="1"/>
  <c r="D233" i="1"/>
  <c r="C13" i="8" s="1"/>
  <c r="E233" i="1"/>
  <c r="D13" i="8" s="1"/>
  <c r="F233" i="1"/>
  <c r="E13" i="8" s="1"/>
  <c r="G233" i="1"/>
  <c r="F13" i="8" s="1"/>
  <c r="H233" i="1"/>
  <c r="G13" i="8" s="1"/>
  <c r="I233" i="1"/>
  <c r="H13" i="8" s="1"/>
  <c r="C233" i="1"/>
  <c r="B13" i="8" s="1"/>
  <c r="D4" i="1"/>
  <c r="E4" i="1"/>
  <c r="R4" i="1" s="1"/>
  <c r="F4" i="1"/>
  <c r="S4" i="1" s="1"/>
  <c r="G4" i="1"/>
  <c r="H4" i="1"/>
  <c r="I4" i="1"/>
  <c r="V4" i="1" s="1"/>
  <c r="C4" i="1"/>
  <c r="P4" i="1" s="1"/>
  <c r="D12" i="4"/>
  <c r="E12" i="4"/>
  <c r="F12" i="4"/>
  <c r="G12" i="4"/>
  <c r="H12" i="4"/>
  <c r="I12" i="4"/>
  <c r="C12" i="4"/>
  <c r="H3" i="2" l="1"/>
  <c r="G3" i="3" s="1"/>
  <c r="U4" i="1"/>
  <c r="D3" i="2"/>
  <c r="C4" i="8" s="1"/>
  <c r="C18" i="8" s="1"/>
  <c r="Q4" i="1"/>
  <c r="G3" i="2"/>
  <c r="F4" i="8" s="1"/>
  <c r="F18" i="8" s="1"/>
  <c r="T4" i="1"/>
  <c r="F261" i="1"/>
  <c r="S261" i="1" s="1"/>
  <c r="F3" i="2"/>
  <c r="E3" i="2"/>
  <c r="C261" i="1"/>
  <c r="P261" i="1" s="1"/>
  <c r="C3" i="2"/>
  <c r="I3" i="2"/>
  <c r="I261" i="1"/>
  <c r="V261" i="1" s="1"/>
  <c r="G261" i="1"/>
  <c r="T261" i="1" s="1"/>
  <c r="E261" i="1"/>
  <c r="R261" i="1" s="1"/>
  <c r="H261" i="1"/>
  <c r="U261" i="1" s="1"/>
  <c r="D261" i="1"/>
  <c r="Q261" i="1" s="1"/>
  <c r="G4" i="8" l="1"/>
  <c r="G18" i="8" s="1"/>
  <c r="F3" i="3"/>
  <c r="C3" i="3"/>
  <c r="B3" i="3"/>
  <c r="B4" i="8"/>
  <c r="B18" i="8" s="1"/>
  <c r="D3" i="3"/>
  <c r="D4" i="8"/>
  <c r="D18" i="8" s="1"/>
  <c r="H3" i="3"/>
  <c r="H4" i="8"/>
  <c r="H18" i="8" s="1"/>
  <c r="E3" i="3"/>
  <c r="E4" i="8"/>
  <c r="E18" i="8" s="1"/>
  <c r="H20" i="7"/>
  <c r="D20" i="7" l="1"/>
  <c r="G20" i="7"/>
  <c r="C20" i="7"/>
  <c r="F20" i="7"/>
  <c r="I20" i="7"/>
  <c r="E20" i="7"/>
  <c r="C18" i="7"/>
  <c r="C21" i="7" s="1"/>
  <c r="D18" i="7"/>
  <c r="E18" i="7"/>
  <c r="F18" i="7"/>
  <c r="G18" i="7"/>
  <c r="H18" i="7"/>
  <c r="I18" i="7"/>
  <c r="D26" i="7" l="1"/>
  <c r="H23" i="7"/>
  <c r="G25" i="7"/>
  <c r="C23" i="7"/>
  <c r="F24" i="7"/>
  <c r="I26" i="7"/>
  <c r="E22" i="7"/>
  <c r="C34" i="7"/>
  <c r="G29" i="7"/>
  <c r="C29" i="7"/>
  <c r="E34" i="7"/>
  <c r="I30" i="7"/>
  <c r="I34" i="7"/>
  <c r="I32" i="7"/>
  <c r="E21" i="7"/>
  <c r="G34" i="7"/>
  <c r="G31" i="7"/>
  <c r="E28" i="7"/>
  <c r="H21" i="7"/>
  <c r="H33" i="7"/>
  <c r="D33" i="7"/>
  <c r="G32" i="7"/>
  <c r="I31" i="7"/>
  <c r="D31" i="7"/>
  <c r="G30" i="7"/>
  <c r="I29" i="7"/>
  <c r="E29" i="7"/>
  <c r="H28" i="7"/>
  <c r="C28" i="7"/>
  <c r="E27" i="7"/>
  <c r="H26" i="7"/>
  <c r="C26" i="7"/>
  <c r="F25" i="7"/>
  <c r="I24" i="7"/>
  <c r="D24" i="7"/>
  <c r="G23" i="7"/>
  <c r="I22" i="7"/>
  <c r="D22" i="7"/>
  <c r="G21" i="7"/>
  <c r="H34" i="7"/>
  <c r="D34" i="7"/>
  <c r="G33" i="7"/>
  <c r="C33" i="7"/>
  <c r="E32" i="7"/>
  <c r="H31" i="7"/>
  <c r="C31" i="7"/>
  <c r="E30" i="7"/>
  <c r="H29" i="7"/>
  <c r="D29" i="7"/>
  <c r="G28" i="7"/>
  <c r="I27" i="7"/>
  <c r="D27" i="7"/>
  <c r="G26" i="7"/>
  <c r="I25" i="7"/>
  <c r="E25" i="7"/>
  <c r="H24" i="7"/>
  <c r="C24" i="7"/>
  <c r="E23" i="7"/>
  <c r="H22" i="7"/>
  <c r="C22" i="7"/>
  <c r="D30" i="7"/>
  <c r="H27" i="7"/>
  <c r="C27" i="7"/>
  <c r="E26" i="7"/>
  <c r="H25" i="7"/>
  <c r="D25" i="7"/>
  <c r="G24" i="7"/>
  <c r="I23" i="7"/>
  <c r="D23" i="7"/>
  <c r="G22" i="7"/>
  <c r="F33" i="7"/>
  <c r="D32" i="7"/>
  <c r="I21" i="7"/>
  <c r="D21" i="7"/>
  <c r="F34" i="7"/>
  <c r="I33" i="7"/>
  <c r="E33" i="7"/>
  <c r="H32" i="7"/>
  <c r="C32" i="7"/>
  <c r="E31" i="7"/>
  <c r="H30" i="7"/>
  <c r="C30" i="7"/>
  <c r="F29" i="7"/>
  <c r="I28" i="7"/>
  <c r="D28" i="7"/>
  <c r="G27" i="7"/>
  <c r="C25" i="7"/>
  <c r="E24" i="7"/>
  <c r="F30" i="7"/>
  <c r="F26" i="7"/>
  <c r="F22" i="7"/>
  <c r="F31" i="7"/>
  <c r="F27" i="7"/>
  <c r="F23" i="7"/>
  <c r="F21" i="7"/>
  <c r="F32" i="7"/>
  <c r="F28" i="7"/>
  <c r="E9" i="8"/>
  <c r="F9" i="8"/>
  <c r="G9" i="8"/>
  <c r="I268" i="1"/>
  <c r="H268" i="1"/>
  <c r="G268" i="1"/>
  <c r="D268" i="1"/>
  <c r="C268" i="1"/>
  <c r="C46" i="8"/>
  <c r="D46" i="8"/>
  <c r="E46" i="8"/>
  <c r="F46" i="8"/>
  <c r="G46" i="8"/>
  <c r="H46" i="8"/>
  <c r="B46" i="8"/>
  <c r="C32" i="8"/>
  <c r="D32" i="8"/>
  <c r="E32" i="8"/>
  <c r="F32" i="8"/>
  <c r="G32" i="8"/>
  <c r="H32" i="8"/>
  <c r="B32" i="8"/>
  <c r="F266" i="1"/>
  <c r="D270" i="1"/>
  <c r="C55" i="8" s="1"/>
  <c r="E270" i="1"/>
  <c r="D55" i="8" s="1"/>
  <c r="F270" i="1"/>
  <c r="E55" i="8" s="1"/>
  <c r="G270" i="1"/>
  <c r="F55" i="8" s="1"/>
  <c r="H270" i="1"/>
  <c r="G55" i="8" s="1"/>
  <c r="I270" i="1"/>
  <c r="H55" i="8" s="1"/>
  <c r="C270" i="1"/>
  <c r="B55" i="8" s="1"/>
  <c r="D269" i="1"/>
  <c r="E269" i="1"/>
  <c r="F269" i="1"/>
  <c r="G269" i="1"/>
  <c r="H269" i="1"/>
  <c r="I269" i="1"/>
  <c r="C269" i="1"/>
  <c r="E268" i="1"/>
  <c r="F268" i="1"/>
  <c r="D71" i="1"/>
  <c r="E71" i="1"/>
  <c r="F71" i="1"/>
  <c r="G71" i="1"/>
  <c r="H71" i="1"/>
  <c r="I71" i="1"/>
  <c r="C71" i="1"/>
  <c r="D29" i="1"/>
  <c r="E29" i="1"/>
  <c r="F29" i="1"/>
  <c r="G29" i="1"/>
  <c r="H29" i="1"/>
  <c r="I29" i="1"/>
  <c r="C29" i="1"/>
  <c r="D23" i="1"/>
  <c r="E23" i="1"/>
  <c r="D7" i="8" s="1"/>
  <c r="F23" i="1"/>
  <c r="G23" i="1"/>
  <c r="H23" i="1"/>
  <c r="I23" i="1"/>
  <c r="C23" i="1"/>
  <c r="D8" i="1"/>
  <c r="E8" i="1"/>
  <c r="F8" i="1"/>
  <c r="G8" i="1"/>
  <c r="H8" i="1"/>
  <c r="I8" i="1"/>
  <c r="H5" i="8" s="1"/>
  <c r="C8" i="1"/>
  <c r="D16" i="1"/>
  <c r="C6" i="8" s="1"/>
  <c r="E16" i="1"/>
  <c r="D6" i="8" s="1"/>
  <c r="F16" i="1"/>
  <c r="E6" i="8" s="1"/>
  <c r="G16" i="1"/>
  <c r="F6" i="8" s="1"/>
  <c r="H16" i="1"/>
  <c r="G6" i="8" s="1"/>
  <c r="I16" i="1"/>
  <c r="H6" i="8" s="1"/>
  <c r="C16" i="1"/>
  <c r="B6" i="8" s="1"/>
  <c r="B44" i="2"/>
  <c r="B43" i="2"/>
  <c r="B42" i="2"/>
  <c r="B41" i="2"/>
  <c r="B40" i="2"/>
  <c r="B39" i="8"/>
  <c r="Q148" i="1"/>
  <c r="R148" i="1"/>
  <c r="S148" i="1"/>
  <c r="U148" i="1"/>
  <c r="V148" i="1"/>
  <c r="P148" i="1"/>
  <c r="T148" i="1"/>
  <c r="Q123" i="1"/>
  <c r="R123" i="1"/>
  <c r="S123" i="1"/>
  <c r="T123" i="1"/>
  <c r="U123" i="1"/>
  <c r="V123" i="1"/>
  <c r="P123" i="1"/>
  <c r="R70" i="1"/>
  <c r="S70" i="1"/>
  <c r="T70" i="1"/>
  <c r="U70" i="1"/>
  <c r="V70" i="1"/>
  <c r="Q70" i="1"/>
  <c r="P70" i="1"/>
  <c r="P27" i="1"/>
  <c r="Q27" i="1"/>
  <c r="R27" i="1"/>
  <c r="S27" i="1"/>
  <c r="T27" i="1"/>
  <c r="U27" i="1"/>
  <c r="V27" i="1"/>
  <c r="P28" i="1"/>
  <c r="Q28" i="1"/>
  <c r="R28" i="1"/>
  <c r="S28" i="1"/>
  <c r="T28" i="1"/>
  <c r="U28" i="1"/>
  <c r="V28" i="1"/>
  <c r="R26" i="1"/>
  <c r="S26" i="1"/>
  <c r="T26" i="1"/>
  <c r="U26" i="1"/>
  <c r="V26" i="1"/>
  <c r="Q26" i="1"/>
  <c r="P26" i="1"/>
  <c r="P209" i="1"/>
  <c r="Q209" i="1"/>
  <c r="R209" i="1"/>
  <c r="S209" i="1"/>
  <c r="T209" i="1"/>
  <c r="U209" i="1"/>
  <c r="V209" i="1"/>
  <c r="P211" i="1"/>
  <c r="Q211" i="1"/>
  <c r="R211" i="1"/>
  <c r="S211" i="1"/>
  <c r="T211" i="1"/>
  <c r="U211" i="1"/>
  <c r="V211" i="1"/>
  <c r="P212" i="1"/>
  <c r="Q212" i="1"/>
  <c r="R212" i="1"/>
  <c r="S212" i="1"/>
  <c r="T212" i="1"/>
  <c r="U212" i="1"/>
  <c r="V212" i="1"/>
  <c r="P213" i="1"/>
  <c r="Q213" i="1"/>
  <c r="R213" i="1"/>
  <c r="S213" i="1"/>
  <c r="T213" i="1"/>
  <c r="U213" i="1"/>
  <c r="V213" i="1"/>
  <c r="V197" i="1"/>
  <c r="U197" i="1"/>
  <c r="T197" i="1"/>
  <c r="S197" i="1"/>
  <c r="R197" i="1"/>
  <c r="Q197" i="1"/>
  <c r="P197" i="1"/>
  <c r="V196" i="1"/>
  <c r="U196" i="1"/>
  <c r="T196" i="1"/>
  <c r="S196" i="1"/>
  <c r="R196" i="1"/>
  <c r="Q196" i="1"/>
  <c r="P196" i="1"/>
  <c r="V191" i="1"/>
  <c r="U191" i="1"/>
  <c r="T191" i="1"/>
  <c r="S191" i="1"/>
  <c r="R191" i="1"/>
  <c r="Q191" i="1"/>
  <c r="P191" i="1"/>
  <c r="V190" i="1"/>
  <c r="U190" i="1"/>
  <c r="T190" i="1"/>
  <c r="S190" i="1"/>
  <c r="R190" i="1"/>
  <c r="Q190" i="1"/>
  <c r="P190" i="1"/>
  <c r="V183" i="1"/>
  <c r="U183" i="1"/>
  <c r="T183" i="1"/>
  <c r="S183" i="1"/>
  <c r="R183" i="1"/>
  <c r="Q183" i="1"/>
  <c r="P183" i="1"/>
  <c r="V179" i="1"/>
  <c r="U179" i="1"/>
  <c r="T179" i="1"/>
  <c r="S179" i="1"/>
  <c r="R179" i="1"/>
  <c r="Q179" i="1"/>
  <c r="P179" i="1"/>
  <c r="V159" i="1"/>
  <c r="U159" i="1"/>
  <c r="T159" i="1"/>
  <c r="S159" i="1"/>
  <c r="R159" i="1"/>
  <c r="Q159" i="1"/>
  <c r="P159" i="1"/>
  <c r="V158" i="1"/>
  <c r="U158" i="1"/>
  <c r="T158" i="1"/>
  <c r="S158" i="1"/>
  <c r="R158" i="1"/>
  <c r="P149" i="1"/>
  <c r="V147" i="1"/>
  <c r="U147" i="1"/>
  <c r="T147" i="1"/>
  <c r="S147" i="1"/>
  <c r="R147" i="1"/>
  <c r="Q147" i="1"/>
  <c r="P147" i="1"/>
  <c r="V146" i="1"/>
  <c r="U146" i="1"/>
  <c r="T146" i="1"/>
  <c r="S146" i="1"/>
  <c r="R146" i="1"/>
  <c r="Q146" i="1"/>
  <c r="P146" i="1"/>
  <c r="V132" i="1"/>
  <c r="U132" i="1"/>
  <c r="T132" i="1"/>
  <c r="S132" i="1"/>
  <c r="R132" i="1"/>
  <c r="Q132" i="1"/>
  <c r="P132" i="1"/>
  <c r="V131" i="1"/>
  <c r="U131" i="1"/>
  <c r="T131" i="1"/>
  <c r="S131" i="1"/>
  <c r="R131" i="1"/>
  <c r="Q131" i="1"/>
  <c r="P131" i="1"/>
  <c r="V130" i="1"/>
  <c r="U130" i="1"/>
  <c r="T130" i="1"/>
  <c r="S130" i="1"/>
  <c r="R130" i="1"/>
  <c r="Q130" i="1"/>
  <c r="P130" i="1"/>
  <c r="V127" i="1"/>
  <c r="U127" i="1"/>
  <c r="T127" i="1"/>
  <c r="S127" i="1"/>
  <c r="R127" i="1"/>
  <c r="Q127" i="1"/>
  <c r="P127" i="1"/>
  <c r="V126" i="1"/>
  <c r="U126" i="1"/>
  <c r="T126" i="1"/>
  <c r="S126" i="1"/>
  <c r="R126" i="1"/>
  <c r="Q126" i="1"/>
  <c r="P126" i="1"/>
  <c r="V125" i="1"/>
  <c r="U125" i="1"/>
  <c r="T125" i="1"/>
  <c r="S125" i="1"/>
  <c r="R125" i="1"/>
  <c r="Q125" i="1"/>
  <c r="P125" i="1"/>
  <c r="V124" i="1"/>
  <c r="U124" i="1"/>
  <c r="T124" i="1"/>
  <c r="S124" i="1"/>
  <c r="R124" i="1"/>
  <c r="Q124" i="1"/>
  <c r="P124" i="1"/>
  <c r="V122" i="1"/>
  <c r="U122" i="1"/>
  <c r="T122" i="1"/>
  <c r="S122" i="1"/>
  <c r="R122" i="1"/>
  <c r="Q122" i="1"/>
  <c r="P122" i="1"/>
  <c r="V117" i="1"/>
  <c r="U117" i="1"/>
  <c r="T117" i="1"/>
  <c r="S117" i="1"/>
  <c r="R117" i="1"/>
  <c r="Q117" i="1"/>
  <c r="P117" i="1"/>
  <c r="V116" i="1"/>
  <c r="U116" i="1"/>
  <c r="T116" i="1"/>
  <c r="S116" i="1"/>
  <c r="R116" i="1"/>
  <c r="Q116" i="1"/>
  <c r="P116" i="1"/>
  <c r="V115" i="1"/>
  <c r="U115" i="1"/>
  <c r="T115" i="1"/>
  <c r="S115" i="1"/>
  <c r="R115" i="1"/>
  <c r="Q115" i="1"/>
  <c r="P115" i="1"/>
  <c r="V114" i="1"/>
  <c r="U114" i="1"/>
  <c r="T114" i="1"/>
  <c r="S114" i="1"/>
  <c r="R114" i="1"/>
  <c r="Q114" i="1"/>
  <c r="P114" i="1"/>
  <c r="P111" i="1"/>
  <c r="Q111" i="1"/>
  <c r="R111" i="1"/>
  <c r="S111" i="1"/>
  <c r="T111" i="1"/>
  <c r="U111" i="1"/>
  <c r="V111" i="1"/>
  <c r="V224" i="1"/>
  <c r="V223" i="1" s="1"/>
  <c r="U224" i="1"/>
  <c r="U223" i="1" s="1"/>
  <c r="T224" i="1"/>
  <c r="T223" i="1" s="1"/>
  <c r="S224" i="1"/>
  <c r="S223" i="1" s="1"/>
  <c r="R224" i="1"/>
  <c r="R223" i="1" s="1"/>
  <c r="Q224" i="1"/>
  <c r="Q223" i="1" s="1"/>
  <c r="P224" i="1"/>
  <c r="P223" i="1" s="1"/>
  <c r="Q236" i="1"/>
  <c r="R236" i="1"/>
  <c r="S236" i="1"/>
  <c r="T236" i="1"/>
  <c r="U236" i="1"/>
  <c r="V236" i="1"/>
  <c r="Q238" i="1"/>
  <c r="R238" i="1"/>
  <c r="S238" i="1"/>
  <c r="T238" i="1"/>
  <c r="U238" i="1"/>
  <c r="V238" i="1"/>
  <c r="Q240" i="1"/>
  <c r="R240" i="1"/>
  <c r="S240" i="1"/>
  <c r="T240" i="1"/>
  <c r="U240" i="1"/>
  <c r="V240" i="1"/>
  <c r="Q242" i="1"/>
  <c r="R242" i="1"/>
  <c r="S242" i="1"/>
  <c r="T242" i="1"/>
  <c r="U242" i="1"/>
  <c r="V242" i="1"/>
  <c r="Q244" i="1"/>
  <c r="R244" i="1"/>
  <c r="S244" i="1"/>
  <c r="T244" i="1"/>
  <c r="U244" i="1"/>
  <c r="V244" i="1"/>
  <c r="Q248" i="1"/>
  <c r="R248" i="1"/>
  <c r="S248" i="1"/>
  <c r="T248" i="1"/>
  <c r="U248" i="1"/>
  <c r="V248" i="1"/>
  <c r="P248" i="1"/>
  <c r="P244" i="1"/>
  <c r="P242" i="1"/>
  <c r="P240" i="1"/>
  <c r="P238" i="1"/>
  <c r="P236" i="1"/>
  <c r="V97" i="1"/>
  <c r="U97" i="1"/>
  <c r="T97" i="1"/>
  <c r="S97" i="1"/>
  <c r="R97" i="1"/>
  <c r="Q97" i="1"/>
  <c r="P97" i="1"/>
  <c r="V98" i="1"/>
  <c r="U98" i="1"/>
  <c r="T98" i="1"/>
  <c r="S98" i="1"/>
  <c r="R98" i="1"/>
  <c r="Q98" i="1"/>
  <c r="P98" i="1"/>
  <c r="T63" i="1"/>
  <c r="F23" i="8" s="1"/>
  <c r="V63" i="1"/>
  <c r="H23" i="8" s="1"/>
  <c r="U63" i="1"/>
  <c r="G23" i="8" s="1"/>
  <c r="S63" i="1"/>
  <c r="E23" i="8" s="1"/>
  <c r="R63" i="1"/>
  <c r="D23" i="8" s="1"/>
  <c r="Q63" i="1"/>
  <c r="C23" i="8" s="1"/>
  <c r="P63" i="1"/>
  <c r="B23" i="8" s="1"/>
  <c r="Q158" i="1"/>
  <c r="P158" i="1"/>
  <c r="D104" i="2"/>
  <c r="C42" i="8" s="1"/>
  <c r="C10" i="3"/>
  <c r="D7" i="4" s="1"/>
  <c r="E104" i="2"/>
  <c r="D42" i="8" s="1"/>
  <c r="D10" i="3"/>
  <c r="F104" i="2"/>
  <c r="E42" i="8" s="1"/>
  <c r="E10" i="3"/>
  <c r="F7" i="4" s="1"/>
  <c r="G104" i="2"/>
  <c r="F42" i="8" s="1"/>
  <c r="F10" i="3"/>
  <c r="G7" i="4" s="1"/>
  <c r="H104" i="2"/>
  <c r="G42" i="8" s="1"/>
  <c r="G10" i="3"/>
  <c r="H7" i="4" s="1"/>
  <c r="I104" i="2"/>
  <c r="H42" i="8" s="1"/>
  <c r="H10" i="3"/>
  <c r="I7" i="4" s="1"/>
  <c r="C104" i="2"/>
  <c r="B42" i="8" s="1"/>
  <c r="B10" i="3"/>
  <c r="C7" i="4" s="1"/>
  <c r="C15" i="4" s="1"/>
  <c r="Q262" i="1"/>
  <c r="R262" i="1"/>
  <c r="S262" i="1"/>
  <c r="T262" i="1"/>
  <c r="U262" i="1"/>
  <c r="V262" i="1"/>
  <c r="Q263" i="1"/>
  <c r="R263" i="1"/>
  <c r="S263" i="1"/>
  <c r="T263" i="1"/>
  <c r="U263" i="1"/>
  <c r="V263" i="1"/>
  <c r="Q270" i="1"/>
  <c r="R270" i="1"/>
  <c r="S270" i="1"/>
  <c r="T270" i="1"/>
  <c r="U270" i="1"/>
  <c r="V270" i="1"/>
  <c r="P270" i="1"/>
  <c r="P263" i="1"/>
  <c r="P262" i="1"/>
  <c r="Q66" i="1"/>
  <c r="R66" i="1"/>
  <c r="S66" i="1"/>
  <c r="T66" i="1"/>
  <c r="U66" i="1"/>
  <c r="V66" i="1"/>
  <c r="Q67" i="1"/>
  <c r="R67" i="1"/>
  <c r="S67" i="1"/>
  <c r="T67" i="1"/>
  <c r="U67" i="1"/>
  <c r="V67" i="1"/>
  <c r="Q68" i="1"/>
  <c r="R68" i="1"/>
  <c r="S68" i="1"/>
  <c r="T68" i="1"/>
  <c r="U68" i="1"/>
  <c r="V68" i="1"/>
  <c r="Q69" i="1"/>
  <c r="R69" i="1"/>
  <c r="S69" i="1"/>
  <c r="T69" i="1"/>
  <c r="U69" i="1"/>
  <c r="V69" i="1"/>
  <c r="P69" i="1"/>
  <c r="P68" i="1"/>
  <c r="P67" i="1"/>
  <c r="P66" i="1"/>
  <c r="Q22" i="1"/>
  <c r="R22" i="1"/>
  <c r="S22" i="1"/>
  <c r="T22" i="1"/>
  <c r="U22" i="1"/>
  <c r="V22" i="1"/>
  <c r="V23" i="1" s="1"/>
  <c r="P22" i="1"/>
  <c r="P104" i="1" l="1"/>
  <c r="B25" i="8" s="1"/>
  <c r="F39" i="8"/>
  <c r="F53" i="8" s="1"/>
  <c r="E39" i="8"/>
  <c r="E53" i="8" s="1"/>
  <c r="C39" i="8"/>
  <c r="C53" i="8" s="1"/>
  <c r="G39" i="8"/>
  <c r="G53" i="8" s="1"/>
  <c r="H39" i="8"/>
  <c r="H53" i="8" s="1"/>
  <c r="T104" i="1"/>
  <c r="F25" i="8" s="1"/>
  <c r="D39" i="8"/>
  <c r="D53" i="8" s="1"/>
  <c r="E7" i="4"/>
  <c r="D35" i="7"/>
  <c r="E35" i="7"/>
  <c r="C35" i="7"/>
  <c r="G35" i="7"/>
  <c r="H35" i="7"/>
  <c r="I35" i="7"/>
  <c r="S104" i="1"/>
  <c r="E25" i="8" s="1"/>
  <c r="R104" i="1"/>
  <c r="D25" i="8" s="1"/>
  <c r="V104" i="1"/>
  <c r="H25" i="8" s="1"/>
  <c r="C262" i="1"/>
  <c r="B5" i="8"/>
  <c r="B47" i="8" s="1"/>
  <c r="F262" i="1"/>
  <c r="E5" i="8"/>
  <c r="I264" i="1"/>
  <c r="H7" i="8"/>
  <c r="H265" i="1"/>
  <c r="G8" i="8"/>
  <c r="G50" i="8" s="1"/>
  <c r="D265" i="1"/>
  <c r="C8" i="8"/>
  <c r="C50" i="8" s="1"/>
  <c r="G267" i="1"/>
  <c r="F10" i="8"/>
  <c r="C271" i="1"/>
  <c r="B14" i="8"/>
  <c r="B56" i="8" s="1"/>
  <c r="F271" i="1"/>
  <c r="E14" i="8"/>
  <c r="E56" i="8" s="1"/>
  <c r="H264" i="1"/>
  <c r="G7" i="8"/>
  <c r="G265" i="1"/>
  <c r="F8" i="8"/>
  <c r="F50" i="8" s="1"/>
  <c r="C267" i="1"/>
  <c r="B10" i="8"/>
  <c r="B52" i="8" s="1"/>
  <c r="E271" i="1"/>
  <c r="D14" i="8"/>
  <c r="D56" i="8" s="1"/>
  <c r="H262" i="1"/>
  <c r="G5" i="8"/>
  <c r="D262" i="1"/>
  <c r="C5" i="8"/>
  <c r="G264" i="1"/>
  <c r="F7" i="8"/>
  <c r="C265" i="1"/>
  <c r="B8" i="8"/>
  <c r="B50" i="8" s="1"/>
  <c r="F265" i="1"/>
  <c r="E8" i="8"/>
  <c r="E50" i="8" s="1"/>
  <c r="I267" i="1"/>
  <c r="H10" i="8"/>
  <c r="E267" i="1"/>
  <c r="D10" i="8"/>
  <c r="H271" i="1"/>
  <c r="G14" i="8"/>
  <c r="G56" i="8" s="1"/>
  <c r="D271" i="1"/>
  <c r="C14" i="8"/>
  <c r="C56" i="8" s="1"/>
  <c r="E262" i="1"/>
  <c r="D5" i="8"/>
  <c r="D264" i="1"/>
  <c r="C7" i="8"/>
  <c r="F267" i="1"/>
  <c r="E10" i="8"/>
  <c r="I271" i="1"/>
  <c r="H14" i="8"/>
  <c r="H56" i="8" s="1"/>
  <c r="V264" i="1"/>
  <c r="H21" i="8"/>
  <c r="Q104" i="1"/>
  <c r="C25" i="8" s="1"/>
  <c r="U104" i="1"/>
  <c r="G25" i="8" s="1"/>
  <c r="G262" i="1"/>
  <c r="F5" i="8"/>
  <c r="C264" i="1"/>
  <c r="B7" i="8"/>
  <c r="B49" i="8" s="1"/>
  <c r="F264" i="1"/>
  <c r="E7" i="8"/>
  <c r="I265" i="1"/>
  <c r="H8" i="8"/>
  <c r="H50" i="8" s="1"/>
  <c r="E265" i="1"/>
  <c r="D8" i="8"/>
  <c r="D50" i="8" s="1"/>
  <c r="H267" i="1"/>
  <c r="G10" i="8"/>
  <c r="D267" i="1"/>
  <c r="C10" i="8"/>
  <c r="G271" i="1"/>
  <c r="F14" i="8"/>
  <c r="F56" i="8" s="1"/>
  <c r="I266" i="1"/>
  <c r="H9" i="8"/>
  <c r="H51" i="8" s="1"/>
  <c r="E266" i="1"/>
  <c r="D9" i="8"/>
  <c r="D51" i="8" s="1"/>
  <c r="D266" i="1"/>
  <c r="C9" i="8"/>
  <c r="C266" i="1"/>
  <c r="B9" i="8"/>
  <c r="G263" i="1"/>
  <c r="F48" i="8" s="1"/>
  <c r="G258" i="1"/>
  <c r="G4" i="4" s="1"/>
  <c r="G13" i="4" s="1"/>
  <c r="C263" i="1"/>
  <c r="C258" i="1"/>
  <c r="C4" i="4" s="1"/>
  <c r="C13" i="4" s="1"/>
  <c r="F263" i="1"/>
  <c r="E48" i="8" s="1"/>
  <c r="F258" i="1"/>
  <c r="F4" i="4" s="1"/>
  <c r="F13" i="4" s="1"/>
  <c r="I263" i="1"/>
  <c r="I258" i="1"/>
  <c r="E263" i="1"/>
  <c r="D48" i="8" s="1"/>
  <c r="E258" i="1"/>
  <c r="E4" i="4" s="1"/>
  <c r="E13" i="4" s="1"/>
  <c r="H263" i="1"/>
  <c r="G48" i="8" s="1"/>
  <c r="H258" i="1"/>
  <c r="H4" i="4" s="1"/>
  <c r="H13" i="4" s="1"/>
  <c r="D263" i="1"/>
  <c r="C48" i="8" s="1"/>
  <c r="D258" i="1"/>
  <c r="D4" i="4" s="1"/>
  <c r="D13" i="4" s="1"/>
  <c r="V266" i="1"/>
  <c r="U266" i="1"/>
  <c r="T266" i="1"/>
  <c r="S266" i="1"/>
  <c r="R266" i="1"/>
  <c r="Q266" i="1"/>
  <c r="P266" i="1"/>
  <c r="U204" i="1"/>
  <c r="H91" i="2"/>
  <c r="H106" i="2" s="1"/>
  <c r="D91" i="2"/>
  <c r="D106" i="2" s="1"/>
  <c r="S204" i="1"/>
  <c r="V204" i="1"/>
  <c r="R204" i="1"/>
  <c r="Q204" i="1"/>
  <c r="T204" i="1"/>
  <c r="P204" i="1"/>
  <c r="K268" i="1"/>
  <c r="P178" i="1"/>
  <c r="T178" i="1"/>
  <c r="Q178" i="1"/>
  <c r="U178" i="1"/>
  <c r="R178" i="1"/>
  <c r="V178" i="1"/>
  <c r="S178" i="1"/>
  <c r="P113" i="1"/>
  <c r="T256" i="1"/>
  <c r="S256" i="1"/>
  <c r="T113" i="1"/>
  <c r="Q113" i="1"/>
  <c r="U113" i="1"/>
  <c r="R113" i="1"/>
  <c r="V113" i="1"/>
  <c r="S113" i="1"/>
  <c r="R23" i="1"/>
  <c r="U23" i="1"/>
  <c r="Q23" i="1"/>
  <c r="T107" i="1"/>
  <c r="C91" i="2"/>
  <c r="G91" i="2"/>
  <c r="G106" i="2" s="1"/>
  <c r="E91" i="2"/>
  <c r="E106" i="2" s="1"/>
  <c r="Q256" i="1"/>
  <c r="P23" i="1"/>
  <c r="B53" i="8"/>
  <c r="F91" i="2"/>
  <c r="F106" i="2" s="1"/>
  <c r="I91" i="2"/>
  <c r="I106" i="2" s="1"/>
  <c r="H48" i="8"/>
  <c r="L269" i="1"/>
  <c r="E264" i="1"/>
  <c r="D49" i="8" s="1"/>
  <c r="P256" i="1"/>
  <c r="V256" i="1"/>
  <c r="R256" i="1"/>
  <c r="U107" i="1"/>
  <c r="S23" i="1"/>
  <c r="U256" i="1"/>
  <c r="R107" i="1"/>
  <c r="V29" i="1"/>
  <c r="V265" i="1" s="1"/>
  <c r="R29" i="1"/>
  <c r="R265" i="1" s="1"/>
  <c r="D22" i="8" s="1"/>
  <c r="B48" i="8"/>
  <c r="T23" i="1"/>
  <c r="K269" i="1"/>
  <c r="P71" i="1"/>
  <c r="I262" i="1"/>
  <c r="H47" i="8" s="1"/>
  <c r="V268" i="1"/>
  <c r="V107" i="1"/>
  <c r="L270" i="1"/>
  <c r="Q71" i="1"/>
  <c r="L268" i="1"/>
  <c r="K270" i="1"/>
  <c r="P107" i="1"/>
  <c r="S107" i="1"/>
  <c r="Q107" i="1"/>
  <c r="Q29" i="1"/>
  <c r="Q265" i="1" s="1"/>
  <c r="C22" i="8" s="1"/>
  <c r="U71" i="1"/>
  <c r="S71" i="1"/>
  <c r="V71" i="1"/>
  <c r="T71" i="1"/>
  <c r="R71" i="1"/>
  <c r="D24" i="8" s="1"/>
  <c r="U29" i="1"/>
  <c r="T29" i="1"/>
  <c r="T265" i="1" s="1"/>
  <c r="P29" i="1"/>
  <c r="P265" i="1" s="1"/>
  <c r="S29" i="1"/>
  <c r="S265" i="1" s="1"/>
  <c r="F35" i="7"/>
  <c r="D15" i="4"/>
  <c r="H15" i="4"/>
  <c r="G15" i="4"/>
  <c r="F15" i="4"/>
  <c r="H266" i="1"/>
  <c r="G266" i="1"/>
  <c r="E51" i="8"/>
  <c r="I4" i="4" l="1"/>
  <c r="P225" i="1"/>
  <c r="U268" i="1"/>
  <c r="P268" i="1"/>
  <c r="K271" i="1"/>
  <c r="T268" i="1"/>
  <c r="S268" i="1"/>
  <c r="K263" i="1"/>
  <c r="R268" i="1"/>
  <c r="K265" i="1"/>
  <c r="K267" i="1"/>
  <c r="L266" i="1"/>
  <c r="G52" i="8"/>
  <c r="C49" i="8"/>
  <c r="D52" i="8"/>
  <c r="F49" i="8"/>
  <c r="G47" i="8"/>
  <c r="G49" i="8"/>
  <c r="H49" i="8"/>
  <c r="E15" i="4"/>
  <c r="F272" i="1"/>
  <c r="E40" i="8"/>
  <c r="E54" i="8" s="1"/>
  <c r="F6" i="4"/>
  <c r="G40" i="8"/>
  <c r="G54" i="8" s="1"/>
  <c r="D40" i="8"/>
  <c r="D54" i="8" s="1"/>
  <c r="H40" i="8"/>
  <c r="H54" i="8" s="1"/>
  <c r="I6" i="4"/>
  <c r="F40" i="8"/>
  <c r="F43" i="8" s="1"/>
  <c r="C40" i="8"/>
  <c r="C54" i="8" s="1"/>
  <c r="B40" i="8"/>
  <c r="B43" i="8" s="1"/>
  <c r="C106" i="2"/>
  <c r="C6" i="4" s="1"/>
  <c r="C52" i="8"/>
  <c r="E49" i="8"/>
  <c r="F47" i="8"/>
  <c r="E52" i="8"/>
  <c r="D47" i="8"/>
  <c r="H52" i="8"/>
  <c r="C47" i="8"/>
  <c r="F52" i="8"/>
  <c r="L263" i="1"/>
  <c r="E47" i="8"/>
  <c r="U267" i="1"/>
  <c r="G24" i="8"/>
  <c r="P267" i="1"/>
  <c r="B24" i="8"/>
  <c r="S264" i="1"/>
  <c r="E21" i="8"/>
  <c r="R264" i="1"/>
  <c r="D21" i="8"/>
  <c r="C272" i="1"/>
  <c r="L267" i="1"/>
  <c r="K264" i="1"/>
  <c r="T264" i="1"/>
  <c r="F21" i="8"/>
  <c r="U271" i="1"/>
  <c r="G28" i="8"/>
  <c r="L264" i="1"/>
  <c r="S267" i="1"/>
  <c r="E24" i="8"/>
  <c r="Q267" i="1"/>
  <c r="C24" i="8"/>
  <c r="Q268" i="1"/>
  <c r="V271" i="1"/>
  <c r="H28" i="8"/>
  <c r="P264" i="1"/>
  <c r="B21" i="8"/>
  <c r="U264" i="1"/>
  <c r="G21" i="8"/>
  <c r="S271" i="1"/>
  <c r="E28" i="8"/>
  <c r="L265" i="1"/>
  <c r="T267" i="1"/>
  <c r="F24" i="8"/>
  <c r="L271" i="1"/>
  <c r="T271" i="1"/>
  <c r="F28" i="8"/>
  <c r="P271" i="1"/>
  <c r="B28" i="8"/>
  <c r="Q271" i="1"/>
  <c r="C28" i="8"/>
  <c r="V267" i="1"/>
  <c r="H24" i="8"/>
  <c r="R271" i="1"/>
  <c r="D28" i="8"/>
  <c r="Q264" i="1"/>
  <c r="C21" i="8"/>
  <c r="K266" i="1"/>
  <c r="D272" i="1"/>
  <c r="E15" i="8"/>
  <c r="H6" i="4"/>
  <c r="H8" i="4" s="1"/>
  <c r="D6" i="4"/>
  <c r="D8" i="4" s="1"/>
  <c r="G6" i="4"/>
  <c r="G14" i="4" s="1"/>
  <c r="E6" i="4"/>
  <c r="E8" i="4" s="1"/>
  <c r="E16" i="4" s="1"/>
  <c r="Q225" i="1"/>
  <c r="Q258" i="1" s="1"/>
  <c r="R225" i="1"/>
  <c r="T225" i="1"/>
  <c r="T258" i="1" s="1"/>
  <c r="V225" i="1"/>
  <c r="V258" i="1" s="1"/>
  <c r="S225" i="1"/>
  <c r="U225" i="1"/>
  <c r="E272" i="1"/>
  <c r="D15" i="8"/>
  <c r="K262" i="1"/>
  <c r="L262" i="1"/>
  <c r="I272" i="1"/>
  <c r="U265" i="1"/>
  <c r="G22" i="8" s="1"/>
  <c r="R267" i="1"/>
  <c r="H15" i="8"/>
  <c r="E22" i="8"/>
  <c r="H22" i="8"/>
  <c r="F22" i="8"/>
  <c r="B22" i="8"/>
  <c r="I13" i="4"/>
  <c r="I15" i="4"/>
  <c r="H272" i="1"/>
  <c r="G272" i="1"/>
  <c r="C15" i="8"/>
  <c r="C51" i="8"/>
  <c r="B51" i="8"/>
  <c r="B15" i="8"/>
  <c r="G43" i="8" l="1"/>
  <c r="C43" i="8"/>
  <c r="B54" i="8"/>
  <c r="B57" i="8" s="1"/>
  <c r="E43" i="8"/>
  <c r="D43" i="8"/>
  <c r="H43" i="8"/>
  <c r="H57" i="8"/>
  <c r="C57" i="8"/>
  <c r="H16" i="4"/>
  <c r="D16" i="4"/>
  <c r="D57" i="8"/>
  <c r="E57" i="8"/>
  <c r="I14" i="4"/>
  <c r="I8" i="4"/>
  <c r="I16" i="4" s="1"/>
  <c r="F14" i="4"/>
  <c r="F8" i="4"/>
  <c r="C8" i="4"/>
  <c r="C16" i="4" s="1"/>
  <c r="C14" i="4"/>
  <c r="L272" i="1"/>
  <c r="U269" i="1"/>
  <c r="U272" i="1" s="1"/>
  <c r="G26" i="8"/>
  <c r="G29" i="8" s="1"/>
  <c r="R269" i="1"/>
  <c r="R272" i="1" s="1"/>
  <c r="D26" i="8"/>
  <c r="D29" i="8" s="1"/>
  <c r="U258" i="1"/>
  <c r="H5" i="4" s="1"/>
  <c r="H9" i="4" s="1"/>
  <c r="H17" i="4" s="1"/>
  <c r="P269" i="1"/>
  <c r="P272" i="1" s="1"/>
  <c r="B26" i="8"/>
  <c r="B29" i="8" s="1"/>
  <c r="I5" i="4"/>
  <c r="I9" i="4" s="1"/>
  <c r="H26" i="8"/>
  <c r="Q269" i="1"/>
  <c r="Q272" i="1" s="1"/>
  <c r="C26" i="8"/>
  <c r="C29" i="8" s="1"/>
  <c r="S269" i="1"/>
  <c r="S272" i="1" s="1"/>
  <c r="E26" i="8"/>
  <c r="E29" i="8" s="1"/>
  <c r="T269" i="1"/>
  <c r="T272" i="1" s="1"/>
  <c r="F26" i="8"/>
  <c r="F29" i="8" s="1"/>
  <c r="S258" i="1"/>
  <c r="F5" i="4" s="1"/>
  <c r="F9" i="4" s="1"/>
  <c r="F17" i="4" s="1"/>
  <c r="R258" i="1"/>
  <c r="E5" i="4" s="1"/>
  <c r="E9" i="4" s="1"/>
  <c r="E17" i="4" s="1"/>
  <c r="P258" i="1"/>
  <c r="C5" i="4" s="1"/>
  <c r="C9" i="4" s="1"/>
  <c r="C17" i="4" s="1"/>
  <c r="H14" i="4"/>
  <c r="G8" i="4"/>
  <c r="D14" i="4"/>
  <c r="F54" i="8"/>
  <c r="E14" i="4"/>
  <c r="V269" i="1"/>
  <c r="G5" i="4"/>
  <c r="G9" i="4" s="1"/>
  <c r="G17" i="4" s="1"/>
  <c r="D5" i="4"/>
  <c r="D9" i="4" s="1"/>
  <c r="D17" i="4" s="1"/>
  <c r="K272" i="1"/>
  <c r="G15" i="8"/>
  <c r="G51" i="8"/>
  <c r="G57" i="8" s="1"/>
  <c r="F51" i="8"/>
  <c r="F15" i="8"/>
  <c r="G16" i="4" l="1"/>
  <c r="F16" i="4"/>
  <c r="I10" i="4"/>
  <c r="I17" i="4"/>
  <c r="H29" i="8"/>
  <c r="F57" i="8"/>
  <c r="V272" i="1"/>
  <c r="H10" i="4"/>
  <c r="G10" i="4"/>
  <c r="E10" i="4"/>
  <c r="C10" i="4"/>
  <c r="F10" i="4"/>
  <c r="D10" i="4"/>
</calcChain>
</file>

<file path=xl/comments1.xml><?xml version="1.0" encoding="utf-8"?>
<comments xmlns="http://schemas.openxmlformats.org/spreadsheetml/2006/main">
  <authors>
    <author>Alexandra Vennekens</author>
    <author>Robine Hofman</author>
  </authors>
  <commentList>
    <comment ref="B10" authorId="0" shapeId="0">
      <text>
        <r>
          <rPr>
            <b/>
            <sz val="9"/>
            <color indexed="81"/>
            <rFont val="Tahoma"/>
            <charset val="1"/>
          </rPr>
          <t>Alexandra Vennekens:</t>
        </r>
        <r>
          <rPr>
            <sz val="9"/>
            <color indexed="81"/>
            <rFont val="Tahoma"/>
            <charset val="1"/>
          </rPr>
          <t xml:space="preserve">
Meerjarencijfers BuZa obv extrapolatie ivm PM wijzigingen na Regeerakkoord</t>
        </r>
      </text>
    </comment>
    <comment ref="B25" authorId="0" shapeId="0">
      <text>
        <r>
          <rPr>
            <b/>
            <sz val="9"/>
            <color indexed="81"/>
            <rFont val="Tahoma"/>
            <family val="2"/>
          </rPr>
          <t>Alexandra Vennekens:</t>
        </r>
        <r>
          <rPr>
            <sz val="9"/>
            <color indexed="81"/>
            <rFont val="Tahoma"/>
            <family val="2"/>
          </rPr>
          <t xml:space="preserve">
Begroting van WenR is opgeheven en artikelen zijn van 2018 opgenomen in BZK begroting</t>
        </r>
      </text>
    </comment>
    <comment ref="P38" authorId="0" shapeId="0">
      <text>
        <r>
          <rPr>
            <b/>
            <sz val="9"/>
            <color indexed="81"/>
            <rFont val="Tahoma"/>
            <family val="2"/>
          </rPr>
          <t>Alexandra Vennekens:</t>
        </r>
        <r>
          <rPr>
            <sz val="9"/>
            <color indexed="81"/>
            <rFont val="Tahoma"/>
            <family val="2"/>
          </rPr>
          <t xml:space="preserve">
Topsectoren. Kennis en innovatiecontract</t>
        </r>
      </text>
    </comment>
    <comment ref="P39" authorId="0" shapeId="0">
      <text>
        <r>
          <rPr>
            <b/>
            <sz val="9"/>
            <color indexed="81"/>
            <rFont val="Tahoma"/>
            <family val="2"/>
          </rPr>
          <t>Alexandra Vennekens:</t>
        </r>
        <r>
          <rPr>
            <sz val="9"/>
            <color indexed="81"/>
            <rFont val="Tahoma"/>
            <family val="2"/>
          </rPr>
          <t xml:space="preserve">
Topsectoren, zie voor 2016 JV &amp; website NWO Topsectoren</t>
        </r>
      </text>
    </comment>
    <comment ref="I62" authorId="0" shapeId="0">
      <text>
        <r>
          <rPr>
            <b/>
            <sz val="9"/>
            <color indexed="81"/>
            <rFont val="Tahoma"/>
            <family val="2"/>
          </rPr>
          <t>Alexandra Vennekens:</t>
        </r>
        <r>
          <rPr>
            <sz val="9"/>
            <color indexed="81"/>
            <rFont val="Tahoma"/>
            <family val="2"/>
          </rPr>
          <t xml:space="preserve">
Nog niet bekend, betreft nieuwe periode basisinfrastructuur</t>
        </r>
      </text>
    </comment>
    <comment ref="A91" authorId="0" shapeId="0">
      <text>
        <r>
          <rPr>
            <b/>
            <sz val="9"/>
            <color indexed="81"/>
            <rFont val="Tahoma"/>
            <family val="2"/>
          </rPr>
          <t>Alexandra Vennekens:</t>
        </r>
        <r>
          <rPr>
            <sz val="9"/>
            <color indexed="81"/>
            <rFont val="Tahoma"/>
            <family val="2"/>
          </rPr>
          <t xml:space="preserve">
Nog navragen of deze blijft?
</t>
        </r>
      </text>
    </comment>
    <comment ref="K116" authorId="1" shapeId="0">
      <text>
        <r>
          <rPr>
            <b/>
            <sz val="9"/>
            <color indexed="81"/>
            <rFont val="Tahoma"/>
            <family val="2"/>
          </rPr>
          <t>Robine Hofman:</t>
        </r>
        <r>
          <rPr>
            <sz val="9"/>
            <color indexed="81"/>
            <rFont val="Tahoma"/>
            <family val="2"/>
          </rPr>
          <t xml:space="preserve">
volgens de laatste levering is dit 4,5,6,7,8,10</t>
        </r>
      </text>
    </comment>
    <comment ref="K173" authorId="1" shapeId="0">
      <text>
        <r>
          <rPr>
            <b/>
            <sz val="9"/>
            <color indexed="81"/>
            <rFont val="Tahoma"/>
            <family val="2"/>
          </rPr>
          <t>Robine Hofman:</t>
        </r>
        <r>
          <rPr>
            <sz val="9"/>
            <color indexed="81"/>
            <rFont val="Tahoma"/>
            <family val="2"/>
          </rPr>
          <t xml:space="preserve">
volgens de laatste levering is dit voornamelijk 4-7</t>
        </r>
      </text>
    </comment>
    <comment ref="K174" authorId="1" shapeId="0">
      <text>
        <r>
          <rPr>
            <b/>
            <sz val="9"/>
            <color indexed="81"/>
            <rFont val="Tahoma"/>
            <family val="2"/>
          </rPr>
          <t>Robine Hofman:</t>
        </r>
        <r>
          <rPr>
            <sz val="9"/>
            <color indexed="81"/>
            <rFont val="Tahoma"/>
            <family val="2"/>
          </rPr>
          <t xml:space="preserve">
volgens de laatste levering is dit voornamelijk 4-7</t>
        </r>
      </text>
    </comment>
    <comment ref="K175" authorId="1" shapeId="0">
      <text>
        <r>
          <rPr>
            <b/>
            <sz val="9"/>
            <color indexed="81"/>
            <rFont val="Tahoma"/>
            <family val="2"/>
          </rPr>
          <t>Robine Hofman:</t>
        </r>
        <r>
          <rPr>
            <sz val="9"/>
            <color indexed="81"/>
            <rFont val="Tahoma"/>
            <family val="2"/>
          </rPr>
          <t xml:space="preserve">
volgens de laatste levering is dit voornamelijk 4-7</t>
        </r>
      </text>
    </comment>
    <comment ref="B227" authorId="0" shapeId="0">
      <text>
        <r>
          <rPr>
            <b/>
            <sz val="9"/>
            <color indexed="81"/>
            <rFont val="Tahoma"/>
            <family val="2"/>
          </rPr>
          <t>Alexandra Vennekens:</t>
        </r>
        <r>
          <rPr>
            <sz val="9"/>
            <color indexed="81"/>
            <rFont val="Tahoma"/>
            <family val="2"/>
          </rPr>
          <t xml:space="preserve">
SZW heeft n.a.v. TWIN-bijeenkomst op 6 oktober extra aandacht besteed aan identificatie van uitgaven aan R&amp;D en innovatie. Dit heeft geleid tot een forse verhoging t.o.v. voorgaande jaren. </t>
        </r>
      </text>
    </comment>
  </commentList>
</comments>
</file>

<file path=xl/comments2.xml><?xml version="1.0" encoding="utf-8"?>
<comments xmlns="http://schemas.openxmlformats.org/spreadsheetml/2006/main">
  <authors>
    <author>Alexandra Vennekens</author>
    <author>Robine Hofman</author>
  </authors>
  <commentList>
    <comment ref="B25" authorId="0" shapeId="0">
      <text>
        <r>
          <rPr>
            <b/>
            <sz val="9"/>
            <color indexed="81"/>
            <rFont val="Tahoma"/>
            <family val="2"/>
          </rPr>
          <t>Alexandra Vennekens:</t>
        </r>
        <r>
          <rPr>
            <sz val="9"/>
            <color indexed="81"/>
            <rFont val="Tahoma"/>
            <family val="2"/>
          </rPr>
          <t xml:space="preserve">
T.o.v. vorig jaar is het bedrag afgenomen omdat door de reorganisatie en daaruit volgende conversie van budgetten oude algemene onderzoeksbudgetten niet meer herleidbaar zijn.
Daarnaast gaat BZK over naar een nieuw boekhoudsysteem.
BZK schat in meer uit te geven aan innovatie dan ze nu vermelden. BZK is bezig  met uitwerken van innovatieve maatregelen op het gebied van elektronische ID. Bij de overgang naar SAP per 1 januari komt er wellicht meer zicht op deze budgetten.
</t>
        </r>
      </text>
    </comment>
    <comment ref="I48" authorId="0" shapeId="0">
      <text>
        <r>
          <rPr>
            <b/>
            <sz val="9"/>
            <color indexed="81"/>
            <rFont val="Tahoma"/>
            <family val="2"/>
          </rPr>
          <t>Alexandra Vennekens:</t>
        </r>
        <r>
          <rPr>
            <sz val="9"/>
            <color indexed="81"/>
            <rFont val="Tahoma"/>
            <family val="2"/>
          </rPr>
          <t xml:space="preserve">
Totaalbedrag nog niet bekend</t>
        </r>
      </text>
    </comment>
    <comment ref="I49" authorId="0" shapeId="0">
      <text>
        <r>
          <rPr>
            <b/>
            <sz val="9"/>
            <color indexed="81"/>
            <rFont val="Tahoma"/>
            <family val="2"/>
          </rPr>
          <t>Alexandra Vennekens:</t>
        </r>
        <r>
          <rPr>
            <sz val="9"/>
            <color indexed="81"/>
            <rFont val="Tahoma"/>
            <family val="2"/>
          </rPr>
          <t xml:space="preserve">
Nog niet bekend, betreft nieuwe periode basisinfrastructuur</t>
        </r>
      </text>
    </comment>
    <comment ref="A92" authorId="0" shapeId="0">
      <text>
        <r>
          <rPr>
            <b/>
            <sz val="9"/>
            <color indexed="81"/>
            <rFont val="Tahoma"/>
            <family val="2"/>
          </rPr>
          <t>Alexandra Vennekens:</t>
        </r>
        <r>
          <rPr>
            <sz val="9"/>
            <color indexed="81"/>
            <rFont val="Tahoma"/>
            <family val="2"/>
          </rPr>
          <t xml:space="preserve">
Nog navragen of deze blijft?
</t>
        </r>
      </text>
    </comment>
    <comment ref="K129" authorId="1" shapeId="0">
      <text>
        <r>
          <rPr>
            <b/>
            <sz val="9"/>
            <color indexed="81"/>
            <rFont val="Tahoma"/>
            <family val="2"/>
          </rPr>
          <t>Robine Hofman:</t>
        </r>
        <r>
          <rPr>
            <sz val="9"/>
            <color indexed="81"/>
            <rFont val="Tahoma"/>
            <family val="2"/>
          </rPr>
          <t xml:space="preserve">
volgens de laatste levering is dit 4,5,6,7,8,10</t>
        </r>
      </text>
    </comment>
    <comment ref="K176" authorId="1" shapeId="0">
      <text>
        <r>
          <rPr>
            <b/>
            <sz val="9"/>
            <color indexed="81"/>
            <rFont val="Tahoma"/>
            <family val="2"/>
          </rPr>
          <t>Robine Hofman:</t>
        </r>
        <r>
          <rPr>
            <sz val="9"/>
            <color indexed="81"/>
            <rFont val="Tahoma"/>
            <family val="2"/>
          </rPr>
          <t xml:space="preserve">
volgens de laatste levering is dit voornamelijk 4-7</t>
        </r>
      </text>
    </comment>
    <comment ref="K177" authorId="1" shapeId="0">
      <text>
        <r>
          <rPr>
            <b/>
            <sz val="9"/>
            <color indexed="81"/>
            <rFont val="Tahoma"/>
            <family val="2"/>
          </rPr>
          <t>Robine Hofman:</t>
        </r>
        <r>
          <rPr>
            <sz val="9"/>
            <color indexed="81"/>
            <rFont val="Tahoma"/>
            <family val="2"/>
          </rPr>
          <t xml:space="preserve">
volgens de laatste levering is dit voornamelijk 4-7</t>
        </r>
      </text>
    </comment>
    <comment ref="K178" authorId="1" shapeId="0">
      <text>
        <r>
          <rPr>
            <b/>
            <sz val="9"/>
            <color indexed="81"/>
            <rFont val="Tahoma"/>
            <family val="2"/>
          </rPr>
          <t>Robine Hofman:</t>
        </r>
        <r>
          <rPr>
            <sz val="9"/>
            <color indexed="81"/>
            <rFont val="Tahoma"/>
            <family val="2"/>
          </rPr>
          <t xml:space="preserve">
volgens de laatste levering is dit voornamelijk 4-7</t>
        </r>
      </text>
    </comment>
  </commentList>
</comments>
</file>

<file path=xl/sharedStrings.xml><?xml version="1.0" encoding="utf-8"?>
<sst xmlns="http://schemas.openxmlformats.org/spreadsheetml/2006/main" count="2604" uniqueCount="648">
  <si>
    <t>Best.</t>
  </si>
  <si>
    <t>Type</t>
  </si>
  <si>
    <t>Goed functionerende economie en markten</t>
  </si>
  <si>
    <t>Onderzoek &amp; opdrachten</t>
  </si>
  <si>
    <t>R/O</t>
  </si>
  <si>
    <t>R/SO/O</t>
  </si>
  <si>
    <t>Bijdrage Metrologie (Nmi)</t>
  </si>
  <si>
    <t>SO</t>
  </si>
  <si>
    <t>Bijdrage aan het CBS</t>
  </si>
  <si>
    <t>R</t>
  </si>
  <si>
    <t>12.01.01</t>
  </si>
  <si>
    <t>IO</t>
  </si>
  <si>
    <t>O</t>
  </si>
  <si>
    <t>12.01.04</t>
  </si>
  <si>
    <t>12.01.05</t>
  </si>
  <si>
    <t>U/TNO/DLO/SO/O</t>
  </si>
  <si>
    <t>12.01.06</t>
  </si>
  <si>
    <t>div.</t>
  </si>
  <si>
    <t>TNO</t>
  </si>
  <si>
    <t>12.10.01</t>
  </si>
  <si>
    <t>12.10.02</t>
  </si>
  <si>
    <t>12.10.03</t>
  </si>
  <si>
    <t>NWO</t>
  </si>
  <si>
    <t>TNO/DLO/SO/NWO</t>
  </si>
  <si>
    <t>O/U/TNO</t>
  </si>
  <si>
    <t>SO/O</t>
  </si>
  <si>
    <t>Een doelmatige en duurzame energievoorziening</t>
  </si>
  <si>
    <t>Carbon Capture and Storage</t>
  </si>
  <si>
    <t>HFR/NRG</t>
  </si>
  <si>
    <t>RIVM</t>
  </si>
  <si>
    <t>Pallas</t>
  </si>
  <si>
    <t>Bijdrage aan ECN</t>
  </si>
  <si>
    <t>ECN</t>
  </si>
  <si>
    <t>Concurrerende, duurzame, veilige agro-, visserij- en voedselketens</t>
  </si>
  <si>
    <t>DLO</t>
  </si>
  <si>
    <t>Topsectoren</t>
  </si>
  <si>
    <t>ZonMW</t>
  </si>
  <si>
    <t>Apparaat</t>
  </si>
  <si>
    <t>Centraal Plan Bureau</t>
  </si>
  <si>
    <t>12.01.02</t>
  </si>
  <si>
    <t>12.01.03</t>
  </si>
  <si>
    <t>13.10.04</t>
  </si>
  <si>
    <t>Inst.</t>
  </si>
  <si>
    <t>Proj.</t>
  </si>
  <si>
    <t>X Defensie</t>
  </si>
  <si>
    <t>III Algemene Zaken</t>
  </si>
  <si>
    <t>V Buitenlandse Zaken</t>
  </si>
  <si>
    <t>VIII Onderwijs, Cultuur en Wetenschap</t>
  </si>
  <si>
    <t>Bijdrage aan TNO</t>
  </si>
  <si>
    <t>Internationaal Innoveren</t>
  </si>
  <si>
    <t>Grote Technologische Instituten (MARIN)</t>
  </si>
  <si>
    <t>Grote Technologische Instituten (Deltares)</t>
  </si>
  <si>
    <t>Grote Technologische Instituten (NLR)</t>
  </si>
  <si>
    <t>NABS</t>
  </si>
  <si>
    <t>Totaal generaal</t>
  </si>
  <si>
    <t>U0604</t>
  </si>
  <si>
    <t>Technologieontwikkeling en kennistoepassing</t>
  </si>
  <si>
    <t>Defensie</t>
  </si>
  <si>
    <t>NLR-programmafinanciering</t>
  </si>
  <si>
    <t>TOTAAL DEFENSIE</t>
  </si>
  <si>
    <t>Bevorderen van de eenheid van het algemeen regeringsbeleid: wetenschappelijke studies</t>
  </si>
  <si>
    <t>Politieke en soc. systemen, structuren/processen</t>
  </si>
  <si>
    <t>0.1</t>
  </si>
  <si>
    <t>Art. 40</t>
  </si>
  <si>
    <t>TOTAAL ALGEMENE ZAKEN</t>
  </si>
  <si>
    <t>TOTAAL BUITENLANDSE ZAKEN</t>
  </si>
  <si>
    <t>TOTAAL VEILIGHEID EN JUSTITIE</t>
  </si>
  <si>
    <t>TOTAAL ONDERWIJS, CULTUUR EN WETENSCHAP</t>
  </si>
  <si>
    <t>VII Binnenlandse Zaken en Koninkrijksrelaties</t>
  </si>
  <si>
    <t>TOTAAL BINNENLANDSE ZAKEN EN KONINKRIJKSRELATIES</t>
  </si>
  <si>
    <t>91</t>
  </si>
  <si>
    <t>Cultuur, recreatie, religie en massamedia</t>
  </si>
  <si>
    <t>Externe projecten (U)</t>
  </si>
  <si>
    <t>U</t>
  </si>
  <si>
    <t>Externe projecten (SO)</t>
  </si>
  <si>
    <t>WODC: intern onderzoek</t>
  </si>
  <si>
    <t>13.3</t>
  </si>
  <si>
    <t>Nederlands Forensisch Instituut</t>
  </si>
  <si>
    <t>Artikelnr.</t>
  </si>
  <si>
    <t>Begrotingsartikel</t>
  </si>
  <si>
    <t xml:space="preserve">stand begr. </t>
  </si>
  <si>
    <t>ontwerp</t>
  </si>
  <si>
    <t>meerjarencijfers</t>
  </si>
  <si>
    <t>Nabscode</t>
  </si>
  <si>
    <t>TOTAAL INFRASTRUCTUUR EN MILIEU</t>
  </si>
  <si>
    <t>XV Sociale Zaken en Werkgelegenheid</t>
  </si>
  <si>
    <t>XVI Volksgezondheid, Welzijn en Sport</t>
  </si>
  <si>
    <t>TOTAAL GENERAAL</t>
  </si>
  <si>
    <t>TOTAAL SOCIALE ZAKEN EN WERKGELEGENHEID</t>
  </si>
  <si>
    <t>TOTAAL VOLKSGEZONDHEID, WELZIJN EN SPORT</t>
  </si>
  <si>
    <t>Universiteiten</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</si>
  <si>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</si>
  <si>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</si>
  <si>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</si>
  <si>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</si>
  <si>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</si>
  <si>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</si>
  <si>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</si>
  <si>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</si>
  <si>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</si>
  <si>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</si>
  <si>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</si>
  <si>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</si>
  <si>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</si>
  <si>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</si>
  <si>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</si>
  <si>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</si>
  <si>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</si>
  <si>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</si>
  <si>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</si>
  <si>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</si>
  <si>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</si>
  <si>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</si>
  <si>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</si>
  <si>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</si>
  <si>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</si>
  <si>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</si>
  <si>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</si>
  <si>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</si>
  <si>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Bilaterale samenwerking</t>
  </si>
  <si>
    <t>14.4</t>
  </si>
  <si>
    <t>Rijksbureau voor Kunsthistorisch onderzoek (RKD)</t>
  </si>
  <si>
    <t>Culturele zaken: onderzoek</t>
  </si>
  <si>
    <t>Subsidie Boekmanstichting</t>
  </si>
  <si>
    <t>Algemeen</t>
  </si>
  <si>
    <t>Centrum Ondergronds Bouwen</t>
  </si>
  <si>
    <t>COB</t>
  </si>
  <si>
    <t>PianOo</t>
  </si>
  <si>
    <t>Vernieuwing bouw</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</si>
  <si>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</si>
  <si>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</si>
  <si>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</si>
  <si>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</si>
  <si>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</si>
  <si>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</si>
  <si>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</si>
  <si>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</si>
  <si>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</si>
  <si>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</si>
  <si>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</si>
  <si>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</si>
  <si>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</si>
  <si>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</si>
  <si>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</si>
  <si>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(Basis)financiering CUR</t>
  </si>
  <si>
    <t>CUR</t>
  </si>
  <si>
    <t>IF 12.06.02</t>
  </si>
  <si>
    <t>Doorontwikkeling kennismanagement HWN</t>
  </si>
  <si>
    <t>RWS Corporate innovatie (bijdrage water)</t>
  </si>
  <si>
    <t>RWS Corporate innovatie (bijdrage wegen)</t>
  </si>
  <si>
    <t>Integraal waterbeleid</t>
  </si>
  <si>
    <t>Deltares.</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</si>
  <si>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</si>
  <si>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</si>
  <si>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</si>
  <si>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</si>
  <si>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</si>
  <si>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</si>
  <si>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</si>
  <si>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</si>
  <si>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</si>
  <si>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</si>
  <si>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</si>
  <si>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</si>
  <si>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</si>
  <si>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</si>
  <si>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</si>
  <si>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</si>
  <si>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xml:space="preserve">Totale uitgaven voor R&amp;D en innovatie </t>
  </si>
  <si>
    <t>- waarvan innovatierelevant</t>
  </si>
  <si>
    <t>Uitgaven voor innovatie, niet zijnde R&amp;D</t>
  </si>
  <si>
    <t>2.8</t>
  </si>
  <si>
    <t>Stichting Instituut Clingendael</t>
  </si>
  <si>
    <t>Onderzoeksprogramma</t>
  </si>
  <si>
    <t xml:space="preserve"> </t>
  </si>
  <si>
    <t>AZ</t>
  </si>
  <si>
    <t>BuZa</t>
  </si>
  <si>
    <t>BZK</t>
  </si>
  <si>
    <t>OCW</t>
  </si>
  <si>
    <t>Def</t>
  </si>
  <si>
    <t>SZW</t>
  </si>
  <si>
    <t>VWS</t>
  </si>
  <si>
    <t>Landbouwwetenschappen</t>
  </si>
  <si>
    <t>Wettelijke onderzoekstaken</t>
  </si>
  <si>
    <t xml:space="preserve">Landbouw </t>
  </si>
  <si>
    <t>Energie</t>
  </si>
  <si>
    <t>Industriële productie en technologie</t>
  </si>
  <si>
    <t>4.3</t>
  </si>
  <si>
    <t>ZonMw</t>
  </si>
  <si>
    <t>1.2</t>
  </si>
  <si>
    <t>SCP (uitbesteding)</t>
  </si>
  <si>
    <t>SCP (eigen onderzoek)</t>
  </si>
  <si>
    <t>SCP</t>
  </si>
  <si>
    <t>6.1</t>
  </si>
  <si>
    <t>Sport en bewegen</t>
  </si>
  <si>
    <t>Kwaliteit, transparantie en kennisontwikkeling</t>
  </si>
  <si>
    <t>2.1</t>
  </si>
  <si>
    <t>Kwaliteit en veiligheid</t>
  </si>
  <si>
    <t>NKI</t>
  </si>
  <si>
    <t>1.4</t>
  </si>
  <si>
    <t>Proj</t>
  </si>
  <si>
    <t>Netwerkplatform innovatie overheid</t>
  </si>
  <si>
    <t>Health toepassingen in de zorg</t>
  </si>
  <si>
    <t>Overgangssubsidie anonieme e-mental health</t>
  </si>
  <si>
    <t>Contributie aan internationale organisaties</t>
  </si>
  <si>
    <t>BBP (miljarden euro)</t>
  </si>
  <si>
    <t>Projectfinanciering</t>
  </si>
  <si>
    <t>Totaal projectfinanciering</t>
  </si>
  <si>
    <t>Institutionele financiering</t>
  </si>
  <si>
    <t>Totaal institutionele financiering</t>
  </si>
  <si>
    <t>Project- en institutionele financiering</t>
  </si>
  <si>
    <t>Aandeel 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</si>
  <si>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</si>
  <si>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</si>
  <si>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</si>
  <si>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</si>
  <si>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</si>
  <si>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</si>
  <si>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</si>
  <si>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</si>
  <si>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</si>
  <si>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</si>
  <si>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</si>
  <si>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</si>
  <si>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</si>
  <si>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</si>
  <si>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</si>
  <si>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</si>
  <si>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</si>
  <si>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</si>
  <si>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</si>
  <si>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</si>
  <si>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</si>
  <si>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</si>
  <si>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</si>
  <si>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</si>
  <si>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</si>
  <si>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</si>
  <si>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</si>
  <si>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</si>
  <si>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</si>
  <si>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</si>
  <si>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</si>
  <si>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</si>
  <si>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</si>
  <si>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</si>
  <si>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</si>
  <si>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</si>
  <si>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</si>
  <si>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</si>
  <si>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 xml:space="preserve">Groen beleggen / MIA / VAMIL </t>
  </si>
  <si>
    <t>9.3</t>
  </si>
  <si>
    <t>in %</t>
  </si>
  <si>
    <t>Beschikbaarheidsbijdrage academische zorg</t>
  </si>
  <si>
    <t>- Toelichting</t>
  </si>
  <si>
    <t>INHOUD VAN HET DOCUMENT</t>
  </si>
  <si>
    <t>Strategisch onderzoek RIVM</t>
  </si>
  <si>
    <t>realisatie</t>
  </si>
  <si>
    <t>Pieken in de Delta</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</si>
  <si>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</si>
  <si>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</si>
  <si>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</si>
  <si>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</si>
  <si>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</si>
  <si>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</si>
  <si>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subtotaal innovatiedeel EZ-begroting</t>
  </si>
  <si>
    <t>subtotaal landbouwdeel van de EZ-begroting</t>
  </si>
  <si>
    <t>% innovatie-</t>
  </si>
  <si>
    <t>relevant</t>
  </si>
  <si>
    <t>Inst+Proj.</t>
  </si>
  <si>
    <t>NWO STW</t>
  </si>
  <si>
    <t>NWO Grootschalige researchinfrastructuur</t>
  </si>
  <si>
    <t>NWO Regieorgaan onderwijsonderzoek</t>
  </si>
  <si>
    <t>Rijksdienst voor het Cultureel Erfgoed (RCE)</t>
  </si>
  <si>
    <t>Woningmarkt, woonomgeving en bouw</t>
  </si>
  <si>
    <t>Programmafinanciering TNO (totaal)</t>
  </si>
  <si>
    <t>BKZ</t>
  </si>
  <si>
    <t>Ziektepreventie (FES RSV)</t>
  </si>
  <si>
    <t>Kwaliteit en veiligheid (FES Lifelines)</t>
  </si>
  <si>
    <t>Kwaliteit en veiligheid (FES LSH)</t>
  </si>
  <si>
    <t>Kwaliteit en Veiligheid / Instellingssubsidie Nictiz</t>
  </si>
  <si>
    <t>Topsectoren: Kwaliteit, transparantie en kennisontwikkeling</t>
  </si>
  <si>
    <t>18.10</t>
  </si>
  <si>
    <t>Co-financiering EFRO en Interreg</t>
  </si>
  <si>
    <t>Innovatiefonds: risicokapitaal Seed</t>
  </si>
  <si>
    <t>MKB-Innovatiestimulering Topsectoren (MIT)</t>
  </si>
  <si>
    <t>Innovatiefonds: Fund to Fund</t>
  </si>
  <si>
    <t>10.7</t>
  </si>
  <si>
    <t>Landenspecifieke sectorale samenwerking</t>
  </si>
  <si>
    <t>6.2</t>
  </si>
  <si>
    <t>Thematische samenwerking</t>
  </si>
  <si>
    <t>10.4</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</si>
  <si>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</si>
  <si>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</si>
  <si>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</si>
  <si>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</si>
  <si>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</si>
  <si>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</si>
  <si>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</si>
  <si>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</si>
  <si>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</si>
  <si>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</si>
  <si>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</si>
  <si>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</si>
  <si>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</si>
  <si>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</si>
  <si>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</si>
  <si>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</si>
  <si>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</si>
  <si>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</si>
  <si>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</si>
  <si>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</si>
  <si>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</si>
  <si>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</si>
  <si>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</si>
  <si>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23.01</t>
  </si>
  <si>
    <t>1217U01010013</t>
  </si>
  <si>
    <t>Subsidies KIS</t>
  </si>
  <si>
    <t>1297U01020003</t>
  </si>
  <si>
    <t>Onderzoek / Kennis (KIS)</t>
  </si>
  <si>
    <t>1297U01010005</t>
  </si>
  <si>
    <t>1297U01010009</t>
  </si>
  <si>
    <t>1214U02020003</t>
  </si>
  <si>
    <t>1220u01070001</t>
  </si>
  <si>
    <t>Traffic Quest</t>
  </si>
  <si>
    <t>DF 5.01</t>
  </si>
  <si>
    <t>12.11</t>
  </si>
  <si>
    <t>DF 01</t>
  </si>
  <si>
    <t>Topsectoren overig (NWO)</t>
  </si>
  <si>
    <t>4,6,8</t>
  </si>
  <si>
    <t>13.06.09</t>
  </si>
  <si>
    <t>proj.</t>
  </si>
  <si>
    <t>Volksgezondheid: Ethiek</t>
  </si>
  <si>
    <t>3.2.1</t>
  </si>
  <si>
    <t>Sectorplan mbo-hbo techniek</t>
  </si>
  <si>
    <t>Met de middelen voor het sectorplan mbo-techniek worden de centra voor innovatief vakmanschap in het mbo gefinancierd (eerste generatie). Deze centra, die met cofinanciering van bedrijven tot stand komen, zijn gericht op toponderwijs, toponderzoek en innovaties in het bedrijfsleven.</t>
  </si>
  <si>
    <t>Regionaal investeringsfonds (pps in het mbo)</t>
  </si>
  <si>
    <t xml:space="preserve">6501U </t>
  </si>
  <si>
    <t>5515u</t>
  </si>
  <si>
    <t>Subsidies Zeehaveninnovatieproject (ZIP)</t>
  </si>
  <si>
    <t>1217U</t>
  </si>
  <si>
    <t>1218U</t>
  </si>
  <si>
    <t>KLM</t>
  </si>
  <si>
    <t>via Connekt en (onderzoeks-)projecten</t>
  </si>
  <si>
    <t>via NWO en TKI</t>
  </si>
  <si>
    <t>via STICHTING PROJECTEN BINNENVAART</t>
  </si>
  <si>
    <t>Publiek/Privaat Projectfinanciering</t>
  </si>
  <si>
    <t>Topsectoren overig: TKI Click</t>
  </si>
  <si>
    <t>Uitfinanciering subsidies: Innovatieregeling Scheepsbouw</t>
  </si>
  <si>
    <t>19.15.05</t>
  </si>
  <si>
    <t>Innovatiefonds: ROM's</t>
  </si>
  <si>
    <t>Sport en bewegen: Kennis en Innovatieagenda Sport</t>
  </si>
  <si>
    <t>ZonMw: Kennis en Innovatie Sportagenda</t>
  </si>
  <si>
    <t>TUD/TUE e.a.</t>
  </si>
  <si>
    <t>Per 2016 is de Research &amp; Development Aftrek (RDA) samengevoegd met de WBSO</t>
  </si>
  <si>
    <t>Onderzoekscomponent hogescholen (HBO Bekostiging Deel ontwerp en ontwikkeling)</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</si>
  <si>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</si>
  <si>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</si>
  <si>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</si>
  <si>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</si>
  <si>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Innovatiefonds: Investeringen in fundamenteel en toegepast onderzoek</t>
  </si>
  <si>
    <t>Transport, telecommunicatie en ov. infrastructuren</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</si>
  <si>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</si>
  <si>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Transport, telecommunicatie en overige infrastructuren</t>
  </si>
  <si>
    <t>Arbeidsmarkt</t>
  </si>
  <si>
    <t>Integratie en maatschappelijke samenhang</t>
  </si>
  <si>
    <t>Integratie en Maatschappelijke samenhang</t>
  </si>
  <si>
    <t>Bijstand, Participatiewet en Toeslagenwet</t>
  </si>
  <si>
    <t>Zorgen voor een goede en toegankelijke zorg "In voor Zorg"</t>
  </si>
  <si>
    <t>10.2</t>
  </si>
  <si>
    <t>Kwaliteit en veiligheid: Zorg voor innoveren</t>
  </si>
  <si>
    <t>Kwaliteit en Veiligheid: Health monitor Nictiz/NIVEL</t>
  </si>
  <si>
    <t>Kwaliteit en Veiligheid: IHTSDO (SNOMED CT)</t>
  </si>
  <si>
    <t>Toegankelijkheid en betaalbaarheid: e-mental health</t>
  </si>
  <si>
    <t>U/R/SO/O</t>
  </si>
  <si>
    <t>12.10</t>
  </si>
  <si>
    <t>Small Business Innovation Research</t>
  </si>
  <si>
    <t>Art. 1</t>
  </si>
  <si>
    <t>Art. 2</t>
  </si>
  <si>
    <t>Art. 3</t>
  </si>
  <si>
    <t>Bedrijvenbeleid: innovatief en duurzaam ondernemen</t>
  </si>
  <si>
    <t>Toekomstfonds</t>
  </si>
  <si>
    <t>19.10</t>
  </si>
  <si>
    <t>Startups/MKB</t>
  </si>
  <si>
    <t>U/HBO/TNO/SO/O/GTI</t>
  </si>
  <si>
    <t>12.01.07</t>
  </si>
  <si>
    <t>Art.4</t>
  </si>
  <si>
    <t>14.01</t>
  </si>
  <si>
    <t>14.06</t>
  </si>
  <si>
    <t>14.10</t>
  </si>
  <si>
    <t>14.08</t>
  </si>
  <si>
    <t>Bijdrage TNO bodembeheer</t>
  </si>
  <si>
    <t>Meerjarenprogramma Nationaal Coördinator Groningen</t>
  </si>
  <si>
    <t>Art. 5</t>
  </si>
  <si>
    <t>Onderzoek NCG</t>
  </si>
  <si>
    <t>15.06</t>
  </si>
  <si>
    <t>Div.</t>
  </si>
  <si>
    <t>Art. 6</t>
  </si>
  <si>
    <t>16.06</t>
  </si>
  <si>
    <t>13.4</t>
  </si>
  <si>
    <t>16.40</t>
  </si>
  <si>
    <t>Opdrachtverlening via RIVM</t>
  </si>
  <si>
    <t>11.06</t>
  </si>
  <si>
    <t>11.08</t>
  </si>
  <si>
    <t>Startups/mkb</t>
  </si>
  <si>
    <t>%</t>
  </si>
  <si>
    <t>KIRE (CPB)</t>
  </si>
  <si>
    <t>Veiligheid en mobiliteit Universiteit Utrecht Rijvaardiheid cat III medicijnen</t>
  </si>
  <si>
    <t>1214U02010001</t>
  </si>
  <si>
    <t>1219U02010001</t>
  </si>
  <si>
    <t>Aandeel Kennisvragen in opdracht - RIVM</t>
  </si>
  <si>
    <t>Onderzoek / Kennis (KiM)</t>
  </si>
  <si>
    <t>KIS</t>
  </si>
  <si>
    <t>pm</t>
  </si>
  <si>
    <t>HWS - Waterveiligheid</t>
  </si>
  <si>
    <t>HWS - Deltares</t>
  </si>
  <si>
    <t>HWS - Zoetwatervoorziening</t>
  </si>
  <si>
    <t>DF 02</t>
  </si>
  <si>
    <t>DF 07</t>
  </si>
  <si>
    <t>HWS - Waterkwaliteit</t>
  </si>
  <si>
    <t>Bron: TWIN-database Rathenau Instituut</t>
  </si>
  <si>
    <t>VO: CITO (digitale examens)</t>
  </si>
  <si>
    <t>VO: CvTE (digitale examens)</t>
  </si>
  <si>
    <t>VO: CITO/CvTE (rekentoets)</t>
  </si>
  <si>
    <t>VO: DUO (FACET)</t>
  </si>
  <si>
    <t>VO: CITO/CvTE (DTT)</t>
  </si>
  <si>
    <t>VO: Verschillende universiteiten (DTT)</t>
  </si>
  <si>
    <t>PO: Doorbraak ICT: PO-Raad</t>
  </si>
  <si>
    <t>PO: Doorbraak ICT-Kennisnet</t>
  </si>
  <si>
    <t>PO: Onderwijs 2032</t>
  </si>
  <si>
    <t>PO: Lerarenontwikkelfonds (LOF)-DUSi</t>
  </si>
  <si>
    <t>PO: Kennisrotonde - NRO</t>
  </si>
  <si>
    <t>PO: Pilot werkplaatsen Onderwijsonderzoek - NRO</t>
  </si>
  <si>
    <t>PO: Academische werkplaatsen - NRO</t>
  </si>
  <si>
    <t>PO: Innovatiecentra VVE</t>
  </si>
  <si>
    <t>PO: Evaluatie tweetalig PO - ITS</t>
  </si>
  <si>
    <t>HBO: Comeniusbeurs</t>
  </si>
  <si>
    <t>incl. uitvoeringskosten NRO</t>
  </si>
  <si>
    <t>WO: Comeniusbeurs</t>
  </si>
  <si>
    <t xml:space="preserve">HO: Subsidieregeling open en online onderwijs </t>
  </si>
  <si>
    <t>incl. uitvoeringskosten SURF</t>
  </si>
  <si>
    <t>NWO: Praktijkgericht onderzoek hbo</t>
  </si>
  <si>
    <t>Nationaal Archief tbv Archief Innovatie</t>
  </si>
  <si>
    <t>Stimuleringsfonds voor de Journalistiek</t>
  </si>
  <si>
    <t>Naturalis - Biodiversity center</t>
  </si>
  <si>
    <t>TNO/MARIN</t>
  </si>
  <si>
    <t>TNO/GTI/DGI</t>
  </si>
  <si>
    <t xml:space="preserve">Caribisch Nederland </t>
  </si>
  <si>
    <t>12 div.</t>
  </si>
  <si>
    <t>NWO Talentenontwikkeling (o.a. VI)</t>
  </si>
  <si>
    <t>- waarvan (relevante) uitgaven voor innovatie</t>
  </si>
  <si>
    <t>- (relevante) uitgaven voor innovatie</t>
  </si>
  <si>
    <t>Onderwijsonderzoek</t>
  </si>
  <si>
    <t>Emancipatie</t>
  </si>
  <si>
    <t>6/7</t>
  </si>
  <si>
    <t>Fiscale instrumenten voor R&amp;D</t>
  </si>
  <si>
    <t>Diverse</t>
  </si>
  <si>
    <t>% R&amp;D van (sub)-artikel</t>
  </si>
  <si>
    <t>Aandeel innovatie in % van (sub-)artikel</t>
  </si>
  <si>
    <t>% R&amp;D van (sub-)artikel</t>
  </si>
  <si>
    <t>Overheidsuitgaven voor R&amp;D en innovatie, 2016-2022, in miljoenen euro en in procenten BBP</t>
  </si>
  <si>
    <t>Overheidsuitgaven voor R&amp;D 2016-2022, op basis van begrotingscijfers 2018, per begrotingsartikel, per departement, in miljoenen euro</t>
  </si>
  <si>
    <t>2016-2022</t>
  </si>
  <si>
    <t>Bewerking R&amp;D-cijfers begroting 2018, naar type financiering</t>
  </si>
  <si>
    <t>33.3</t>
  </si>
  <si>
    <t>7;18</t>
  </si>
  <si>
    <t>Ziektepreventie (vaccinonderzoek RIVM en InTraVacc)</t>
  </si>
  <si>
    <t>Kwaliteit en veiligheid (onderzoek Onco XL)</t>
  </si>
  <si>
    <t>XI Infrastructuur en Waterstaat</t>
  </si>
  <si>
    <t>TOTAAL INFRASTRUCTUUR EN WATERSTAAT</t>
  </si>
  <si>
    <t>1214u</t>
  </si>
  <si>
    <t>Talking Traffic</t>
  </si>
  <si>
    <t>ITS uitgaven Beter Benutten</t>
  </si>
  <si>
    <t>ontwikkeling software</t>
  </si>
  <si>
    <t>publiek projectfinanciering</t>
  </si>
  <si>
    <t>TNO/RIVM</t>
  </si>
  <si>
    <t>Netspar</t>
  </si>
  <si>
    <t>Bouwagenda</t>
  </si>
  <si>
    <t>Bouwcampus</t>
  </si>
  <si>
    <t>DF 65.05.01</t>
  </si>
  <si>
    <t>Kennisontwikkeling (allianties) universiteiten (HWS)</t>
  </si>
  <si>
    <t>0/SO</t>
  </si>
  <si>
    <t>Ministerie van Infrastructuur en Waterstaat</t>
  </si>
  <si>
    <t>Beleidsvoorbereiding en evaluaties Veiligheid en Frequenties: frequenties</t>
  </si>
  <si>
    <t>Beleidsvoorbereiding en evaluaties Veiligheid en Frequenties:bemiddelingsdienst voor doven en slechtzienden</t>
  </si>
  <si>
    <t>Lucht- en Ruimtevaart: subsidieregelingen</t>
  </si>
  <si>
    <t>Lucht- en Ruimtevaart: nat. Prog. luchtvaart</t>
  </si>
  <si>
    <t>Eurostars: Eurostars</t>
  </si>
  <si>
    <t>Eurostars: bijdrage aan NML</t>
  </si>
  <si>
    <t>Eurostars: innovatieve onderzoeksprogramma's</t>
  </si>
  <si>
    <t>Eurostars: bijdrage aan overige instituten</t>
  </si>
  <si>
    <t>Overig (NABS 6): innovatie prestatie contracten</t>
  </si>
  <si>
    <t>Overig: smartmix</t>
  </si>
  <si>
    <t>Overig: Eureka/GL RVO</t>
  </si>
  <si>
    <t>Overig: opkomende markten HGIS</t>
  </si>
  <si>
    <t>Overig: innovatie prestatie contracten</t>
  </si>
  <si>
    <t>TKI toeslag: organiserend vermogen TKI's</t>
  </si>
  <si>
    <t>TKI toeslag: TKI toeslag</t>
  </si>
  <si>
    <t>TKI toeslag: TTI transitie TKI</t>
  </si>
  <si>
    <t>Grote Technologische Instituten (NWO-TTW)</t>
  </si>
  <si>
    <t>Grote Technologische Instituten (Innowator)</t>
  </si>
  <si>
    <t>Grote Technologische Instituten (TIFN)</t>
  </si>
  <si>
    <t>Grote Technologische Instituten (Food and nutrition delta)</t>
  </si>
  <si>
    <t>Grote Technologische Instituten (Innovatieprogramma Maritiem)</t>
  </si>
  <si>
    <t>Grote Technologische Instituten (HTSM)</t>
  </si>
  <si>
    <t>Grote Technologische Instituten (Comict)</t>
  </si>
  <si>
    <t>Grote Technologische Instituten (Holst centrum)</t>
  </si>
  <si>
    <t>Grote Technologische Instituten (Innovatieprogramma's algemeen)</t>
  </si>
  <si>
    <t>I/O/TNO</t>
  </si>
  <si>
    <t>Topsectoren overig (phase 2)</t>
  </si>
  <si>
    <t>Topsectoren overig (innovatieprogramma life sciences and health)</t>
  </si>
  <si>
    <t>Topsectoren overig (BE basic)</t>
  </si>
  <si>
    <t>Topsectoren overig (innovatieprogramma logistiek)</t>
  </si>
  <si>
    <t>Topsectoren overig (TKI CLICK)</t>
  </si>
  <si>
    <t>U/O/TNO</t>
  </si>
  <si>
    <t>UO</t>
  </si>
  <si>
    <t>Topsectoren overig (innovatieprogramma materialen M2i)</t>
  </si>
  <si>
    <t>12.10.05</t>
  </si>
  <si>
    <t>Uitfinanciering subsidies (ICT beleid; prima RVO)</t>
  </si>
  <si>
    <t>Uitfinanciering subsidies (ICT beleid; flankerend beleid en adm. lasten)</t>
  </si>
  <si>
    <t>Uitfinanciering subsidies: ICT-beleid (flankerend beleid en adm. Lasten</t>
  </si>
  <si>
    <t>Innovatiefonds: Innovatiekrediet technische ontwikkeling</t>
  </si>
  <si>
    <t>Innovatiefonds: Innovatiekrediet klinische ontwikkeling</t>
  </si>
  <si>
    <t>U/HBO/TNO/SO/O</t>
  </si>
  <si>
    <t>UMC/SO</t>
  </si>
  <si>
    <t>Innovatiefonds: Investeringen in fundamenteel en toegepast onderzoek; Onco research</t>
  </si>
  <si>
    <t>Co-investment venture capital instrument/EIF</t>
  </si>
  <si>
    <t xml:space="preserve">NL-Californië duurzaam E-mobility fund </t>
  </si>
  <si>
    <t>Innovatiefonds: vroege fase / informal investors: RVO</t>
  </si>
  <si>
    <t>Innovatiefonds: vroege fase / informal investors: STW</t>
  </si>
  <si>
    <t>12.01.08</t>
  </si>
  <si>
    <t>Innovatiefonds: vroege fase / informal investors: haalbaarheidsstudies STW</t>
  </si>
  <si>
    <t>Smart industry (subsidies)</t>
  </si>
  <si>
    <t>Smart industry (leningen)</t>
  </si>
  <si>
    <t xml:space="preserve">Topsectoren energie: energie-innovatie tenderregeling </t>
  </si>
  <si>
    <t>Topsectoren energie: SDE+projecten topsectoren energie</t>
  </si>
  <si>
    <t>Energie-Akkoord SER: RVO demonstratieregeling Energie innovatie DEI (E&amp;I)</t>
  </si>
  <si>
    <t>Energie-Akkoord SER: RVO subsidieregeling duurzame scheepsbouw (SDS)</t>
  </si>
  <si>
    <t>Energie-innovatie (IA) - O: meerjarenafspraken energie (MJA-E)</t>
  </si>
  <si>
    <t>Energie-innovatie (IA) - O: RVO smart grids</t>
  </si>
  <si>
    <t>Energie-innovatie (IA) - O: duurzame elektriciteitsvoorziening</t>
  </si>
  <si>
    <t>Energie-innovatie (IA) - O: innovatieagenda wind op zee</t>
  </si>
  <si>
    <t>Energie-innovatie (IA) - O: innovatieagenda nieuw gas</t>
  </si>
  <si>
    <t>Energie-innovatie (IA) - O: duurzaamheid energiebesparing UKR</t>
  </si>
  <si>
    <t>Overige subsidies: transitiemanagement</t>
  </si>
  <si>
    <t>O&amp;O bodembeheer: projecten bodembeheer</t>
  </si>
  <si>
    <t xml:space="preserve">O&amp;O bodembeheer: onderzoeksprojecten bodembeweging </t>
  </si>
  <si>
    <t>O&amp;O bodembeheer: SodM onderzoeksbudget mijnbouw</t>
  </si>
  <si>
    <t>O&amp;O bodembeheer: beleidsbudget secretariaten mijraad/TCBB</t>
  </si>
  <si>
    <t>Onderzoek &amp; opdrachten: onderzoeksprojecten ETM algemeen</t>
  </si>
  <si>
    <t>Onderzoek &amp; opdrachten: onderzoeksprojecten ETM (E&amp;I)</t>
  </si>
  <si>
    <t>15.08</t>
  </si>
  <si>
    <t>SodM onderzoek TNO</t>
  </si>
  <si>
    <t>Regeling duurzame stallen (PAS)</t>
  </si>
  <si>
    <t>Projecten fijnstofmaatregelen</t>
  </si>
  <si>
    <t>16.01</t>
  </si>
  <si>
    <t>Duurzame veehouderij: projecten intensieve veehouderij (UDV)</t>
  </si>
  <si>
    <t>Plantaardige productie: Energie efficientie en hernieuwbare energie glastuinbouw (EHG)</t>
  </si>
  <si>
    <t>Plantaardige productie: MEI</t>
  </si>
  <si>
    <t>Plantaardige productie: project energietransitie</t>
  </si>
  <si>
    <t>Plantaardige productie: FES innovatieprogramma energie</t>
  </si>
  <si>
    <t>Dierenwelzijn: dierproeven</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</si>
  <si>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</si>
  <si>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</si>
  <si>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</si>
  <si>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</si>
  <si>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</si>
  <si>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</si>
  <si>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</si>
  <si>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</si>
  <si>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</si>
  <si>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</si>
  <si>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</si>
  <si>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</si>
  <si>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Ruimtevaart (ESA): ruimtevaart</t>
  </si>
  <si>
    <t>Ruimtevaart (ESA): nationaal programma ruimtevaart</t>
  </si>
  <si>
    <t>Ruimtevaart (ESA): ESA programma NSO</t>
  </si>
  <si>
    <t>13.10</t>
  </si>
  <si>
    <t>Onderzoek: innovatie DG B&amp;I</t>
  </si>
  <si>
    <t>Onderzoek: vernieuwingsprogramma's DGB&amp;I</t>
  </si>
  <si>
    <t>Onderzoek: ondernemingsklimaat</t>
  </si>
  <si>
    <t>Onderzoek: onderzoeksbudget regio</t>
  </si>
  <si>
    <t>Koninklijke Bibliotheek (hoofdbekostiging, zie ook art. 14)</t>
  </si>
  <si>
    <t>Koninklijke Bibliotheek (Stelsel Openbare Bibliotheek voorzieningen, zie ook art. 16)</t>
  </si>
  <si>
    <t>VO: Onderwijs 2032</t>
  </si>
  <si>
    <t>VO: LOF</t>
  </si>
  <si>
    <t>VO: Kennisrotonde</t>
  </si>
  <si>
    <t>PO: Adaptieve eindtoets - CITO/CvE/DUO</t>
  </si>
  <si>
    <t>Creatieve industrie</t>
  </si>
  <si>
    <t>Stimuleringsfonds creatieve industrie</t>
  </si>
  <si>
    <t>4,5,6,7,8,10</t>
  </si>
  <si>
    <t>4,5,6,7</t>
  </si>
  <si>
    <t>1,2,4-10</t>
  </si>
  <si>
    <t>Afdrachtsvermindering speur- en ontwikkelingswerk WBSO (incl. RDA)</t>
  </si>
  <si>
    <t>Cijfers WBSO en RDA gebaseerd op de begroting van EZ voor 2018 (cijfers 2016-2022)</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</si>
  <si>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</si>
  <si>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</si>
  <si>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Medisch</t>
  </si>
  <si>
    <t>NWO - Institutioneel</t>
  </si>
  <si>
    <t>NWO- projectfinanciering</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</si>
  <si>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</si>
  <si>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</si>
  <si>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</si>
  <si>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</si>
  <si>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</si>
  <si>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</si>
  <si>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</si>
  <si>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</si>
  <si>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</si>
  <si>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</si>
  <si>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</si>
  <si>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TOTAAL JUSTITIE EN VEILIGHEID</t>
  </si>
  <si>
    <t xml:space="preserve">In 2017 is het bedrag voor de Innovatiebox geraamd op €1.687 mln. en in 2018 op €1.679 mln. </t>
  </si>
  <si>
    <t>Bron budgettair belang innovatiebox 2016-2018: Bijlagen bij de Miljoenennota 2018</t>
  </si>
  <si>
    <t>http://www.cpb.nl/cijfer/kortetermijnraming-maart-2018</t>
  </si>
  <si>
    <t>BBP-cijfers voor 2016-2018 betreffen de nominale cijfers van het CPB uit de Kortetermijnraming maart 2018, aanvullende kerngegevens.</t>
  </si>
  <si>
    <t>Voor de bepaling van het BBP in 2019-2022 zijn de volumegroeipercentages gebruikt uit de Verzamelde bijlagen CEP 2018.</t>
  </si>
  <si>
    <t>- Totaaloverzicht: overheidsuitgaven voor R&amp;D en innovatie 2016-2022, in miljoenen euro en procenten van het BBP</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</si>
  <si>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</si>
  <si>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</si>
  <si>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</si>
  <si>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</si>
  <si>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</si>
  <si>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 De cijfers van OCW zijn wat betreft het onderzoeksgedeelte van de eerste geldstroom van de universiteiten inclusief de bijdrage van </t>
  </si>
  <si>
    <t>EZK aan het onderzoeksgedeelte van de Wageningen Universiteit en de cijfers van EZK zijn exclusief deze bijdrage (in 2018 geschat op</t>
  </si>
  <si>
    <t>ongeveer 117 miljoen euro).</t>
  </si>
  <si>
    <t xml:space="preserve">- De cijfers voor 2016 zijn de realisatiecijfers. De cijfers voor 2017 zijn de voorlopige realisatiecijfers 2017, stand begroting 2018. </t>
  </si>
  <si>
    <t xml:space="preserve">De tabel bevat voor 2018 de cijfers van de ontwerpbegroting. De cijfers voor de jaren 2019-2022 zijn de meerjarenramingen. </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</si>
  <si>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</si>
  <si>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</si>
  <si>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</si>
  <si>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</si>
  <si>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2016-2022 (verschil)</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</si>
  <si>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</si>
  <si>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</si>
  <si>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</si>
  <si>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 Overheidsuitgaven voor R&amp;D en het aandeel innovatierelevante R&amp;D-uitgaven, per begrotingsartikel, 2016-2022, in miljoenen euro</t>
  </si>
  <si>
    <t>- Overheidsuitgaven voor innovatie per begrotingsartikel, 2016-2022, in miljoenen euro</t>
  </si>
  <si>
    <t>- Overzicht: overheidsuitgaven voor R&amp;D en innovatie, per departement, 2016-2022, in miljoenen euro</t>
  </si>
  <si>
    <t>- Fiscale instrumenten voor R&amp;D en innovatie, 2016-2022, in miljoenen euro</t>
  </si>
  <si>
    <t>- Overheidsuitgaven voor R&amp;D naar type uitgaven, 2016-2022</t>
  </si>
  <si>
    <t>- R&amp;D-uitgaven per NABS-categorie, 2016-2022 (Europese classificatie 2007)</t>
  </si>
  <si>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</si>
  <si>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</si>
  <si>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</si>
  <si>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t>voor de structurele situatie geraamd op €625 miljoen. Tussen 2013 en 2014 liep het bedrag verder op van €883 mln. naar €1.081 mln. Voor 2016 is het budgettair</t>
  </si>
  <si>
    <t xml:space="preserve"> belang van de Innovatiebox geraamd op €1.708 miljoen, fors hoger dan in 2015 (€1.287)  wegens een grondslagstijging dankzij de economische groei. </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</si>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</sst>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0.000"/>
    <numFmt numFmtId="165" formatCode="#,##0.000"/>
    <numFmt numFmtId="166" formatCode="&quot;fl&quot;\ #,##0.00_-;&quot;fl&quot;\ #,##0.00\-"/>
    <numFmt numFmtId="167" formatCode="#,##0.0"/>
    <numFmt numFmtId="168" formatCode="d\ m\a\a\nd\ \J\J\J\J"/>
    <numFmt numFmtId="169" formatCode="0.0"/>
    <numFmt numFmtId="170" formatCode="_-&quot;€&quot;\ * #,##0.00_-;_-&quot;€&quot;\ * #,##0.00\-;_-&quot;€&quot;\ * &quot;-&quot;??_-;_-@_-"/>
    <numFmt numFmtId="171" formatCode="s\t\a\nd\a\a\rd"/>
    <numFmt numFmtId="172" formatCode="_ * #,##0_ ;_ * \-#,##0_ ;_ * &quot;-&quot;??_ ;_ @_ "/>
    <numFmt numFmtId="173" formatCode="mm/dd"/>
    <numFmt numFmtId="174" formatCode="mmmm\ d\,\ yyyy"/>
    <numFmt numFmtId="175" formatCode="_-* #,##0.00_-;_-* #,##0.00\-;_-* &quot;-&quot;??_-;_-@_-"/>
    <numFmt numFmtId="176" formatCode="_(&quot;$&quot;* #,##0_);_(&quot;$&quot;* \(#,##0\);_(&quot;$&quot;* &quot;-&quot;_);_(@_)"/>
    <numFmt numFmtId="177" formatCode="&quot;fl&quot;\ #,##0_-;&quot;fl&quot;\ #,##0\-"/>
    <numFmt numFmtId="178" formatCode="_(&quot;$&quot;* #,##0.00_);_(&quot;$&quot;* \(#,##0.00\);_(&quot;$&quot;* &quot;-&quot;??_);_(@_)"/>
    <numFmt numFmtId="179" formatCode="_ * #,##0.0_ ;_ * \-#,##0.0_ ;_ * &quot;-&quot;??_ ;_ @_ "/>
    <numFmt numFmtId="180" formatCode="_ * #,##0.000_ ;_ * \-#,##0.000_ ;_ * &quot;-&quot;???_ ;_ @_ "/>
    <numFmt numFmtId="181" formatCode="0.0%"/>
    <numFmt numFmtId="182" formatCode="_ * #,##0.000_ ;_ * \-#,##0.000_ ;_ * &quot;-&quot;??_ ;_ @_ "/>
    <numFmt numFmtId="183" formatCode="0_)"/>
    <numFmt numFmtId="184" formatCode="&quot;€&quot;\ #,##0_-;&quot;€&quot;\ #,##0\-"/>
  </numFmts>
  <fonts count="13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10"/>
      <color indexed="8"/>
      <name val="10"/>
    </font>
    <font>
      <sz val="10"/>
      <name val="Courier"/>
      <family val="3"/>
    </font>
    <font>
      <sz val="6.5"/>
      <name val="Univers"/>
      <family val="2"/>
    </font>
    <font>
      <u/>
      <sz val="11"/>
      <color theme="10"/>
      <name val="Calibri"/>
      <family val="2"/>
      <scheme val="minor"/>
    </font>
    <font>
      <sz val="8"/>
      <name val="Verdana"/>
      <family val="2"/>
    </font>
    <font>
      <b/>
      <sz val="10"/>
      <color theme="1"/>
      <name val="Arial"/>
      <family val="2"/>
    </font>
    <font>
      <sz val="9"/>
      <color indexed="81"/>
      <name val="Tahoma"/>
      <charset val="1"/>
    </font>
    <font>
      <b/>
      <sz val="9"/>
      <color indexed="81"/>
      <name val="Tahoma"/>
      <charset val="1"/>
    </font>
  </fonts>
  <fills count="77">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s>
  <borders count="37">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s>
  <cellStyleXfs count="1261">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68"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6" fontId="13" fillId="0" borderId="0" applyFill="0" applyBorder="0" applyAlignment="0" applyProtection="0"/>
    <xf numFmtId="167" fontId="13" fillId="0" borderId="0" applyFill="0" applyBorder="0" applyAlignment="0" applyProtection="0"/>
    <xf numFmtId="167" fontId="13" fillId="0" borderId="0" applyFill="0" applyBorder="0" applyProtection="0">
      <alignment horizontal="right"/>
    </xf>
    <xf numFmtId="0" fontId="13" fillId="0" borderId="1" applyNumberFormat="0" applyFill="0" applyAlignment="0" applyProtection="0"/>
    <xf numFmtId="0" fontId="17" fillId="0" borderId="0"/>
    <xf numFmtId="170" fontId="14" fillId="0" borderId="0" applyFont="0" applyFill="0" applyBorder="0" applyAlignment="0" applyProtection="0"/>
    <xf numFmtId="9" fontId="14" fillId="0" borderId="0" applyFont="0" applyFill="0" applyBorder="0" applyAlignment="0" applyProtection="0"/>
    <xf numFmtId="0" fontId="14" fillId="0" borderId="0"/>
    <xf numFmtId="171" fontId="26" fillId="0" borderId="0" applyProtection="0"/>
    <xf numFmtId="171" fontId="13" fillId="0" borderId="0"/>
    <xf numFmtId="171" fontId="31" fillId="0" borderId="0" applyProtection="0"/>
    <xf numFmtId="171" fontId="29" fillId="0" borderId="0" applyProtection="0"/>
    <xf numFmtId="171" fontId="28" fillId="0" borderId="0" applyProtection="0"/>
    <xf numFmtId="171" fontId="27" fillId="0" borderId="0" applyProtection="0"/>
    <xf numFmtId="171" fontId="13" fillId="0" borderId="0" applyProtection="0"/>
    <xf numFmtId="171"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40" fillId="3" borderId="0" applyNumberFormat="0" applyBorder="0" applyAlignment="0" applyProtection="0"/>
    <xf numFmtId="9" fontId="3"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7" fillId="13" borderId="0" applyNumberFormat="0" applyBorder="0" applyAlignment="0" applyProtection="0"/>
    <xf numFmtId="0" fontId="56" fillId="13" borderId="0" applyNumberFormat="0" applyBorder="0" applyAlignment="0" applyProtection="0"/>
    <xf numFmtId="0" fontId="57" fillId="17" borderId="0" applyNumberFormat="0" applyBorder="0" applyAlignment="0" applyProtection="0"/>
    <xf numFmtId="0" fontId="56" fillId="17" borderId="0" applyNumberFormat="0" applyBorder="0" applyAlignment="0" applyProtection="0"/>
    <xf numFmtId="0" fontId="57" fillId="21" borderId="0" applyNumberFormat="0" applyBorder="0" applyAlignment="0" applyProtection="0"/>
    <xf numFmtId="0" fontId="56" fillId="21" borderId="0" applyNumberFormat="0" applyBorder="0" applyAlignment="0" applyProtection="0"/>
    <xf numFmtId="0" fontId="57" fillId="25" borderId="0" applyNumberFormat="0" applyBorder="0" applyAlignment="0" applyProtection="0"/>
    <xf numFmtId="0" fontId="56" fillId="25" borderId="0" applyNumberFormat="0" applyBorder="0" applyAlignment="0" applyProtection="0"/>
    <xf numFmtId="0" fontId="57" fillId="29" borderId="0" applyNumberFormat="0" applyBorder="0" applyAlignment="0" applyProtection="0"/>
    <xf numFmtId="0" fontId="56" fillId="29" borderId="0" applyNumberFormat="0" applyBorder="0" applyAlignment="0" applyProtection="0"/>
    <xf numFmtId="0" fontId="57" fillId="33" borderId="0" applyNumberFormat="0" applyBorder="0" applyAlignment="0" applyProtection="0"/>
    <xf numFmtId="0" fontId="56" fillId="33" borderId="0" applyNumberFormat="0" applyBorder="0" applyAlignment="0" applyProtection="0"/>
    <xf numFmtId="0" fontId="57" fillId="10" borderId="0" applyNumberFormat="0" applyBorder="0" applyAlignment="0" applyProtection="0"/>
    <xf numFmtId="0" fontId="56" fillId="10" borderId="0" applyNumberFormat="0" applyBorder="0" applyAlignment="0" applyProtection="0"/>
    <xf numFmtId="0" fontId="57" fillId="14" borderId="0" applyNumberFormat="0" applyBorder="0" applyAlignment="0" applyProtection="0"/>
    <xf numFmtId="0" fontId="56" fillId="14" borderId="0" applyNumberFormat="0" applyBorder="0" applyAlignment="0" applyProtection="0"/>
    <xf numFmtId="0" fontId="57" fillId="18" borderId="0" applyNumberFormat="0" applyBorder="0" applyAlignment="0" applyProtection="0"/>
    <xf numFmtId="0" fontId="56" fillId="18" borderId="0" applyNumberFormat="0" applyBorder="0" applyAlignment="0" applyProtection="0"/>
    <xf numFmtId="0" fontId="57" fillId="22" borderId="0" applyNumberFormat="0" applyBorder="0" applyAlignment="0" applyProtection="0"/>
    <xf numFmtId="0" fontId="56" fillId="22" borderId="0" applyNumberFormat="0" applyBorder="0" applyAlignment="0" applyProtection="0"/>
    <xf numFmtId="0" fontId="57" fillId="26" borderId="0" applyNumberFormat="0" applyBorder="0" applyAlignment="0" applyProtection="0"/>
    <xf numFmtId="0" fontId="56" fillId="26" borderId="0" applyNumberFormat="0" applyBorder="0" applyAlignment="0" applyProtection="0"/>
    <xf numFmtId="0" fontId="57" fillId="30" borderId="0" applyNumberFormat="0" applyBorder="0" applyAlignment="0" applyProtection="0"/>
    <xf numFmtId="0" fontId="56" fillId="30" borderId="0" applyNumberFormat="0" applyBorder="0" applyAlignment="0" applyProtection="0"/>
    <xf numFmtId="0" fontId="58" fillId="34" borderId="0" applyNumberFormat="0" applyBorder="0" applyAlignment="0" applyProtection="0"/>
    <xf numFmtId="2" fontId="13" fillId="0" borderId="0" applyProtection="0"/>
    <xf numFmtId="0" fontId="59" fillId="7" borderId="5" applyNumberFormat="0" applyAlignment="0" applyProtection="0"/>
    <xf numFmtId="0" fontId="51" fillId="7" borderId="5" applyNumberFormat="0" applyAlignment="0" applyProtection="0"/>
    <xf numFmtId="0" fontId="60" fillId="35" borderId="17"/>
    <xf numFmtId="0" fontId="61" fillId="36" borderId="18">
      <alignment horizontal="right" vertical="top" wrapText="1"/>
    </xf>
    <xf numFmtId="0" fontId="62" fillId="0" borderId="0"/>
    <xf numFmtId="0" fontId="63" fillId="37" borderId="19" applyNumberFormat="0" applyAlignment="0" applyProtection="0"/>
    <xf numFmtId="0" fontId="60" fillId="0" borderId="20"/>
    <xf numFmtId="0" fontId="64" fillId="38" borderId="21" applyNumberFormat="0" applyAlignment="0" applyProtection="0"/>
    <xf numFmtId="0" fontId="65" fillId="39" borderId="22">
      <alignment horizontal="left" vertical="top" wrapText="1"/>
    </xf>
    <xf numFmtId="0" fontId="66" fillId="40" borderId="0">
      <alignment horizontal="center"/>
    </xf>
    <xf numFmtId="0" fontId="67" fillId="40" borderId="0">
      <alignment horizontal="center" vertical="center"/>
    </xf>
    <xf numFmtId="0" fontId="14" fillId="41" borderId="0">
      <alignment horizontal="center" wrapText="1"/>
    </xf>
    <xf numFmtId="0" fontId="68" fillId="40" borderId="0">
      <alignment horizontal="center"/>
    </xf>
    <xf numFmtId="4" fontId="14" fillId="42" borderId="0" applyFont="0" applyFill="0" applyBorder="0" applyAlignment="0" applyProtection="0"/>
    <xf numFmtId="0" fontId="69" fillId="8" borderId="8" applyNumberFormat="0" applyAlignment="0" applyProtection="0"/>
    <xf numFmtId="0" fontId="53" fillId="8" borderId="8" applyNumberFormat="0" applyAlignment="0" applyProtection="0"/>
    <xf numFmtId="0" fontId="70" fillId="43" borderId="17" applyBorder="0">
      <protection locked="0"/>
    </xf>
    <xf numFmtId="173" fontId="14" fillId="0" borderId="0" applyFill="0" applyBorder="0" applyAlignment="0" applyProtection="0"/>
    <xf numFmtId="174"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1" fillId="0" borderId="0">
      <alignment horizontal="centerContinuous"/>
    </xf>
    <xf numFmtId="0" fontId="71" fillId="0" borderId="0" applyAlignment="0">
      <alignment horizontal="centerContinuous"/>
    </xf>
    <xf numFmtId="0" fontId="72" fillId="0" borderId="0" applyAlignment="0">
      <alignment horizontal="centerContinuous"/>
    </xf>
    <xf numFmtId="0" fontId="73" fillId="43" borderId="17">
      <protection locked="0"/>
    </xf>
    <xf numFmtId="0" fontId="14" fillId="43" borderId="20"/>
    <xf numFmtId="0" fontId="14" fillId="40" borderId="0"/>
    <xf numFmtId="170" fontId="14" fillId="0" borderId="0" applyFont="0" applyFill="0" applyBorder="0" applyAlignment="0" applyProtection="0"/>
    <xf numFmtId="0" fontId="74"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5" fillId="40" borderId="20">
      <alignment horizontal="left"/>
    </xf>
    <xf numFmtId="0" fontId="76" fillId="40" borderId="0">
      <alignment horizontal="left"/>
    </xf>
    <xf numFmtId="0" fontId="77" fillId="0" borderId="7" applyNumberFormat="0" applyFill="0" applyAlignment="0" applyProtection="0"/>
    <xf numFmtId="0" fontId="52" fillId="0" borderId="7" applyNumberFormat="0" applyFill="0" applyAlignment="0" applyProtection="0"/>
    <xf numFmtId="0" fontId="78" fillId="4" borderId="0" applyNumberFormat="0" applyBorder="0" applyAlignment="0" applyProtection="0"/>
    <xf numFmtId="0" fontId="46" fillId="4" borderId="0" applyNumberFormat="0" applyBorder="0" applyAlignment="0" applyProtection="0"/>
    <xf numFmtId="0" fontId="79" fillId="44" borderId="0" applyNumberFormat="0" applyBorder="0" applyAlignment="0" applyProtection="0"/>
    <xf numFmtId="0" fontId="80" fillId="45" borderId="0">
      <alignment horizontal="left" vertical="top"/>
    </xf>
    <xf numFmtId="0" fontId="61" fillId="46" borderId="0">
      <alignment horizontal="right" vertical="top" textRotation="90" wrapText="1"/>
    </xf>
    <xf numFmtId="0" fontId="81" fillId="0" borderId="0"/>
    <xf numFmtId="0" fontId="82"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7" borderId="19" applyNumberFormat="0" applyAlignment="0" applyProtection="0"/>
    <xf numFmtId="0" fontId="88" fillId="6" borderId="5" applyNumberFormat="0" applyAlignment="0" applyProtection="0"/>
    <xf numFmtId="0" fontId="49" fillId="6" borderId="5" applyNumberFormat="0" applyAlignment="0" applyProtection="0"/>
    <xf numFmtId="0" fontId="45" fillId="41" borderId="0">
      <alignment horizontal="center"/>
    </xf>
    <xf numFmtId="0" fontId="14" fillId="40" borderId="20">
      <alignment horizontal="centerContinuous" wrapText="1"/>
    </xf>
    <xf numFmtId="0" fontId="89" fillId="45" borderId="0">
      <alignment horizontal="center" wrapText="1"/>
    </xf>
    <xf numFmtId="0" fontId="14" fillId="40" borderId="20">
      <alignment horizontal="centerContinuous" wrapText="1"/>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14" fillId="0" borderId="0" applyFont="0" applyFill="0" applyBorder="0" applyAlignment="0" applyProtection="0"/>
    <xf numFmtId="43" fontId="4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44" fillId="0" borderId="0" applyFont="0" applyFill="0" applyBorder="0" applyAlignment="0" applyProtection="0"/>
    <xf numFmtId="175"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90" fillId="0" borderId="0"/>
    <xf numFmtId="3" fontId="14" fillId="42" borderId="0" applyFont="0" applyFill="0" applyBorder="0" applyAlignment="0" applyProtection="0"/>
    <xf numFmtId="3" fontId="14" fillId="0" borderId="0" applyFill="0" applyBorder="0" applyAlignment="0" applyProtection="0"/>
    <xf numFmtId="167" fontId="14" fillId="0" borderId="0" applyFill="0" applyBorder="0" applyAlignment="0" applyProtection="0"/>
    <xf numFmtId="0" fontId="90" fillId="0" borderId="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4" fillId="40" borderId="13">
      <alignment wrapText="1"/>
    </xf>
    <xf numFmtId="0" fontId="94" fillId="40" borderId="15"/>
    <xf numFmtId="0" fontId="94" fillId="40" borderId="11"/>
    <xf numFmtId="0" fontId="60" fillId="40" borderId="16">
      <alignment horizontal="center" wrapText="1"/>
    </xf>
    <xf numFmtId="0" fontId="65" fillId="39" borderId="26">
      <alignment horizontal="left" vertical="top" wrapText="1"/>
    </xf>
    <xf numFmtId="0" fontId="95" fillId="0" borderId="27" applyNumberFormat="0" applyFill="0" applyAlignment="0" applyProtection="0"/>
    <xf numFmtId="0" fontId="14" fillId="0" borderId="0" applyFont="0" applyFill="0" applyBorder="0" applyAlignment="0" applyProtection="0"/>
    <xf numFmtId="166" fontId="13" fillId="0" borderId="0" applyProtection="0"/>
    <xf numFmtId="0" fontId="40" fillId="3" borderId="0" applyNumberFormat="0" applyBorder="0" applyAlignment="0" applyProtection="0"/>
    <xf numFmtId="0" fontId="48" fillId="3" borderId="0" applyNumberFormat="0" applyBorder="0" applyAlignment="0" applyProtection="0"/>
    <xf numFmtId="0" fontId="96"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7"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4" fillId="9" borderId="9" applyNumberFormat="0" applyFont="0" applyAlignment="0" applyProtection="0"/>
    <xf numFmtId="0" fontId="98" fillId="5" borderId="0" applyNumberFormat="0" applyBorder="0" applyAlignment="0" applyProtection="0"/>
    <xf numFmtId="0" fontId="47" fillId="5" borderId="0" applyNumberFormat="0" applyBorder="0" applyAlignment="0" applyProtection="0"/>
    <xf numFmtId="0" fontId="99" fillId="37" borderId="29" applyNumberFormat="0" applyAlignment="0" applyProtection="0"/>
    <xf numFmtId="0" fontId="90"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60" fillId="40" borderId="20"/>
    <xf numFmtId="0" fontId="67" fillId="40" borderId="0">
      <alignment horizontal="right"/>
    </xf>
    <xf numFmtId="0" fontId="101" fillId="45" borderId="0">
      <alignment horizontal="center"/>
    </xf>
    <xf numFmtId="0" fontId="65" fillId="46" borderId="20">
      <alignment horizontal="left" vertical="top" wrapText="1"/>
    </xf>
    <xf numFmtId="0" fontId="102" fillId="46" borderId="12">
      <alignment horizontal="left" vertical="top" wrapText="1"/>
    </xf>
    <xf numFmtId="0" fontId="65" fillId="46" borderId="14">
      <alignment horizontal="left" vertical="top" wrapText="1"/>
    </xf>
    <xf numFmtId="0" fontId="65" fillId="46" borderId="12">
      <alignment horizontal="left" vertical="top"/>
    </xf>
    <xf numFmtId="4" fontId="103" fillId="50" borderId="30" applyNumberFormat="0" applyProtection="0">
      <alignment vertical="center"/>
    </xf>
    <xf numFmtId="4" fontId="104" fillId="48" borderId="30" applyNumberFormat="0" applyProtection="0">
      <alignment vertical="center"/>
    </xf>
    <xf numFmtId="4" fontId="104" fillId="48" borderId="30" applyNumberFormat="0" applyProtection="0">
      <alignment vertical="center"/>
    </xf>
    <xf numFmtId="4" fontId="103" fillId="50" borderId="30" applyNumberFormat="0" applyProtection="0">
      <alignment vertical="center"/>
    </xf>
    <xf numFmtId="4" fontId="105" fillId="50" borderId="30" applyNumberFormat="0" applyProtection="0">
      <alignment vertical="center"/>
    </xf>
    <xf numFmtId="4" fontId="105" fillId="50" borderId="30" applyNumberFormat="0" applyProtection="0">
      <alignment vertical="center"/>
    </xf>
    <xf numFmtId="4" fontId="106" fillId="50" borderId="30" applyNumberFormat="0" applyProtection="0">
      <alignment vertical="center"/>
    </xf>
    <xf numFmtId="4" fontId="105" fillId="50" borderId="30" applyNumberFormat="0" applyProtection="0">
      <alignment vertical="center"/>
    </xf>
    <xf numFmtId="4" fontId="107" fillId="50" borderId="30" applyNumberFormat="0" applyProtection="0">
      <alignment horizontal="left" vertical="center" indent="1"/>
    </xf>
    <xf numFmtId="4" fontId="107" fillId="50" borderId="30" applyNumberFormat="0" applyProtection="0">
      <alignment horizontal="left" vertical="center" indent="1"/>
    </xf>
    <xf numFmtId="4" fontId="104" fillId="50" borderId="30" applyNumberFormat="0" applyProtection="0">
      <alignment horizontal="left" vertical="center" indent="1"/>
    </xf>
    <xf numFmtId="4" fontId="107" fillId="50" borderId="30" applyNumberFormat="0" applyProtection="0">
      <alignment horizontal="left" vertical="center" indent="1"/>
    </xf>
    <xf numFmtId="0" fontId="104" fillId="50" borderId="30" applyNumberFormat="0" applyProtection="0">
      <alignment horizontal="left" vertical="top" indent="1"/>
    </xf>
    <xf numFmtId="0" fontId="14" fillId="0" borderId="0"/>
    <xf numFmtId="0" fontId="14" fillId="0" borderId="0"/>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45" borderId="30" applyNumberFormat="0" applyProtection="0">
      <alignment horizontal="right" vertical="center"/>
    </xf>
    <xf numFmtId="4" fontId="107" fillId="45" borderId="30" applyNumberFormat="0" applyProtection="0">
      <alignment horizontal="right" vertical="center"/>
    </xf>
    <xf numFmtId="4" fontId="97" fillId="34" borderId="30" applyNumberFormat="0" applyProtection="0">
      <alignment horizontal="right" vertical="center"/>
    </xf>
    <xf numFmtId="4" fontId="107" fillId="45" borderId="30" applyNumberFormat="0" applyProtection="0">
      <alignment horizontal="right" vertical="center"/>
    </xf>
    <xf numFmtId="4" fontId="107" fillId="53" borderId="30" applyNumberFormat="0" applyProtection="0">
      <alignment horizontal="right" vertical="center"/>
    </xf>
    <xf numFmtId="4" fontId="107" fillId="53" borderId="30" applyNumberFormat="0" applyProtection="0">
      <alignment horizontal="right" vertical="center"/>
    </xf>
    <xf numFmtId="4" fontId="97" fillId="54" borderId="30" applyNumberFormat="0" applyProtection="0">
      <alignment horizontal="right" vertical="center"/>
    </xf>
    <xf numFmtId="4" fontId="107" fillId="53" borderId="30" applyNumberFormat="0" applyProtection="0">
      <alignment horizontal="right" vertical="center"/>
    </xf>
    <xf numFmtId="4" fontId="107" fillId="55" borderId="30" applyNumberFormat="0" applyProtection="0">
      <alignment horizontal="right" vertical="center"/>
    </xf>
    <xf numFmtId="4" fontId="107" fillId="55" borderId="30" applyNumberFormat="0" applyProtection="0">
      <alignment horizontal="right" vertical="center"/>
    </xf>
    <xf numFmtId="4" fontId="97" fillId="56" borderId="30" applyNumberFormat="0" applyProtection="0">
      <alignment horizontal="right" vertical="center"/>
    </xf>
    <xf numFmtId="4" fontId="107" fillId="55" borderId="30" applyNumberFormat="0" applyProtection="0">
      <alignment horizontal="right" vertical="center"/>
    </xf>
    <xf numFmtId="4" fontId="107" fillId="57" borderId="30" applyNumberFormat="0" applyProtection="0">
      <alignment horizontal="right" vertical="center"/>
    </xf>
    <xf numFmtId="4" fontId="107" fillId="57" borderId="30" applyNumberFormat="0" applyProtection="0">
      <alignment horizontal="right" vertical="center"/>
    </xf>
    <xf numFmtId="4" fontId="97" fillId="58" borderId="30" applyNumberFormat="0" applyProtection="0">
      <alignment horizontal="right" vertical="center"/>
    </xf>
    <xf numFmtId="4" fontId="107" fillId="57" borderId="30" applyNumberFormat="0" applyProtection="0">
      <alignment horizontal="right" vertical="center"/>
    </xf>
    <xf numFmtId="4" fontId="107" fillId="59" borderId="30" applyNumberFormat="0" applyProtection="0">
      <alignment horizontal="right" vertical="center"/>
    </xf>
    <xf numFmtId="4" fontId="107" fillId="59" borderId="30" applyNumberFormat="0" applyProtection="0">
      <alignment horizontal="right" vertical="center"/>
    </xf>
    <xf numFmtId="4" fontId="97" fillId="60" borderId="30" applyNumberFormat="0" applyProtection="0">
      <alignment horizontal="right" vertical="center"/>
    </xf>
    <xf numFmtId="4" fontId="107" fillId="59" borderId="30" applyNumberFormat="0" applyProtection="0">
      <alignment horizontal="right" vertical="center"/>
    </xf>
    <xf numFmtId="4" fontId="107" fillId="61" borderId="30" applyNumberFormat="0" applyProtection="0">
      <alignment horizontal="right" vertical="center"/>
    </xf>
    <xf numFmtId="4" fontId="107" fillId="61" borderId="30" applyNumberFormat="0" applyProtection="0">
      <alignment horizontal="right" vertical="center"/>
    </xf>
    <xf numFmtId="4" fontId="97" fillId="62" borderId="30" applyNumberFormat="0" applyProtection="0">
      <alignment horizontal="right" vertical="center"/>
    </xf>
    <xf numFmtId="4" fontId="107" fillId="61" borderId="30" applyNumberFormat="0" applyProtection="0">
      <alignment horizontal="right" vertical="center"/>
    </xf>
    <xf numFmtId="4" fontId="107" fillId="63" borderId="30" applyNumberFormat="0" applyProtection="0">
      <alignment horizontal="right" vertical="center"/>
    </xf>
    <xf numFmtId="4" fontId="107" fillId="63" borderId="30" applyNumberFormat="0" applyProtection="0">
      <alignment horizontal="right" vertical="center"/>
    </xf>
    <xf numFmtId="4" fontId="97" fillId="64" borderId="30" applyNumberFormat="0" applyProtection="0">
      <alignment horizontal="right" vertical="center"/>
    </xf>
    <xf numFmtId="4" fontId="107" fillId="63" borderId="30" applyNumberFormat="0" applyProtection="0">
      <alignment horizontal="right" vertical="center"/>
    </xf>
    <xf numFmtId="4" fontId="107" fillId="65" borderId="30" applyNumberFormat="0" applyProtection="0">
      <alignment horizontal="right" vertical="center"/>
    </xf>
    <xf numFmtId="4" fontId="107" fillId="65" borderId="30" applyNumberFormat="0" applyProtection="0">
      <alignment horizontal="right" vertical="center"/>
    </xf>
    <xf numFmtId="4" fontId="97" fillId="66" borderId="30" applyNumberFormat="0" applyProtection="0">
      <alignment horizontal="right" vertical="center"/>
    </xf>
    <xf numFmtId="4" fontId="107" fillId="65" borderId="30" applyNumberFormat="0" applyProtection="0">
      <alignment horizontal="right" vertical="center"/>
    </xf>
    <xf numFmtId="4" fontId="107" fillId="67" borderId="30" applyNumberFormat="0" applyProtection="0">
      <alignment horizontal="right" vertical="center"/>
    </xf>
    <xf numFmtId="4" fontId="107" fillId="67" borderId="30" applyNumberFormat="0" applyProtection="0">
      <alignment horizontal="right" vertical="center"/>
    </xf>
    <xf numFmtId="4" fontId="97" fillId="68" borderId="30" applyNumberFormat="0" applyProtection="0">
      <alignment horizontal="right" vertical="center"/>
    </xf>
    <xf numFmtId="4" fontId="107" fillId="67" borderId="30" applyNumberFormat="0" applyProtection="0">
      <alignment horizontal="right" vertical="center"/>
    </xf>
    <xf numFmtId="4" fontId="103" fillId="69" borderId="31" applyNumberFormat="0" applyProtection="0">
      <alignment horizontal="left" vertical="center" indent="1"/>
    </xf>
    <xf numFmtId="4" fontId="103" fillId="70" borderId="31" applyNumberFormat="0" applyProtection="0">
      <alignment horizontal="left" vertical="center" indent="1"/>
    </xf>
    <xf numFmtId="4" fontId="103" fillId="70" borderId="31" applyNumberFormat="0" applyProtection="0">
      <alignment horizontal="left" vertical="center" indent="1"/>
    </xf>
    <xf numFmtId="4" fontId="103" fillId="69" borderId="31" applyNumberFormat="0" applyProtection="0">
      <alignment horizontal="left" vertical="center" indent="1"/>
    </xf>
    <xf numFmtId="4" fontId="103" fillId="71"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97" fillId="71" borderId="0" applyNumberFormat="0" applyProtection="0">
      <alignment horizontal="left" vertical="center" indent="1"/>
    </xf>
    <xf numFmtId="4" fontId="97" fillId="73" borderId="0" applyNumberFormat="0" applyProtection="0">
      <alignment horizontal="left" vertical="center" indent="1"/>
    </xf>
    <xf numFmtId="4" fontId="97" fillId="73" borderId="0" applyNumberFormat="0" applyProtection="0">
      <alignment horizontal="left" vertical="center" indent="1"/>
    </xf>
    <xf numFmtId="4" fontId="97" fillId="71" borderId="0" applyNumberFormat="0" applyProtection="0">
      <alignment horizontal="left" vertical="center" indent="1"/>
    </xf>
    <xf numFmtId="4" fontId="97" fillId="51" borderId="0" applyNumberFormat="0" applyProtection="0">
      <alignment horizontal="left" vertical="center" indent="1"/>
    </xf>
    <xf numFmtId="4" fontId="97" fillId="52" borderId="0" applyNumberFormat="0" applyProtection="0">
      <alignment horizontal="left" vertical="center" indent="1"/>
    </xf>
    <xf numFmtId="4" fontId="97" fillId="52" borderId="0" applyNumberFormat="0" applyProtection="0">
      <alignment horizontal="left" vertical="center" indent="1"/>
    </xf>
    <xf numFmtId="4" fontId="97"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7" fillId="73" borderId="30" applyNumberFormat="0" applyProtection="0">
      <alignment vertical="center"/>
    </xf>
    <xf numFmtId="4" fontId="107" fillId="73" borderId="30" applyNumberFormat="0" applyProtection="0">
      <alignment vertical="center"/>
    </xf>
    <xf numFmtId="4" fontId="97" fillId="74" borderId="30" applyNumberFormat="0" applyProtection="0">
      <alignment vertical="center"/>
    </xf>
    <xf numFmtId="4" fontId="107" fillId="73" borderId="30" applyNumberFormat="0" applyProtection="0">
      <alignment vertical="center"/>
    </xf>
    <xf numFmtId="4" fontId="108" fillId="73" borderId="30" applyNumberFormat="0" applyProtection="0">
      <alignment vertical="center"/>
    </xf>
    <xf numFmtId="4" fontId="108" fillId="73" borderId="30" applyNumberFormat="0" applyProtection="0">
      <alignment vertical="center"/>
    </xf>
    <xf numFmtId="4" fontId="109" fillId="74" borderId="30" applyNumberFormat="0" applyProtection="0">
      <alignment vertical="center"/>
    </xf>
    <xf numFmtId="4" fontId="108" fillId="73" borderId="30" applyNumberFormat="0" applyProtection="0">
      <alignment vertical="center"/>
    </xf>
    <xf numFmtId="4" fontId="103" fillId="71" borderId="32" applyNumberFormat="0" applyProtection="0">
      <alignment horizontal="left" vertical="center" indent="1"/>
    </xf>
    <xf numFmtId="4" fontId="103" fillId="71" borderId="32" applyNumberFormat="0" applyProtection="0">
      <alignment horizontal="left" vertical="center" indent="1"/>
    </xf>
    <xf numFmtId="4" fontId="97" fillId="74" borderId="30" applyNumberFormat="0" applyProtection="0">
      <alignment horizontal="left" vertical="center" indent="1"/>
    </xf>
    <xf numFmtId="4" fontId="103" fillId="71" borderId="32" applyNumberFormat="0" applyProtection="0">
      <alignment horizontal="left" vertical="center" indent="1"/>
    </xf>
    <xf numFmtId="0" fontId="97" fillId="74" borderId="30" applyNumberFormat="0" applyProtection="0">
      <alignment horizontal="left" vertical="top" indent="1"/>
    </xf>
    <xf numFmtId="0" fontId="14" fillId="0" borderId="0"/>
    <xf numFmtId="0" fontId="14" fillId="0" borderId="0"/>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8" fillId="44" borderId="30" applyNumberFormat="0" applyProtection="0">
      <alignment horizontal="right" vertical="center"/>
    </xf>
    <xf numFmtId="4" fontId="108" fillId="73" borderId="30" applyNumberFormat="0" applyProtection="0">
      <alignment horizontal="right" vertical="center"/>
    </xf>
    <xf numFmtId="4" fontId="109" fillId="72" borderId="30" applyNumberFormat="0" applyProtection="0">
      <alignment horizontal="right" vertical="center"/>
    </xf>
    <xf numFmtId="4" fontId="108" fillId="73" borderId="30" applyNumberFormat="0" applyProtection="0">
      <alignment horizontal="right" vertical="center"/>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52" borderId="30" applyNumberFormat="0" applyProtection="0">
      <alignment horizontal="left" vertical="center" indent="1"/>
    </xf>
    <xf numFmtId="4" fontId="103" fillId="52" borderId="30" applyNumberFormat="0" applyProtection="0">
      <alignment horizontal="left" vertical="center" indent="1"/>
    </xf>
    <xf numFmtId="4" fontId="103" fillId="71" borderId="30" applyNumberFormat="0" applyProtection="0">
      <alignment horizontal="left" vertical="center" indent="1"/>
    </xf>
    <xf numFmtId="0" fontId="97" fillId="52" borderId="30" applyNumberFormat="0" applyProtection="0">
      <alignment horizontal="left" vertical="top" indent="1"/>
    </xf>
    <xf numFmtId="0" fontId="97" fillId="52" borderId="30" applyNumberFormat="0" applyProtection="0">
      <alignment horizontal="left" vertical="top" indent="1"/>
    </xf>
    <xf numFmtId="0" fontId="14" fillId="0" borderId="0"/>
    <xf numFmtId="4" fontId="110" fillId="52" borderId="32" applyNumberFormat="0" applyProtection="0">
      <alignment horizontal="left" vertical="center" indent="1"/>
    </xf>
    <xf numFmtId="4" fontId="110" fillId="52" borderId="32" applyNumberFormat="0" applyProtection="0">
      <alignment horizontal="left" vertical="center" indent="1"/>
    </xf>
    <xf numFmtId="4" fontId="110" fillId="75" borderId="0" applyNumberFormat="0" applyProtection="0">
      <alignment horizontal="left" vertical="center" indent="1"/>
    </xf>
    <xf numFmtId="4" fontId="110" fillId="52" borderId="32" applyNumberFormat="0" applyProtection="0">
      <alignment horizontal="left" vertical="center" indent="1"/>
    </xf>
    <xf numFmtId="4" fontId="111" fillId="73" borderId="30" applyNumberFormat="0" applyProtection="0">
      <alignment horizontal="right" vertical="center"/>
    </xf>
    <xf numFmtId="4" fontId="111" fillId="73" borderId="30" applyNumberFormat="0" applyProtection="0">
      <alignment horizontal="right" vertical="center"/>
    </xf>
    <xf numFmtId="4" fontId="112" fillId="72" borderId="30" applyNumberFormat="0" applyProtection="0">
      <alignment horizontal="right" vertical="center"/>
    </xf>
    <xf numFmtId="4" fontId="111" fillId="73" borderId="30" applyNumberFormat="0" applyProtection="0">
      <alignment horizontal="right" vertical="center"/>
    </xf>
    <xf numFmtId="0" fontId="3" fillId="0" borderId="0"/>
    <xf numFmtId="0" fontId="113" fillId="0" borderId="0"/>
    <xf numFmtId="0" fontId="1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3" fillId="0" borderId="0"/>
    <xf numFmtId="0" fontId="14" fillId="0" borderId="0"/>
    <xf numFmtId="0" fontId="14" fillId="0" borderId="0"/>
    <xf numFmtId="0" fontId="100" fillId="0" borderId="0"/>
    <xf numFmtId="0" fontId="44" fillId="0" borderId="0"/>
    <xf numFmtId="0" fontId="44" fillId="0" borderId="0"/>
    <xf numFmtId="0" fontId="44" fillId="0" borderId="0"/>
    <xf numFmtId="0" fontId="44" fillId="0" borderId="0"/>
    <xf numFmtId="0" fontId="14" fillId="0" borderId="0"/>
    <xf numFmtId="0" fontId="44" fillId="0" borderId="0"/>
    <xf numFmtId="0" fontId="44" fillId="0" borderId="0"/>
    <xf numFmtId="0" fontId="3" fillId="0" borderId="0"/>
    <xf numFmtId="0" fontId="14" fillId="0" borderId="0"/>
    <xf numFmtId="0" fontId="14" fillId="0" borderId="0"/>
    <xf numFmtId="0" fontId="14" fillId="0" borderId="0"/>
    <xf numFmtId="0" fontId="14" fillId="0" borderId="0"/>
    <xf numFmtId="0" fontId="14" fillId="0" borderId="0"/>
    <xf numFmtId="0" fontId="44" fillId="0" borderId="0"/>
    <xf numFmtId="0" fontId="3" fillId="0" borderId="0"/>
    <xf numFmtId="0" fontId="44" fillId="0" borderId="0"/>
    <xf numFmtId="0" fontId="3" fillId="0" borderId="0"/>
    <xf numFmtId="0" fontId="44" fillId="0" borderId="0"/>
    <xf numFmtId="0" fontId="44" fillId="0" borderId="0"/>
    <xf numFmtId="0" fontId="3" fillId="0" borderId="0"/>
    <xf numFmtId="0" fontId="3" fillId="0" borderId="0"/>
    <xf numFmtId="0" fontId="27" fillId="0" borderId="0"/>
    <xf numFmtId="0" fontId="80" fillId="76" borderId="0">
      <alignment horizontal="left"/>
    </xf>
    <xf numFmtId="0" fontId="89" fillId="76" borderId="0">
      <alignment horizontal="left" wrapText="1"/>
    </xf>
    <xf numFmtId="0" fontId="80" fillId="76" borderId="0">
      <alignment horizontal="left"/>
    </xf>
    <xf numFmtId="0" fontId="114" fillId="0" borderId="33"/>
    <xf numFmtId="0" fontId="115" fillId="0" borderId="0"/>
    <xf numFmtId="0" fontId="66" fillId="40" borderId="0">
      <alignment horizontal="center"/>
    </xf>
    <xf numFmtId="0" fontId="116" fillId="0" borderId="0" applyNumberFormat="0" applyFill="0" applyBorder="0" applyAlignment="0" applyProtection="0"/>
    <xf numFmtId="0" fontId="81" fillId="40" borderId="0"/>
    <xf numFmtId="0" fontId="80"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7" fillId="7" borderId="6" applyNumberFormat="0" applyAlignment="0" applyProtection="0"/>
    <xf numFmtId="0" fontId="50" fillId="7" borderId="6" applyNumberFormat="0" applyAlignment="0" applyProtection="0"/>
    <xf numFmtId="176" fontId="27"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8" fillId="0" borderId="0" applyNumberFormat="0" applyFill="0" applyBorder="0" applyAlignment="0" applyProtection="0"/>
    <xf numFmtId="0" fontId="55"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176" fontId="27" fillId="0" borderId="0" applyFont="0" applyFill="0" applyBorder="0" applyAlignment="0" applyProtection="0"/>
    <xf numFmtId="178" fontId="27" fillId="0" borderId="0" applyFont="0" applyFill="0" applyBorder="0" applyAlignment="0" applyProtection="0"/>
    <xf numFmtId="0" fontId="119" fillId="0" borderId="0" applyNumberFormat="0" applyFill="0" applyBorder="0" applyAlignment="0" applyProtection="0"/>
    <xf numFmtId="9" fontId="41" fillId="0" borderId="0" applyFont="0" applyFill="0" applyBorder="0" applyAlignment="0" applyProtection="0"/>
    <xf numFmtId="0" fontId="1" fillId="0" borderId="0"/>
    <xf numFmtId="0" fontId="122" fillId="0" borderId="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2"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24" fillId="0" borderId="0"/>
    <xf numFmtId="183" fontId="125"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69" fontId="14" fillId="42" borderId="0"/>
    <xf numFmtId="169" fontId="14" fillId="42" borderId="0"/>
    <xf numFmtId="0" fontId="126" fillId="0" borderId="0" applyNumberFormat="0" applyFill="0" applyBorder="0" applyAlignment="0" applyProtection="0"/>
    <xf numFmtId="0" fontId="12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cellStyleXfs>
  <cellXfs count="260">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4" fontId="7" fillId="0" borderId="0" xfId="0" applyNumberFormat="1" applyFont="1"/>
    <xf numFmtId="164"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5"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4" fontId="6" fillId="0" borderId="0" xfId="0" applyNumberFormat="1" applyFont="1" applyFill="1" applyBorder="1"/>
    <xf numFmtId="0" fontId="10" fillId="0" borderId="0" xfId="0" applyFont="1"/>
    <xf numFmtId="0" fontId="7" fillId="0" borderId="0" xfId="1" applyFont="1" applyAlignment="1">
      <alignment wrapText="1"/>
    </xf>
    <xf numFmtId="0" fontId="6" fillId="0" borderId="0" xfId="1" applyFont="1" applyAlignment="1">
      <alignment wrapText="1"/>
    </xf>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4"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5"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4" fontId="10" fillId="2" borderId="0" xfId="0" applyNumberFormat="1" applyFont="1" applyFill="1"/>
    <xf numFmtId="0" fontId="9" fillId="0" borderId="0" xfId="0" applyFont="1" applyFill="1" applyBorder="1" applyAlignment="1">
      <alignment vertical="center" wrapText="1"/>
    </xf>
    <xf numFmtId="167" fontId="7" fillId="0" borderId="0" xfId="0" applyNumberFormat="1" applyFont="1" applyFill="1"/>
    <xf numFmtId="167"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0" fontId="18" fillId="0" borderId="0" xfId="0" applyFont="1" applyBorder="1" applyAlignment="1">
      <alignment horizontal="left" vertical="center" wrapText="1"/>
    </xf>
    <xf numFmtId="167"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167" fontId="19" fillId="0" borderId="0" xfId="0" applyNumberFormat="1" applyFont="1"/>
    <xf numFmtId="0" fontId="19" fillId="0" borderId="0" xfId="0" applyFont="1"/>
    <xf numFmtId="0" fontId="20" fillId="0" borderId="0" xfId="0" applyFont="1"/>
    <xf numFmtId="167" fontId="20" fillId="0" borderId="0" xfId="0" applyNumberFormat="1" applyFont="1"/>
    <xf numFmtId="165" fontId="4" fillId="0" borderId="0" xfId="0" applyNumberFormat="1" applyFont="1"/>
    <xf numFmtId="165" fontId="6" fillId="2" borderId="0" xfId="0" applyNumberFormat="1" applyFont="1" applyFill="1"/>
    <xf numFmtId="165" fontId="4" fillId="2" borderId="0" xfId="0" applyNumberFormat="1" applyFont="1" applyFill="1"/>
    <xf numFmtId="165" fontId="7" fillId="0" borderId="0" xfId="0" applyNumberFormat="1" applyFont="1"/>
    <xf numFmtId="165" fontId="6" fillId="2" borderId="0" xfId="1" applyNumberFormat="1" applyFont="1" applyFill="1"/>
    <xf numFmtId="165" fontId="7" fillId="0" borderId="0" xfId="0" applyNumberFormat="1" applyFont="1" applyFill="1" applyBorder="1"/>
    <xf numFmtId="165" fontId="5" fillId="2" borderId="0" xfId="1" applyNumberFormat="1" applyFont="1" applyFill="1"/>
    <xf numFmtId="164" fontId="4" fillId="0" borderId="0" xfId="0" applyNumberFormat="1" applyFont="1"/>
    <xf numFmtId="164" fontId="7" fillId="0" borderId="0" xfId="0" applyNumberFormat="1" applyFont="1" applyFill="1"/>
    <xf numFmtId="164" fontId="5" fillId="0" borderId="0" xfId="0" applyNumberFormat="1" applyFont="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4" fillId="0" borderId="0" xfId="0" applyFont="1" applyFill="1" applyAlignment="1">
      <alignment horizontal="right"/>
    </xf>
    <xf numFmtId="0" fontId="18" fillId="0" borderId="0" xfId="0" applyFont="1" applyAlignment="1">
      <alignment horizontal="right"/>
    </xf>
    <xf numFmtId="167" fontId="7" fillId="0" borderId="0" xfId="0" applyNumberFormat="1" applyFont="1"/>
    <xf numFmtId="169" fontId="7" fillId="0" borderId="0" xfId="0" applyNumberFormat="1" applyFont="1"/>
    <xf numFmtId="167" fontId="4" fillId="0" borderId="0" xfId="0" applyNumberFormat="1" applyFont="1"/>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7"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167" fontId="24" fillId="0" borderId="0" xfId="0" applyNumberFormat="1" applyFont="1"/>
    <xf numFmtId="0" fontId="24" fillId="0" borderId="0" xfId="0" applyFont="1"/>
    <xf numFmtId="0" fontId="23" fillId="0" borderId="0" xfId="0" applyFont="1"/>
    <xf numFmtId="0" fontId="25" fillId="0" borderId="0" xfId="0" applyFont="1"/>
    <xf numFmtId="167" fontId="8" fillId="0" borderId="0" xfId="0" applyNumberFormat="1" applyFont="1"/>
    <xf numFmtId="167" fontId="25" fillId="0" borderId="0" xfId="0" applyNumberFormat="1" applyFont="1"/>
    <xf numFmtId="169" fontId="8" fillId="0" borderId="0" xfId="0" applyNumberFormat="1" applyFont="1"/>
    <xf numFmtId="169" fontId="25" fillId="0" borderId="0" xfId="0" applyNumberFormat="1" applyFont="1"/>
    <xf numFmtId="169" fontId="8" fillId="0" borderId="0" xfId="0" quotePrefix="1" applyNumberFormat="1" applyFont="1" applyAlignment="1">
      <alignment horizontal="right"/>
    </xf>
    <xf numFmtId="0" fontId="8" fillId="0" borderId="0" xfId="0" applyFont="1" applyFill="1" applyBorder="1" applyAlignment="1">
      <alignment horizontal="left"/>
    </xf>
    <xf numFmtId="0" fontId="12" fillId="0" borderId="0" xfId="0" applyFont="1" applyAlignment="1">
      <alignment horizontal="left"/>
    </xf>
    <xf numFmtId="0" fontId="6" fillId="2" borderId="0" xfId="0" applyFont="1" applyFill="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164" fontId="7" fillId="0" borderId="0" xfId="1" applyNumberFormat="1" applyFont="1"/>
    <xf numFmtId="0" fontId="8" fillId="0" borderId="0" xfId="0" applyFont="1"/>
    <xf numFmtId="165" fontId="7" fillId="0" borderId="0" xfId="0" applyNumberFormat="1" applyFont="1" applyFill="1"/>
    <xf numFmtId="165" fontId="4" fillId="0" borderId="0" xfId="0" applyNumberFormat="1" applyFont="1" applyFill="1"/>
    <xf numFmtId="0" fontId="3" fillId="0" borderId="0" xfId="0" applyFont="1" applyAlignment="1">
      <alignment vertical="center"/>
    </xf>
    <xf numFmtId="0" fontId="3" fillId="0" borderId="0" xfId="0" applyFont="1"/>
    <xf numFmtId="2" fontId="9" fillId="0" borderId="0" xfId="0" applyNumberFormat="1" applyFont="1"/>
    <xf numFmtId="0" fontId="22"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9" fillId="2" borderId="0" xfId="0" applyFont="1" applyFill="1"/>
    <xf numFmtId="0" fontId="4" fillId="0" borderId="0" xfId="0" applyFont="1" applyAlignment="1">
      <alignment horizontal="left"/>
    </xf>
    <xf numFmtId="0" fontId="24" fillId="0" borderId="0" xfId="0" quotePrefix="1" applyFont="1"/>
    <xf numFmtId="2" fontId="24" fillId="0" borderId="0" xfId="0" applyNumberFormat="1" applyFont="1"/>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167" fontId="3" fillId="0" borderId="0" xfId="0" applyNumberFormat="1" applyFont="1"/>
    <xf numFmtId="2" fontId="3" fillId="0" borderId="0" xfId="0" applyNumberFormat="1" applyFont="1"/>
    <xf numFmtId="0" fontId="34" fillId="0" borderId="0" xfId="0" applyFont="1"/>
    <xf numFmtId="0" fontId="35"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4" fontId="7" fillId="0" borderId="0" xfId="1" applyNumberFormat="1" applyFont="1" applyFill="1"/>
    <xf numFmtId="169" fontId="7" fillId="0" borderId="0" xfId="1" applyNumberFormat="1" applyFont="1" applyFill="1"/>
    <xf numFmtId="0" fontId="5" fillId="0" borderId="0" xfId="0" applyFont="1" applyFill="1" applyAlignment="1">
      <alignment horizontal="right"/>
    </xf>
    <xf numFmtId="164" fontId="6" fillId="0" borderId="0" xfId="0" applyNumberFormat="1" applyFont="1" applyFill="1"/>
    <xf numFmtId="165"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0" fontId="6" fillId="0" borderId="0" xfId="0" applyFont="1" applyFill="1" applyAlignment="1">
      <alignment horizontal="left"/>
    </xf>
    <xf numFmtId="165" fontId="18" fillId="0" borderId="0" xfId="0" applyNumberFormat="1" applyFont="1"/>
    <xf numFmtId="0" fontId="33" fillId="0" borderId="0" xfId="0" applyFont="1"/>
    <xf numFmtId="169" fontId="4" fillId="0" borderId="0" xfId="0" applyNumberFormat="1" applyFont="1"/>
    <xf numFmtId="0" fontId="21" fillId="0" borderId="0" xfId="1" applyFont="1" applyFill="1" applyAlignment="1">
      <alignment horizontal="left"/>
    </xf>
    <xf numFmtId="0" fontId="21" fillId="0" borderId="0" xfId="1" applyFont="1" applyFill="1"/>
    <xf numFmtId="165" fontId="21" fillId="0" borderId="0" xfId="17" applyNumberFormat="1" applyFont="1" applyFill="1"/>
    <xf numFmtId="0" fontId="21" fillId="0" borderId="0" xfId="1" applyFont="1" applyFill="1" applyAlignment="1">
      <alignment horizontal="right"/>
    </xf>
    <xf numFmtId="165" fontId="21" fillId="0" borderId="0" xfId="1" applyNumberFormat="1" applyFont="1" applyFill="1"/>
    <xf numFmtId="165" fontId="21" fillId="0" borderId="0" xfId="3" applyNumberFormat="1" applyFont="1" applyFill="1"/>
    <xf numFmtId="0" fontId="38" fillId="0" borderId="0" xfId="0" applyFont="1"/>
    <xf numFmtId="0" fontId="7" fillId="0" borderId="0" xfId="1" applyFont="1" applyFill="1" applyAlignment="1">
      <alignment horizontal="left"/>
    </xf>
    <xf numFmtId="165" fontId="7" fillId="0" borderId="0" xfId="0" applyNumberFormat="1" applyFont="1" applyBorder="1"/>
    <xf numFmtId="4" fontId="3" fillId="0" borderId="0" xfId="0" applyNumberFormat="1" applyFont="1"/>
    <xf numFmtId="0" fontId="39" fillId="0" borderId="0" xfId="0" applyFont="1"/>
    <xf numFmtId="0" fontId="39" fillId="0" borderId="0" xfId="0" applyFont="1" applyAlignment="1">
      <alignment horizontal="right"/>
    </xf>
    <xf numFmtId="164" fontId="39" fillId="0" borderId="0" xfId="0" applyNumberFormat="1" applyFont="1"/>
    <xf numFmtId="169" fontId="7" fillId="0" borderId="0" xfId="0" applyNumberFormat="1" applyFont="1" applyFill="1"/>
    <xf numFmtId="164" fontId="4" fillId="0" borderId="0" xfId="0" applyNumberFormat="1" applyFont="1" applyFill="1"/>
    <xf numFmtId="0" fontId="7" fillId="0" borderId="0" xfId="0" applyFont="1" applyFill="1" applyBorder="1" applyAlignment="1">
      <alignment horizontal="left" vertical="center" wrapText="1"/>
    </xf>
    <xf numFmtId="165"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3" fontId="6" fillId="0" borderId="0" xfId="0" applyNumberFormat="1" applyFont="1"/>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7" fillId="0" borderId="0" xfId="12" applyFont="1" applyFill="1" applyBorder="1" applyAlignment="1">
      <alignment horizontal="left"/>
    </xf>
    <xf numFmtId="0" fontId="42" fillId="0" borderId="0" xfId="0" applyFont="1" applyFill="1" applyAlignment="1">
      <alignment horizontal="left"/>
    </xf>
    <xf numFmtId="0" fontId="42" fillId="0" borderId="0" xfId="0" applyFont="1" applyFill="1"/>
    <xf numFmtId="164" fontId="42" fillId="0" borderId="0" xfId="0" applyNumberFormat="1" applyFont="1" applyFill="1"/>
    <xf numFmtId="0" fontId="42" fillId="0" borderId="0" xfId="0" applyFont="1" applyFill="1" applyBorder="1" applyAlignment="1">
      <alignment horizontal="left"/>
    </xf>
    <xf numFmtId="164" fontId="42" fillId="0" borderId="0" xfId="0" applyNumberFormat="1" applyFont="1" applyFill="1" applyBorder="1"/>
    <xf numFmtId="0" fontId="42" fillId="0" borderId="0" xfId="0" applyFont="1"/>
    <xf numFmtId="3" fontId="39" fillId="0" borderId="0" xfId="0" applyNumberFormat="1" applyFont="1"/>
    <xf numFmtId="1" fontId="7" fillId="0" borderId="0" xfId="0" applyNumberFormat="1" applyFont="1"/>
    <xf numFmtId="169" fontId="5" fillId="0" borderId="0" xfId="0" applyNumberFormat="1" applyFont="1"/>
    <xf numFmtId="169" fontId="21" fillId="0" borderId="0" xfId="1" applyNumberFormat="1" applyFont="1" applyFill="1"/>
    <xf numFmtId="0" fontId="11" fillId="0" borderId="0" xfId="1" applyFont="1"/>
    <xf numFmtId="0" fontId="3" fillId="0" borderId="0" xfId="0" applyFont="1" applyAlignment="1">
      <alignment horizontal="left"/>
    </xf>
    <xf numFmtId="1" fontId="21" fillId="0" borderId="0" xfId="1" applyNumberFormat="1" applyFont="1" applyFill="1"/>
    <xf numFmtId="0" fontId="4" fillId="2" borderId="0" xfId="1" applyFont="1" applyFill="1" applyAlignment="1">
      <alignment horizontal="left"/>
    </xf>
    <xf numFmtId="0" fontId="9" fillId="0" borderId="0" xfId="0" applyFont="1" applyAlignment="1">
      <alignment horizontal="left"/>
    </xf>
    <xf numFmtId="0" fontId="11" fillId="0" borderId="0" xfId="1"/>
    <xf numFmtId="0" fontId="9" fillId="0" borderId="0" xfId="0" applyFont="1" applyAlignment="1">
      <alignment horizontal="left" vertical="top"/>
    </xf>
    <xf numFmtId="169" fontId="3" fillId="0" borderId="0" xfId="0" applyNumberFormat="1" applyFont="1"/>
    <xf numFmtId="0" fontId="3" fillId="0" borderId="0" xfId="0" applyFont="1" applyAlignment="1">
      <alignment vertical="justify" wrapText="1"/>
    </xf>
    <xf numFmtId="169" fontId="9" fillId="0" borderId="0" xfId="0" applyNumberFormat="1" applyFont="1"/>
    <xf numFmtId="179" fontId="9" fillId="0" borderId="0" xfId="31" applyNumberFormat="1" applyFont="1"/>
    <xf numFmtId="180" fontId="33" fillId="0" borderId="0" xfId="0" applyNumberFormat="1" applyFont="1"/>
    <xf numFmtId="0" fontId="11" fillId="0" borderId="0" xfId="1"/>
    <xf numFmtId="179" fontId="5" fillId="0" borderId="0" xfId="31" applyNumberFormat="1" applyFont="1"/>
    <xf numFmtId="179" fontId="33" fillId="0" borderId="0" xfId="0" applyNumberFormat="1" applyFont="1"/>
    <xf numFmtId="181" fontId="24" fillId="0" borderId="0" xfId="449" applyNumberFormat="1" applyFont="1"/>
    <xf numFmtId="9" fontId="19" fillId="0" borderId="0" xfId="449" applyFont="1"/>
    <xf numFmtId="1" fontId="3" fillId="0" borderId="0" xfId="0" applyNumberFormat="1" applyFont="1"/>
    <xf numFmtId="9" fontId="3" fillId="0" borderId="0" xfId="449" applyFont="1"/>
    <xf numFmtId="0" fontId="121" fillId="0" borderId="0" xfId="0" applyFont="1"/>
    <xf numFmtId="3" fontId="4" fillId="0" borderId="0" xfId="0" applyNumberFormat="1" applyFont="1"/>
    <xf numFmtId="0" fontId="14" fillId="0" borderId="0" xfId="0" applyFont="1"/>
    <xf numFmtId="164" fontId="4" fillId="0" borderId="0" xfId="15" applyNumberFormat="1" applyFont="1" applyFill="1"/>
    <xf numFmtId="0" fontId="1" fillId="0" borderId="0" xfId="0" applyFont="1" applyBorder="1" applyAlignment="1">
      <alignment horizontal="left" vertical="center" wrapText="1"/>
    </xf>
    <xf numFmtId="0" fontId="1" fillId="0" borderId="0" xfId="0" applyFont="1"/>
    <xf numFmtId="165" fontId="34" fillId="0" borderId="0" xfId="0" applyNumberFormat="1" applyFont="1"/>
    <xf numFmtId="165" fontId="0" fillId="0" borderId="0" xfId="0" applyNumberFormat="1"/>
    <xf numFmtId="0" fontId="21" fillId="0" borderId="0" xfId="1" applyFont="1" applyFill="1" applyAlignment="1">
      <alignment wrapText="1"/>
    </xf>
    <xf numFmtId="0" fontId="8" fillId="0" borderId="0" xfId="0" applyFont="1" applyFill="1" applyBorder="1" applyAlignment="1"/>
    <xf numFmtId="165" fontId="8" fillId="0" borderId="0" xfId="0" applyNumberFormat="1" applyFont="1" applyFill="1" applyBorder="1"/>
    <xf numFmtId="0" fontId="8" fillId="0" borderId="0" xfId="0" applyFont="1" applyFill="1" applyBorder="1"/>
    <xf numFmtId="0" fontId="8" fillId="0" borderId="0" xfId="0" applyFont="1" applyFill="1" applyAlignment="1">
      <alignment horizontal="right"/>
    </xf>
    <xf numFmtId="164" fontId="8" fillId="0" borderId="0" xfId="0" applyNumberFormat="1" applyFont="1" applyFill="1"/>
    <xf numFmtId="0" fontId="8" fillId="0" borderId="0" xfId="0" applyFont="1" applyFill="1" applyBorder="1" applyAlignment="1">
      <alignment horizontal="right"/>
    </xf>
    <xf numFmtId="164" fontId="8" fillId="0" borderId="0" xfId="15" applyNumberFormat="1" applyFont="1" applyFill="1" applyBorder="1"/>
    <xf numFmtId="0" fontId="32" fillId="0" borderId="0" xfId="27"/>
    <xf numFmtId="169" fontId="121" fillId="0" borderId="0" xfId="0" applyNumberFormat="1" applyFont="1"/>
    <xf numFmtId="169" fontId="123" fillId="0" borderId="0" xfId="451" applyNumberFormat="1" applyFont="1" applyFill="1" applyBorder="1"/>
    <xf numFmtId="0" fontId="5" fillId="0" borderId="0" xfId="0" applyFont="1" applyAlignment="1"/>
    <xf numFmtId="0" fontId="5" fillId="0" borderId="0" xfId="0" quotePrefix="1" applyFont="1" applyAlignment="1">
      <alignment horizontal="left" vertical="center" wrapText="1"/>
    </xf>
    <xf numFmtId="182" fontId="5" fillId="0" borderId="0" xfId="31" applyNumberFormat="1" applyFont="1" applyFill="1" applyBorder="1" applyAlignment="1">
      <alignment horizontal="right" vertical="center" wrapText="1"/>
    </xf>
    <xf numFmtId="172" fontId="5" fillId="0" borderId="0" xfId="31" applyNumberFormat="1" applyFont="1" applyFill="1" applyBorder="1" applyAlignment="1">
      <alignment horizontal="right" vertical="center" wrapText="1"/>
    </xf>
    <xf numFmtId="0" fontId="5" fillId="2" borderId="0" xfId="0"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165" fontId="3" fillId="0" borderId="0" xfId="0" applyNumberFormat="1" applyFont="1"/>
    <xf numFmtId="169" fontId="11" fillId="0" borderId="0" xfId="1" applyNumberFormat="1"/>
    <xf numFmtId="0" fontId="32" fillId="0" borderId="0" xfId="27" applyAlignment="1">
      <alignment horizontal="left"/>
    </xf>
    <xf numFmtId="182" fontId="9" fillId="0" borderId="0" xfId="31" applyNumberFormat="1" applyFont="1" applyFill="1" applyBorder="1" applyAlignment="1">
      <alignment horizontal="right" vertical="center" wrapText="1"/>
    </xf>
    <xf numFmtId="169" fontId="1" fillId="0" borderId="0" xfId="477" applyNumberFormat="1" applyFont="1" applyFill="1" applyBorder="1"/>
    <xf numFmtId="0" fontId="5" fillId="0" borderId="0" xfId="0" applyFont="1" applyAlignment="1">
      <alignment wrapText="1"/>
    </xf>
    <xf numFmtId="0" fontId="2" fillId="0" borderId="0" xfId="0" quotePrefix="1" applyFont="1" applyAlignment="1">
      <alignment wrapText="1"/>
    </xf>
    <xf numFmtId="9" fontId="7" fillId="0" borderId="0" xfId="449" applyFont="1"/>
    <xf numFmtId="9" fontId="18" fillId="0" borderId="0" xfId="449" applyFont="1"/>
    <xf numFmtId="2" fontId="7" fillId="0" borderId="0" xfId="0" applyNumberFormat="1" applyFont="1"/>
    <xf numFmtId="0" fontId="1" fillId="0" borderId="0" xfId="0" quotePrefix="1" applyFont="1" applyAlignment="1">
      <alignment wrapText="1"/>
    </xf>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2" fontId="7" fillId="0" borderId="0" xfId="0" applyNumberFormat="1" applyFont="1" applyFill="1" applyAlignment="1">
      <alignment horizontal="right"/>
    </xf>
    <xf numFmtId="164" fontId="7" fillId="0" borderId="0" xfId="1" applyNumberFormat="1" applyFont="1" applyFill="1" applyAlignment="1">
      <alignment horizontal="right"/>
    </xf>
    <xf numFmtId="165" fontId="21" fillId="0" borderId="0" xfId="1" applyNumberFormat="1" applyFont="1" applyFill="1" applyAlignment="1">
      <alignment horizontal="right"/>
    </xf>
    <xf numFmtId="165" fontId="7" fillId="0" borderId="0" xfId="12" applyNumberFormat="1" applyFont="1" applyFill="1" applyBorder="1" applyAlignment="1">
      <alignment horizontal="right" wrapText="1"/>
    </xf>
    <xf numFmtId="0" fontId="127" fillId="0" borderId="0" xfId="33" applyNumberFormat="1" applyFont="1" applyBorder="1" applyAlignment="1">
      <alignment vertical="center" wrapText="1"/>
    </xf>
    <xf numFmtId="0" fontId="127" fillId="0" borderId="0" xfId="33" applyNumberFormat="1" applyFont="1" applyBorder="1" applyAlignment="1">
      <alignment vertical="center"/>
    </xf>
    <xf numFmtId="0" fontId="127" fillId="0" borderId="0" xfId="33" applyNumberFormat="1" applyFont="1" applyFill="1" applyBorder="1" applyAlignment="1">
      <alignment vertical="center" wrapText="1"/>
    </xf>
    <xf numFmtId="0" fontId="14" fillId="0" borderId="0" xfId="3" applyFont="1"/>
    <xf numFmtId="165" fontId="127"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4" fontId="7" fillId="0" borderId="0" xfId="12" applyNumberFormat="1" applyFont="1" applyFill="1" applyBorder="1" applyAlignment="1">
      <alignment horizontal="right"/>
    </xf>
    <xf numFmtId="164" fontId="7" fillId="0" borderId="0" xfId="12" applyNumberFormat="1" applyFont="1" applyFill="1" applyBorder="1" applyAlignment="1">
      <alignment horizontal="right" wrapText="1"/>
    </xf>
    <xf numFmtId="0" fontId="21" fillId="0" borderId="0" xfId="0" applyFont="1" applyAlignment="1">
      <alignment vertical="center" wrapText="1"/>
    </xf>
    <xf numFmtId="164" fontId="7" fillId="0" borderId="0" xfId="0" applyNumberFormat="1" applyFont="1" applyFill="1" applyBorder="1"/>
    <xf numFmtId="9" fontId="7" fillId="0" borderId="0" xfId="0" applyNumberFormat="1" applyFont="1"/>
    <xf numFmtId="0" fontId="6" fillId="0" borderId="0" xfId="0" applyFont="1" applyAlignment="1">
      <alignment horizontal="center"/>
    </xf>
    <xf numFmtId="0" fontId="1" fillId="0" borderId="0" xfId="0" quotePrefix="1" applyFont="1" applyAlignment="1">
      <alignment wrapText="1"/>
    </xf>
    <xf numFmtId="0" fontId="1" fillId="0" borderId="0" xfId="0" applyFont="1" applyFill="1" applyBorder="1" applyAlignment="1">
      <alignment vertical="center" wrapText="1"/>
    </xf>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xf numFmtId="0" fontId="9" fillId="0" borderId="0" xfId="0" applyFont="1" applyAlignment="1">
      <alignment horizontal="left" wrapText="1"/>
    </xf>
    <xf numFmtId="0" fontId="128" fillId="0" borderId="0" xfId="0" applyFont="1" applyAlignment="1">
      <alignment wrapText="1"/>
    </xf>
    <xf numFmtId="4" fontId="7" fillId="0" borderId="0" xfId="0" applyNumberFormat="1" applyFont="1"/>
  </cellXfs>
  <cellStyles count="1261">
    <cellStyle name="******************************************" xfId="35"/>
    <cellStyle name="20% - Accent1 2" xfId="36"/>
    <cellStyle name="20% - Accent1 3" xfId="37"/>
    <cellStyle name="20% - Accent2 2" xfId="38"/>
    <cellStyle name="20% - Accent2 3" xfId="39"/>
    <cellStyle name="20% - Accent3 2" xfId="40"/>
    <cellStyle name="20% - Accent3 3" xfId="41"/>
    <cellStyle name="20% - Accent4 2" xfId="42"/>
    <cellStyle name="20% - Accent4 3" xfId="43"/>
    <cellStyle name="20% - Accent5 2" xfId="44"/>
    <cellStyle name="20% - Accent5 3" xfId="45"/>
    <cellStyle name="20% - Accent6 2" xfId="46"/>
    <cellStyle name="20% - Accent6 3" xfId="47"/>
    <cellStyle name="40% - Accent1 2" xfId="48"/>
    <cellStyle name="40% - Accent1 3" xfId="49"/>
    <cellStyle name="40% - Accent2 2" xfId="50"/>
    <cellStyle name="40% - Accent2 3" xfId="51"/>
    <cellStyle name="40% - Accent3 2" xfId="52"/>
    <cellStyle name="40% - Accent3 3" xfId="53"/>
    <cellStyle name="40% - Accent4 2" xfId="54"/>
    <cellStyle name="40% - Accent4 3" xfId="55"/>
    <cellStyle name="40% - Accent5 2" xfId="56"/>
    <cellStyle name="40% - Accent5 3" xfId="57"/>
    <cellStyle name="40% - Accent6 2" xfId="58"/>
    <cellStyle name="40% - Accent6 3" xfId="59"/>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EPAALD" xfId="4"/>
    <cellStyle name="BEPAALD 2" xfId="85"/>
    <cellStyle name="Berekening 2" xfId="86"/>
    <cellStyle name="Berekening 3" xfId="87"/>
    <cellStyle name="bin" xfId="88"/>
    <cellStyle name="blue" xfId="89"/>
    <cellStyle name="Ç¥ÁØ_ENRL2" xfId="90"/>
    <cellStyle name="Calculation 2" xfId="91"/>
    <cellStyle name="cell" xfId="92"/>
    <cellStyle name="Check Cell 2" xfId="93"/>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9"/>
    <cellStyle name="Comma 4 2 3" xfId="1228"/>
    <cellStyle name="Comma 4 3" xfId="1227"/>
    <cellStyle name="Comma 5" xfId="460"/>
    <cellStyle name="Comma 5 2" xfId="461"/>
    <cellStyle name="Comma 5 2 2" xfId="1231"/>
    <cellStyle name="Comma 5 3" xfId="1230"/>
    <cellStyle name="Comma 6" xfId="462"/>
    <cellStyle name="Comma 6 2" xfId="463"/>
    <cellStyle name="Comma 6 2 2" xfId="1233"/>
    <cellStyle name="Comma 6 3" xfId="1232"/>
    <cellStyle name="Comma 7" xfId="464"/>
    <cellStyle name="Comma 7 2" xfId="1234"/>
    <cellStyle name="Comma 8" xfId="465"/>
    <cellStyle name="Comma 8 2" xfId="1235"/>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rmula" xfId="122"/>
    <cellStyle name="gap" xfId="123"/>
    <cellStyle name="Gekoppelde cel 2" xfId="124"/>
    <cellStyle name="Gekoppelde cel 3" xfId="125"/>
    <cellStyle name="Goed 2" xfId="126"/>
    <cellStyle name="Goed 3" xfId="127"/>
    <cellStyle name="Good 2" xfId="128"/>
    <cellStyle name="Grey_background" xfId="129"/>
    <cellStyle name="GreyBackground" xfId="130"/>
    <cellStyle name="Header" xfId="131"/>
    <cellStyle name="Heading 1 2" xfId="132"/>
    <cellStyle name="Heading 2 2" xfId="133"/>
    <cellStyle name="Heading 3 2" xfId="134"/>
    <cellStyle name="Heading 4 2" xfId="135"/>
    <cellStyle name="HEADING1" xfId="471"/>
    <cellStyle name="HEADING2" xfId="472"/>
    <cellStyle name="Hipervínculo" xfId="136"/>
    <cellStyle name="Hipervínculo visitado" xfId="137"/>
    <cellStyle name="Hyperlink" xfId="27" builtinId="8"/>
    <cellStyle name="Hyperlink 2" xfId="1225"/>
    <cellStyle name="Input 2" xfId="138"/>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6"/>
    <cellStyle name="Komma0_20110503 opzet output" xfId="170"/>
    <cellStyle name="Komma1" xfId="171"/>
    <cellStyle name="Komma1 - Opmaakprofiel1" xfId="172"/>
    <cellStyle name="Kop 1 2" xfId="173"/>
    <cellStyle name="Kop 2 2" xfId="174"/>
    <cellStyle name="Kop 3 2" xfId="175"/>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Migliaia (0)_conti99" xfId="187"/>
    <cellStyle name="MUNT" xfId="8"/>
    <cellStyle name="MUNT 2" xfId="188"/>
    <cellStyle name="Neutraal 2" xfId="189"/>
    <cellStyle name="Neutraal 3" xfId="190"/>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6"/>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2" xfId="199"/>
    <cellStyle name="Notitie 3" xfId="200"/>
    <cellStyle name="Notitie 4" xfId="201"/>
    <cellStyle name="Notitie 5" xfId="202"/>
    <cellStyle name="Ongeldig 2" xfId="203"/>
    <cellStyle name="Ongeldig 3" xfId="204"/>
    <cellStyle name="Output 2" xfId="205"/>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8" xfId="410"/>
    <cellStyle name="Standaard 9" xfId="411"/>
    <cellStyle name="Standaard_a" xfId="1188"/>
    <cellStyle name="STANDAARD1" xfId="10"/>
    <cellStyle name="Standaard2_Sserie1" xfId="1189"/>
    <cellStyle name="Standard_DIAGRAM" xfId="412"/>
    <cellStyle name="Sub-titles" xfId="413"/>
    <cellStyle name="Sub-titles Cols" xfId="414"/>
    <cellStyle name="Sub-titles rows" xfId="415"/>
    <cellStyle name="Table No." xfId="416"/>
    <cellStyle name="Table Title" xfId="417"/>
    <cellStyle name="temp" xfId="418"/>
    <cellStyle name="Title 2" xfId="419"/>
    <cellStyle name="title1" xfId="420"/>
    <cellStyle name="Titles" xfId="421"/>
    <cellStyle name="TOTAAL" xfId="11"/>
    <cellStyle name="Totaal 2" xfId="422"/>
    <cellStyle name="Totaal 2 2" xfId="423"/>
    <cellStyle name="Totaal 3" xfId="424"/>
    <cellStyle name="Totaal 4" xfId="1190"/>
    <cellStyle name="Total 2" xfId="425"/>
    <cellStyle name="TOTAL 2 2" xfId="1192"/>
    <cellStyle name="TOTAL 2 3" xfId="1191"/>
    <cellStyle name="TOTAL 3" xfId="1193"/>
    <cellStyle name="Tusental (0)_Blad2" xfId="426"/>
    <cellStyle name="Tusental_Blad2" xfId="427"/>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7"/>
    <cellStyle name="Valuta0 2" xfId="1195"/>
    <cellStyle name="Valuta0 2 2" xfId="1196"/>
    <cellStyle name="Valuta0 2 2 2" xfId="1197"/>
    <cellStyle name="Valuta0 2 2 2 2" xfId="1240"/>
    <cellStyle name="Valuta0 2 2 3" xfId="1198"/>
    <cellStyle name="Valuta0 2 2 3 2" xfId="1241"/>
    <cellStyle name="Valuta0 2 2 4" xfId="1239"/>
    <cellStyle name="Valuta0 2 3" xfId="1199"/>
    <cellStyle name="Valuta0 2 3 2" xfId="1200"/>
    <cellStyle name="Valuta0 2 3 2 2" xfId="1243"/>
    <cellStyle name="Valuta0 2 3 3" xfId="1201"/>
    <cellStyle name="Valuta0 2 3 3 2" xfId="1244"/>
    <cellStyle name="Valuta0 2 3 4" xfId="1242"/>
    <cellStyle name="Valuta0 2 4" xfId="1202"/>
    <cellStyle name="Valuta0 2 4 2" xfId="1203"/>
    <cellStyle name="Valuta0 2 4 2 2" xfId="1246"/>
    <cellStyle name="Valuta0 2 4 3" xfId="1204"/>
    <cellStyle name="Valuta0 2 4 3 2" xfId="1247"/>
    <cellStyle name="Valuta0 2 4 4" xfId="1245"/>
    <cellStyle name="Valuta0 2 5" xfId="1205"/>
    <cellStyle name="Valuta0 2 5 2" xfId="1248"/>
    <cellStyle name="Valuta0 2 6" xfId="1206"/>
    <cellStyle name="Valuta0 2 6 2" xfId="1249"/>
    <cellStyle name="Valuta0 2 7" xfId="1207"/>
    <cellStyle name="Valuta0 2 8" xfId="1238"/>
    <cellStyle name="Valuta0 3" xfId="1208"/>
    <cellStyle name="Valuta0 3 2" xfId="1209"/>
    <cellStyle name="Valuta0 3 2 2" xfId="1251"/>
    <cellStyle name="Valuta0 3 3" xfId="1210"/>
    <cellStyle name="Valuta0 3 3 2" xfId="1252"/>
    <cellStyle name="Valuta0 3 4" xfId="1211"/>
    <cellStyle name="Valuta0 3 5" xfId="1250"/>
    <cellStyle name="Valuta0 4" xfId="1212"/>
    <cellStyle name="Valuta0 4 2" xfId="1213"/>
    <cellStyle name="Valuta0 4 2 2" xfId="1254"/>
    <cellStyle name="Valuta0 4 3" xfId="1214"/>
    <cellStyle name="Valuta0 4 3 2" xfId="1255"/>
    <cellStyle name="Valuta0 4 4" xfId="1215"/>
    <cellStyle name="Valuta0 4 5" xfId="1253"/>
    <cellStyle name="Valuta0 5" xfId="1216"/>
    <cellStyle name="Valuta0 5 2" xfId="1217"/>
    <cellStyle name="Valuta0 5 2 2" xfId="1257"/>
    <cellStyle name="Valuta0 5 3" xfId="1218"/>
    <cellStyle name="Valuta0 5 3 2" xfId="1258"/>
    <cellStyle name="Valuta0 5 4" xfId="1256"/>
    <cellStyle name="Valuta0 6" xfId="1219"/>
    <cellStyle name="Valuta0 6 2" xfId="1259"/>
    <cellStyle name="Valuta0 7" xfId="1220"/>
    <cellStyle name="Valuta0 7 2" xfId="1260"/>
    <cellStyle name="Valuta0 8" xfId="1221"/>
    <cellStyle name="Valuta0 9" xfId="1194"/>
    <cellStyle name="Vast" xfId="441"/>
    <cellStyle name="Vast 2" xfId="1222"/>
    <cellStyle name="Vast1" xfId="1223"/>
    <cellStyle name="Vast1 2" xfId="1224"/>
    <cellStyle name="Verklarende tekst 2" xfId="442"/>
    <cellStyle name="Verklarende tekst 3" xfId="443"/>
    <cellStyle name="Waarschuwingstekst 2" xfId="444"/>
    <cellStyle name="Waarschuwingstekst 3" xfId="445"/>
    <cellStyle name="Währung [0]_DIAGRAM" xfId="446"/>
    <cellStyle name="Währung_DIAGRAM" xfId="447"/>
    <cellStyle name="Warning Text 2" xfId="44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DatOrig\Opgave%20IenM-TOF_begroting-2016%2008-1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toelichting R&amp;D"/>
      <sheetName val="toelichting innovatie"/>
      <sheetName val="NABScodering"/>
    </sheetNames>
    <sheetDataSet>
      <sheetData sheetId="0">
        <row r="88">
          <cell r="B88" t="str">
            <v>RWS Corporate innovatie (HWN, HWVN)</v>
          </cell>
        </row>
        <row r="96">
          <cell r="B96" t="str">
            <v>Opdrachten KDC</v>
          </cell>
        </row>
        <row r="98">
          <cell r="B98" t="str">
            <v>KLM Corporate Biofuel Programme</v>
          </cell>
        </row>
        <row r="100">
          <cell r="B100" t="str">
            <v>topsector logistiek - opdrachten</v>
          </cell>
        </row>
        <row r="102">
          <cell r="B102" t="str">
            <v>topsector logistiek - subsidies</v>
          </cell>
        </row>
        <row r="104">
          <cell r="B104" t="str">
            <v>subsidieregeling innovaties duurzame binnenvaart</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pb.nl/cijfer/kortetermijnraming-maart-2018"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ijksoverheid.nl/documenten/begrotingen/2017/09/19/bijlagen-miljoenennota-2018"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tabSelected="1" zoomScaleNormal="100" workbookViewId="0"/>
  </sheetViews>
  <sheetFormatPr defaultRowHeight="15" customHeight="1"/>
  <cols>
    <col min="1" max="1" width="3.7109375" style="37" customWidth="1"/>
    <col min="2" max="2" width="129" style="37" customWidth="1"/>
    <col min="3" max="3" width="9.140625" style="37"/>
    <col min="4" max="4" width="9.28515625" style="232" customWidth="1"/>
    <col min="5" max="5" width="9.140625" style="232"/>
    <col min="6" max="16384" width="9.140625" style="37"/>
  </cols>
  <sheetData>
    <row r="1" spans="1:5" ht="20.100000000000001" customHeight="1">
      <c r="B1" s="87" t="s">
        <v>255</v>
      </c>
    </row>
    <row r="2" spans="1:5" ht="15" customHeight="1">
      <c r="B2" s="87"/>
    </row>
    <row r="3" spans="1:5" s="80" customFormat="1" ht="19.5" customHeight="1">
      <c r="A3" s="230"/>
      <c r="B3" s="225" t="s">
        <v>254</v>
      </c>
      <c r="D3" s="233"/>
      <c r="E3" s="233"/>
    </row>
    <row r="4" spans="1:5" s="80" customFormat="1" ht="19.5" customHeight="1">
      <c r="A4" s="230"/>
      <c r="B4" s="225" t="s">
        <v>617</v>
      </c>
      <c r="D4" s="233"/>
      <c r="E4" s="233"/>
    </row>
    <row r="5" spans="1:5" s="80" customFormat="1" ht="19.5" customHeight="1">
      <c r="A5" s="230"/>
      <c r="B5" s="250" t="s">
        <v>636</v>
      </c>
      <c r="D5" s="233"/>
      <c r="E5" s="233"/>
    </row>
    <row r="6" spans="1:5" s="80" customFormat="1" ht="19.5" customHeight="1">
      <c r="A6" s="230"/>
      <c r="B6" s="250" t="s">
        <v>637</v>
      </c>
      <c r="D6" s="233"/>
      <c r="E6" s="233"/>
    </row>
    <row r="7" spans="1:5" s="80" customFormat="1" ht="19.5" customHeight="1">
      <c r="A7" s="230"/>
      <c r="B7" s="250" t="s">
        <v>638</v>
      </c>
      <c r="D7" s="233"/>
      <c r="E7" s="233"/>
    </row>
    <row r="8" spans="1:5" s="80" customFormat="1" ht="19.5" customHeight="1">
      <c r="A8" s="230"/>
      <c r="B8" s="250" t="s">
        <v>639</v>
      </c>
      <c r="D8" s="233"/>
      <c r="E8" s="233"/>
    </row>
    <row r="9" spans="1:5" s="80" customFormat="1" ht="19.5" customHeight="1">
      <c r="A9" s="230"/>
      <c r="B9" s="250" t="s">
        <v>640</v>
      </c>
      <c r="D9" s="233"/>
      <c r="E9" s="233"/>
    </row>
    <row r="10" spans="1:5" s="80" customFormat="1" ht="19.5" customHeight="1">
      <c r="A10" s="230"/>
      <c r="B10" s="250" t="s">
        <v>641</v>
      </c>
      <c r="D10" s="233"/>
      <c r="E10" s="233"/>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Type!A1" display="- Het overzicht van overheidsuitgaven voor R&amp;D naar type uitgaven, 2016-2022"/>
    <hyperlink ref="B10"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portrait" r:id="rId1"/>
  <headerFooter>
    <oddFooter>&amp;L&amp;Z&amp;F</oddFooter>
  </headerFooter>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heetViews>
  <sheetFormatPr defaultRowHeight="15"/>
  <cols>
    <col min="1" max="1" width="218.5703125" style="109" customWidth="1"/>
    <col min="2" max="2" width="9.42578125" style="109" customWidth="1"/>
    <col min="3" max="8" width="9.140625" style="109" customWidth="1"/>
    <col min="9" max="16384" width="9.140625" style="109"/>
  </cols>
  <sheetData>
    <row r="1" spans="1:21" ht="18.75">
      <c r="A1" s="87" t="s">
        <v>309</v>
      </c>
    </row>
    <row r="3" spans="1:21" ht="15" customHeight="1">
      <c r="A3" s="52" t="s">
        <v>225</v>
      </c>
    </row>
    <row r="4" spans="1:21" ht="15" customHeight="1">
      <c r="A4" s="252" t="s">
        <v>623</v>
      </c>
      <c r="B4" s="253"/>
      <c r="C4" s="253"/>
      <c r="D4" s="253"/>
      <c r="E4" s="253"/>
      <c r="F4" s="253"/>
      <c r="G4" s="253"/>
      <c r="H4" s="253"/>
    </row>
    <row r="5" spans="1:21" ht="15" customHeight="1">
      <c r="A5" s="214" t="s">
        <v>624</v>
      </c>
      <c r="B5" s="117"/>
      <c r="C5" s="117"/>
      <c r="D5" s="117"/>
      <c r="E5" s="117"/>
      <c r="F5" s="117"/>
      <c r="G5" s="117"/>
      <c r="H5" s="117"/>
    </row>
    <row r="6" spans="1:21" ht="15" customHeight="1">
      <c r="A6" s="214" t="s">
        <v>625</v>
      </c>
      <c r="B6" s="224"/>
      <c r="C6" s="224"/>
      <c r="D6" s="224"/>
      <c r="E6" s="224"/>
      <c r="F6" s="224"/>
      <c r="G6" s="224"/>
      <c r="H6" s="224"/>
    </row>
    <row r="7" spans="1:21" ht="15" customHeight="1">
      <c r="A7" s="254" t="s">
        <v>618</v>
      </c>
      <c r="B7" s="255"/>
      <c r="C7" s="255"/>
      <c r="D7" s="255"/>
      <c r="E7" s="255"/>
      <c r="F7" s="255"/>
      <c r="G7" s="255"/>
      <c r="H7" s="255"/>
    </row>
    <row r="8" spans="1:21" ht="15" customHeight="1">
      <c r="A8" s="256" t="s">
        <v>626</v>
      </c>
      <c r="B8" s="253"/>
      <c r="C8" s="253"/>
      <c r="D8" s="253"/>
      <c r="E8" s="253"/>
      <c r="F8" s="253"/>
      <c r="G8" s="253"/>
      <c r="H8" s="253"/>
    </row>
    <row r="9" spans="1:21" ht="15" customHeight="1">
      <c r="A9" s="229" t="s">
        <v>627</v>
      </c>
      <c r="B9" s="117"/>
      <c r="C9" s="117"/>
      <c r="D9" s="117"/>
      <c r="E9" s="117"/>
      <c r="F9" s="117"/>
      <c r="G9" s="117"/>
      <c r="H9" s="117"/>
    </row>
    <row r="10" spans="1:21" ht="15" customHeight="1"/>
    <row r="11" spans="1:21" ht="15" customHeight="1">
      <c r="A11" s="76" t="s">
        <v>227</v>
      </c>
      <c r="B11" s="2"/>
      <c r="C11" s="2"/>
      <c r="D11" s="2"/>
      <c r="E11" s="2"/>
      <c r="F11" s="2"/>
      <c r="G11" s="2"/>
      <c r="H11" s="2"/>
      <c r="I11" s="2"/>
      <c r="J11" s="2"/>
      <c r="K11" s="2"/>
      <c r="L11" s="2"/>
      <c r="M11" s="2"/>
      <c r="N11" s="2"/>
    </row>
    <row r="12" spans="1:21" ht="15" customHeight="1">
      <c r="A12" s="76"/>
      <c r="B12" s="2"/>
      <c r="C12" s="2"/>
      <c r="D12" s="2"/>
      <c r="E12" s="2"/>
      <c r="F12" s="2"/>
      <c r="G12" s="2"/>
      <c r="H12" s="2"/>
      <c r="I12" s="2"/>
      <c r="J12" s="2"/>
      <c r="K12" s="2"/>
      <c r="L12" s="2"/>
      <c r="M12" s="2"/>
      <c r="N12" s="2"/>
    </row>
    <row r="13" spans="1:21" ht="15" customHeight="1">
      <c r="A13" s="3" t="s">
        <v>213</v>
      </c>
      <c r="B13" s="2"/>
      <c r="C13" s="2"/>
      <c r="D13" s="2"/>
      <c r="E13" s="2"/>
      <c r="F13" s="2"/>
      <c r="G13" s="2"/>
      <c r="H13" s="2"/>
      <c r="I13" s="2"/>
      <c r="J13" s="2"/>
      <c r="K13" s="2"/>
      <c r="L13" s="2"/>
      <c r="M13" s="2"/>
      <c r="N13" s="2"/>
    </row>
    <row r="14" spans="1:21" ht="15" customHeight="1">
      <c r="A14" s="79" t="s">
        <v>628</v>
      </c>
      <c r="B14" s="119"/>
      <c r="C14" s="119"/>
      <c r="D14" s="119"/>
      <c r="E14" s="119"/>
      <c r="F14" s="119"/>
      <c r="G14" s="119"/>
      <c r="H14" s="119"/>
      <c r="I14" s="119"/>
      <c r="J14" s="119"/>
      <c r="K14" s="119"/>
      <c r="L14" s="119"/>
      <c r="M14" s="119"/>
      <c r="N14" s="119"/>
    </row>
    <row r="15" spans="1:21" ht="15" customHeight="1">
      <c r="A15" s="231" t="s">
        <v>629</v>
      </c>
      <c r="B15" s="119"/>
      <c r="C15" s="119"/>
      <c r="D15" s="119"/>
      <c r="E15" s="119"/>
      <c r="F15" s="119"/>
      <c r="G15" s="119"/>
      <c r="H15" s="119"/>
      <c r="I15" s="119"/>
      <c r="J15" s="119"/>
      <c r="K15" s="119"/>
      <c r="L15" s="119"/>
      <c r="M15" s="119"/>
      <c r="N15" s="119"/>
      <c r="O15" s="2"/>
      <c r="P15" s="2"/>
      <c r="Q15" s="2"/>
      <c r="R15" s="118"/>
      <c r="S15" s="49"/>
      <c r="T15" s="118"/>
      <c r="U15" s="118"/>
    </row>
    <row r="16" spans="1:21" ht="15" customHeight="1">
      <c r="A16" s="2" t="s">
        <v>214</v>
      </c>
      <c r="B16" s="2"/>
      <c r="C16" s="2"/>
      <c r="D16" s="2"/>
      <c r="E16" s="2"/>
      <c r="F16" s="2"/>
      <c r="G16" s="2"/>
      <c r="H16" s="2"/>
      <c r="I16" s="2"/>
      <c r="J16" s="2"/>
      <c r="K16" s="2"/>
      <c r="L16" s="2"/>
      <c r="M16" s="2"/>
      <c r="N16" s="2"/>
      <c r="O16" s="2"/>
      <c r="P16" s="2"/>
      <c r="Q16" s="2"/>
      <c r="R16" s="118"/>
      <c r="S16" s="49"/>
      <c r="T16" s="118"/>
      <c r="U16" s="118"/>
    </row>
    <row r="17" spans="1:21" ht="15" customHeight="1">
      <c r="A17" s="2"/>
      <c r="B17" s="2"/>
      <c r="C17" s="2"/>
      <c r="D17" s="2"/>
      <c r="E17" s="2"/>
      <c r="F17" s="2"/>
      <c r="G17" s="2"/>
      <c r="H17" s="2"/>
      <c r="I17" s="2"/>
      <c r="J17" s="2"/>
      <c r="K17" s="2"/>
      <c r="L17" s="2"/>
      <c r="M17" s="2"/>
      <c r="N17" s="2"/>
      <c r="O17" s="2"/>
      <c r="P17" s="2"/>
      <c r="Q17" s="2"/>
      <c r="R17" s="118"/>
      <c r="S17" s="49"/>
      <c r="T17" s="118"/>
      <c r="U17" s="118"/>
    </row>
    <row r="18" spans="1:21" ht="15" customHeight="1">
      <c r="A18" s="3" t="s">
        <v>226</v>
      </c>
      <c r="B18" s="2"/>
      <c r="C18" s="2"/>
      <c r="D18" s="2"/>
      <c r="E18" s="2"/>
      <c r="F18" s="2"/>
      <c r="G18" s="2"/>
      <c r="H18" s="2"/>
      <c r="I18" s="2"/>
      <c r="J18" s="2"/>
      <c r="K18" s="2"/>
      <c r="L18" s="2"/>
      <c r="M18" s="2"/>
      <c r="N18" s="2"/>
      <c r="O18" s="50"/>
      <c r="P18" s="50"/>
      <c r="Q18" s="50"/>
      <c r="R18" s="50"/>
      <c r="S18" s="51"/>
      <c r="T18" s="50"/>
      <c r="U18" s="50"/>
    </row>
    <row r="19" spans="1:21" ht="15" customHeight="1">
      <c r="A19" s="77" t="s">
        <v>215</v>
      </c>
      <c r="B19" s="2"/>
      <c r="C19" s="2"/>
      <c r="D19" s="2"/>
      <c r="E19" s="2"/>
      <c r="F19" s="2"/>
      <c r="G19" s="2"/>
      <c r="H19" s="2"/>
      <c r="I19" s="2"/>
      <c r="J19" s="2"/>
      <c r="K19" s="2"/>
      <c r="L19" s="2"/>
      <c r="M19" s="2"/>
      <c r="N19" s="2"/>
    </row>
    <row r="20" spans="1:21" ht="15" customHeight="1">
      <c r="A20" s="77" t="s">
        <v>216</v>
      </c>
      <c r="B20" s="2"/>
      <c r="C20" s="2"/>
      <c r="D20" s="2"/>
      <c r="E20" s="2"/>
      <c r="F20" s="2"/>
      <c r="G20" s="2"/>
      <c r="H20" s="2"/>
      <c r="I20" s="2"/>
      <c r="J20" s="2"/>
      <c r="K20" s="2"/>
      <c r="L20" s="2"/>
      <c r="M20" s="2"/>
      <c r="N20" s="2"/>
    </row>
    <row r="21" spans="1:21" ht="15" customHeight="1">
      <c r="A21" s="77" t="s">
        <v>358</v>
      </c>
      <c r="B21" s="2"/>
      <c r="C21" s="2"/>
      <c r="D21" s="2"/>
      <c r="E21" s="2"/>
      <c r="F21" s="2"/>
      <c r="G21" s="2"/>
      <c r="H21" s="2"/>
      <c r="I21" s="2"/>
      <c r="J21" s="2"/>
      <c r="K21" s="2"/>
      <c r="L21" s="2"/>
      <c r="M21" s="2"/>
      <c r="N21" s="2"/>
    </row>
    <row r="22" spans="1:21" ht="15" customHeight="1">
      <c r="A22" s="77" t="s">
        <v>359</v>
      </c>
      <c r="B22" s="2"/>
      <c r="C22" s="2"/>
      <c r="D22" s="2"/>
      <c r="E22" s="2"/>
      <c r="F22" s="2"/>
      <c r="G22" s="2"/>
      <c r="H22" s="2"/>
      <c r="I22" s="2"/>
      <c r="J22" s="2"/>
      <c r="K22" s="2"/>
      <c r="L22" s="2"/>
      <c r="M22" s="2"/>
      <c r="N22" s="2"/>
    </row>
    <row r="23" spans="1:21" ht="15" customHeight="1">
      <c r="A23" s="2"/>
      <c r="B23" s="2"/>
      <c r="C23" s="2"/>
      <c r="D23" s="2"/>
      <c r="E23" s="2"/>
      <c r="F23" s="2"/>
      <c r="G23" s="2"/>
      <c r="H23" s="2"/>
      <c r="I23" s="2"/>
      <c r="J23" s="2"/>
      <c r="K23" s="2"/>
      <c r="L23" s="2"/>
      <c r="M23" s="2"/>
      <c r="N23" s="2"/>
    </row>
    <row r="24" spans="1:21" ht="15" customHeight="1">
      <c r="A24" s="3" t="s">
        <v>217</v>
      </c>
      <c r="B24" s="2"/>
      <c r="C24" s="2"/>
      <c r="D24" s="2"/>
      <c r="E24" s="2"/>
      <c r="F24" s="2"/>
      <c r="G24" s="2"/>
      <c r="H24" s="2"/>
      <c r="I24" s="2"/>
      <c r="J24" s="2"/>
      <c r="K24" s="2"/>
      <c r="L24" s="2"/>
      <c r="M24" s="2"/>
      <c r="N24" s="2"/>
    </row>
    <row r="25" spans="1:21" ht="48.75" customHeight="1">
      <c r="A25" s="79" t="s">
        <v>218</v>
      </c>
      <c r="B25" s="120"/>
      <c r="C25" s="120"/>
      <c r="D25" s="120"/>
      <c r="E25" s="120"/>
      <c r="F25" s="120"/>
      <c r="G25" s="120"/>
      <c r="H25" s="120"/>
      <c r="I25" s="120"/>
      <c r="J25" s="120"/>
      <c r="K25" s="120"/>
      <c r="L25" s="120"/>
      <c r="M25" s="120"/>
      <c r="N25" s="120"/>
    </row>
    <row r="26" spans="1:21" ht="15" customHeight="1">
      <c r="A26" s="2"/>
      <c r="B26" s="2"/>
      <c r="C26" s="2"/>
      <c r="D26" s="2"/>
      <c r="E26" s="2"/>
      <c r="F26" s="2"/>
      <c r="G26" s="2"/>
      <c r="H26" s="2"/>
      <c r="I26" s="2"/>
      <c r="J26" s="2"/>
      <c r="K26" s="2"/>
      <c r="L26" s="2"/>
      <c r="M26" s="2"/>
      <c r="N26" s="2"/>
    </row>
    <row r="27" spans="1:21" ht="15" customHeight="1">
      <c r="A27" s="3" t="s">
        <v>219</v>
      </c>
      <c r="B27" s="2"/>
      <c r="C27" s="2"/>
      <c r="D27" s="2"/>
      <c r="E27" s="2"/>
      <c r="F27" s="2"/>
      <c r="G27" s="2"/>
      <c r="H27" s="2"/>
      <c r="I27" s="2"/>
      <c r="J27" s="2"/>
      <c r="K27" s="2"/>
      <c r="L27" s="2"/>
      <c r="M27" s="2"/>
      <c r="N27" s="2"/>
    </row>
    <row r="28" spans="1:21" ht="45" customHeight="1">
      <c r="A28" s="79" t="s">
        <v>357</v>
      </c>
      <c r="B28" s="120"/>
      <c r="C28" s="120"/>
      <c r="D28" s="120"/>
      <c r="E28" s="120"/>
      <c r="F28" s="120"/>
      <c r="G28" s="120"/>
      <c r="H28" s="120"/>
      <c r="I28" s="120"/>
      <c r="J28" s="120"/>
      <c r="K28" s="120"/>
      <c r="L28" s="120"/>
      <c r="M28" s="120"/>
      <c r="N28" s="120"/>
    </row>
    <row r="29" spans="1:21" ht="15" customHeight="1">
      <c r="A29" s="2"/>
      <c r="B29" s="2"/>
      <c r="C29" s="2"/>
      <c r="D29" s="2"/>
      <c r="E29" s="2"/>
      <c r="F29" s="2"/>
      <c r="G29" s="2"/>
      <c r="H29" s="2"/>
      <c r="I29" s="2"/>
      <c r="J29" s="2"/>
      <c r="K29" s="2"/>
      <c r="L29" s="2"/>
      <c r="M29" s="2"/>
      <c r="N29" s="2"/>
    </row>
    <row r="30" spans="1:21" ht="15" customHeight="1">
      <c r="A30" s="3" t="s">
        <v>220</v>
      </c>
      <c r="B30" s="2"/>
      <c r="C30" s="2"/>
      <c r="D30" s="2"/>
      <c r="E30" s="2"/>
      <c r="F30" s="2"/>
      <c r="G30" s="2"/>
      <c r="H30" s="2"/>
      <c r="I30" s="2"/>
      <c r="J30" s="2"/>
      <c r="K30" s="2"/>
      <c r="L30" s="2"/>
      <c r="M30" s="2"/>
      <c r="N30" s="2"/>
    </row>
    <row r="31" spans="1:21" ht="15" customHeight="1">
      <c r="A31" s="2" t="s">
        <v>221</v>
      </c>
      <c r="B31" s="2"/>
      <c r="C31" s="2"/>
      <c r="D31" s="2"/>
      <c r="E31" s="2"/>
      <c r="F31" s="2"/>
      <c r="G31" s="2"/>
      <c r="H31" s="2"/>
      <c r="I31" s="2"/>
      <c r="J31" s="2"/>
      <c r="K31" s="2"/>
      <c r="L31" s="2"/>
      <c r="M31" s="2"/>
      <c r="N31" s="2"/>
    </row>
    <row r="32" spans="1:21" ht="15" customHeight="1">
      <c r="A32" s="2"/>
      <c r="B32" s="2"/>
      <c r="C32" s="2"/>
      <c r="D32" s="2"/>
      <c r="E32" s="2"/>
      <c r="F32" s="2"/>
      <c r="G32" s="2"/>
      <c r="H32" s="2"/>
      <c r="I32" s="2"/>
      <c r="J32" s="2"/>
      <c r="K32" s="2"/>
      <c r="L32" s="2"/>
      <c r="M32" s="2"/>
      <c r="N32" s="2"/>
    </row>
    <row r="33" spans="1:14" ht="15" customHeight="1">
      <c r="A33" s="3" t="s">
        <v>222</v>
      </c>
      <c r="B33" s="2"/>
      <c r="C33" s="2"/>
      <c r="D33" s="2"/>
      <c r="E33" s="2"/>
      <c r="F33" s="2"/>
      <c r="G33" s="2"/>
      <c r="H33" s="2"/>
      <c r="I33" s="2"/>
      <c r="J33" s="2"/>
      <c r="K33" s="2"/>
      <c r="L33" s="2"/>
      <c r="M33" s="2"/>
      <c r="N33" s="2"/>
    </row>
    <row r="34" spans="1:14" ht="30" customHeight="1">
      <c r="A34" s="79" t="s">
        <v>223</v>
      </c>
      <c r="B34" s="120"/>
      <c r="C34" s="120"/>
      <c r="D34" s="120"/>
      <c r="E34" s="120"/>
      <c r="F34" s="120"/>
      <c r="G34" s="120"/>
      <c r="H34" s="120"/>
      <c r="I34" s="120"/>
      <c r="J34" s="120"/>
      <c r="K34" s="120"/>
      <c r="L34" s="120"/>
      <c r="M34" s="120"/>
      <c r="N34" s="120"/>
    </row>
    <row r="35" spans="1:14" ht="15" customHeight="1">
      <c r="A35" s="79"/>
      <c r="B35" s="120"/>
      <c r="C35" s="120"/>
      <c r="D35" s="120"/>
      <c r="E35" s="120"/>
      <c r="F35" s="120"/>
      <c r="G35" s="120"/>
      <c r="H35" s="120"/>
      <c r="I35" s="120"/>
      <c r="J35" s="120"/>
      <c r="K35" s="120"/>
      <c r="L35" s="120"/>
      <c r="M35" s="120"/>
      <c r="N35" s="120"/>
    </row>
    <row r="36" spans="1:14" ht="15" customHeight="1">
      <c r="A36" s="3" t="s">
        <v>224</v>
      </c>
      <c r="B36" s="2"/>
      <c r="C36" s="2"/>
      <c r="D36" s="2"/>
      <c r="E36" s="2"/>
      <c r="F36" s="2"/>
      <c r="G36" s="2"/>
      <c r="H36" s="2"/>
      <c r="I36" s="2"/>
      <c r="J36" s="2"/>
      <c r="K36" s="2"/>
      <c r="L36" s="2"/>
      <c r="M36" s="2"/>
      <c r="N36" s="2"/>
    </row>
    <row r="37" spans="1:14" ht="15" customHeight="1">
      <c r="A37" s="79" t="s">
        <v>264</v>
      </c>
      <c r="B37" s="120"/>
      <c r="C37" s="120"/>
      <c r="D37" s="120"/>
      <c r="E37" s="120"/>
      <c r="F37" s="120"/>
      <c r="G37" s="120"/>
      <c r="H37" s="120"/>
      <c r="I37" s="120"/>
      <c r="J37" s="120"/>
      <c r="K37" s="120"/>
      <c r="L37" s="120"/>
      <c r="M37" s="120"/>
      <c r="N37" s="120"/>
    </row>
    <row r="38" spans="1:14" ht="15" customHeight="1"/>
    <row r="39" spans="1:14" ht="15" customHeight="1">
      <c r="A39" s="3" t="s">
        <v>228</v>
      </c>
    </row>
    <row r="40" spans="1:14" ht="15" customHeight="1">
      <c r="A40" s="2" t="s">
        <v>229</v>
      </c>
    </row>
    <row r="41" spans="1:14" ht="15" customHeight="1">
      <c r="A41" s="2" t="s">
        <v>619</v>
      </c>
    </row>
    <row r="42" spans="1:14" ht="15" customHeight="1">
      <c r="A42" s="2" t="s">
        <v>620</v>
      </c>
    </row>
    <row r="43" spans="1:14" ht="15" customHeight="1">
      <c r="A43" s="77" t="s">
        <v>230</v>
      </c>
    </row>
    <row r="44" spans="1:14" ht="15" customHeight="1">
      <c r="A44" s="77" t="s">
        <v>231</v>
      </c>
    </row>
    <row r="45" spans="1:14" ht="15" customHeight="1">
      <c r="A45" s="77" t="s">
        <v>232</v>
      </c>
    </row>
    <row r="46" spans="1:14" ht="15" customHeight="1">
      <c r="A46" s="77" t="s">
        <v>233</v>
      </c>
    </row>
    <row r="47" spans="1:14" ht="15" customHeight="1"/>
    <row r="48" spans="1:14" ht="15" customHeight="1">
      <c r="A48" s="3" t="s">
        <v>234</v>
      </c>
    </row>
    <row r="49" spans="1:1" ht="15" customHeight="1">
      <c r="A49" s="2" t="s">
        <v>235</v>
      </c>
    </row>
    <row r="50" spans="1:1" ht="15" customHeight="1"/>
    <row r="51" spans="1:1" ht="15" customHeight="1">
      <c r="A51" s="3" t="s">
        <v>236</v>
      </c>
    </row>
    <row r="52" spans="1:1" ht="15" customHeight="1">
      <c r="A52" s="2" t="s">
        <v>237</v>
      </c>
    </row>
    <row r="53" spans="1:1" ht="15" customHeight="1">
      <c r="A53" s="2" t="s">
        <v>621</v>
      </c>
    </row>
    <row r="54" spans="1:1" ht="15" customHeight="1">
      <c r="A54" s="2" t="s">
        <v>622</v>
      </c>
    </row>
    <row r="55" spans="1:1" ht="15" customHeight="1">
      <c r="A55" s="2"/>
    </row>
  </sheetData>
  <mergeCells count="3">
    <mergeCell ref="A4:H4"/>
    <mergeCell ref="A7:H7"/>
    <mergeCell ref="A8:H8"/>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zoomScaleNormal="100" workbookViewId="0">
      <selection activeCell="K7" sqref="K7"/>
    </sheetView>
  </sheetViews>
  <sheetFormatPr defaultRowHeight="12.75"/>
  <cols>
    <col min="1" max="1" width="5.5703125" style="105" customWidth="1"/>
    <col min="2" max="2" width="52.42578125" style="105" customWidth="1"/>
    <col min="3" max="3" width="9.42578125" style="105" bestFit="1" customWidth="1"/>
    <col min="4" max="5" width="9.140625" style="105"/>
    <col min="6" max="9" width="9.42578125" style="105" bestFit="1" customWidth="1"/>
    <col min="10" max="16384" width="9.140625" style="105"/>
  </cols>
  <sheetData>
    <row r="1" spans="1:17" ht="18.75">
      <c r="B1" s="83" t="s">
        <v>460</v>
      </c>
      <c r="C1" s="4"/>
      <c r="D1" s="4"/>
      <c r="E1" s="4"/>
      <c r="F1" s="4"/>
      <c r="G1" s="4"/>
      <c r="H1" s="4"/>
      <c r="I1" s="4"/>
    </row>
    <row r="2" spans="1:17" ht="15.75">
      <c r="B2" s="20"/>
      <c r="C2" s="4"/>
      <c r="D2" s="4"/>
      <c r="E2" s="4"/>
      <c r="F2" s="4"/>
      <c r="G2" s="4"/>
      <c r="H2" s="4"/>
      <c r="I2" s="4"/>
    </row>
    <row r="3" spans="1:17" ht="15">
      <c r="B3" s="3" t="s">
        <v>304</v>
      </c>
      <c r="C3" s="38">
        <v>2016</v>
      </c>
      <c r="D3" s="38">
        <v>2017</v>
      </c>
      <c r="E3" s="38">
        <v>2018</v>
      </c>
      <c r="F3" s="38">
        <v>2019</v>
      </c>
      <c r="G3" s="38">
        <v>2020</v>
      </c>
      <c r="H3" s="38">
        <v>2021</v>
      </c>
      <c r="I3" s="38">
        <v>2022</v>
      </c>
      <c r="J3" s="38"/>
    </row>
    <row r="4" spans="1:17" s="109" customFormat="1" ht="15">
      <c r="A4" s="109" t="s">
        <v>296</v>
      </c>
      <c r="B4" s="109" t="s">
        <v>166</v>
      </c>
      <c r="C4" s="121">
        <f>'R&amp;D'!C258</f>
        <v>4926.0443425581889</v>
      </c>
      <c r="D4" s="121">
        <f>'R&amp;D'!D258</f>
        <v>5107.3676633122304</v>
      </c>
      <c r="E4" s="121">
        <f>'R&amp;D'!E258</f>
        <v>5066.278324040657</v>
      </c>
      <c r="F4" s="121">
        <f>'R&amp;D'!F258</f>
        <v>5048.3886432995232</v>
      </c>
      <c r="G4" s="121">
        <f>'R&amp;D'!G258</f>
        <v>5019.859451952012</v>
      </c>
      <c r="H4" s="121">
        <f>'R&amp;D'!H258</f>
        <v>5060.3068062153234</v>
      </c>
      <c r="I4" s="121">
        <f>'R&amp;D'!I258</f>
        <v>5052.0948756394573</v>
      </c>
      <c r="K4" s="148"/>
    </row>
    <row r="5" spans="1:17" s="55" customFormat="1" ht="15">
      <c r="B5" s="53" t="s">
        <v>169</v>
      </c>
      <c r="C5" s="54">
        <f>'R&amp;D'!P258</f>
        <v>1079.0355862857143</v>
      </c>
      <c r="D5" s="54">
        <f>'R&amp;D'!Q258</f>
        <v>1160.9673266133334</v>
      </c>
      <c r="E5" s="54">
        <f>'R&amp;D'!R258</f>
        <v>1121.07299704</v>
      </c>
      <c r="F5" s="54">
        <f>'R&amp;D'!S258</f>
        <v>1119.9989863200001</v>
      </c>
      <c r="G5" s="54">
        <f>'R&amp;D'!T258</f>
        <v>1123.5234735199997</v>
      </c>
      <c r="H5" s="54">
        <f>'R&amp;D'!U258</f>
        <v>1113.8173715999999</v>
      </c>
      <c r="I5" s="54">
        <f>'R&amp;D'!V258</f>
        <v>1097.6307715999997</v>
      </c>
    </row>
    <row r="6" spans="1:17" s="109" customFormat="1" ht="15">
      <c r="A6" s="109" t="s">
        <v>297</v>
      </c>
      <c r="B6" s="2" t="s">
        <v>170</v>
      </c>
      <c r="C6" s="121">
        <f>Innovatie!C106</f>
        <v>254.01399999999995</v>
      </c>
      <c r="D6" s="121">
        <f>Innovatie!D106</f>
        <v>325.26140000000004</v>
      </c>
      <c r="E6" s="121">
        <f>Innovatie!E106</f>
        <v>295.9144</v>
      </c>
      <c r="F6" s="121">
        <f>Innovatie!F106</f>
        <v>300.08139999999997</v>
      </c>
      <c r="G6" s="121">
        <f>Innovatie!G106</f>
        <v>295.97240000000005</v>
      </c>
      <c r="H6" s="121">
        <f>Innovatie!H106</f>
        <v>255.77340000000001</v>
      </c>
      <c r="I6" s="121">
        <f>Innovatie!I106</f>
        <v>238.51679999999999</v>
      </c>
      <c r="K6" s="122"/>
      <c r="L6" s="122"/>
      <c r="M6" s="122"/>
      <c r="N6" s="122"/>
      <c r="O6" s="122"/>
      <c r="P6" s="122"/>
      <c r="Q6" s="122"/>
    </row>
    <row r="7" spans="1:17" s="109" customFormat="1" ht="15">
      <c r="A7" s="109" t="s">
        <v>298</v>
      </c>
      <c r="B7" s="109" t="s">
        <v>165</v>
      </c>
      <c r="C7" s="121">
        <f>Fiscaal!B10</f>
        <v>1216.75</v>
      </c>
      <c r="D7" s="121">
        <f>Fiscaal!C10</f>
        <v>1214.3499999999999</v>
      </c>
      <c r="E7" s="121">
        <f>Fiscaal!D10</f>
        <v>1172.3499999999999</v>
      </c>
      <c r="F7" s="121">
        <f>Fiscaal!E10</f>
        <v>1214.3499999999999</v>
      </c>
      <c r="G7" s="121">
        <f>Fiscaal!F10</f>
        <v>1214.3499999999999</v>
      </c>
      <c r="H7" s="121">
        <f>Fiscaal!G10</f>
        <v>1214.3499999999999</v>
      </c>
      <c r="I7" s="121">
        <f>Fiscaal!H10</f>
        <v>1214.3499999999999</v>
      </c>
      <c r="K7" s="122"/>
      <c r="L7" s="122"/>
      <c r="M7" s="122"/>
      <c r="N7" s="122"/>
      <c r="O7" s="122"/>
      <c r="P7" s="122"/>
      <c r="Q7" s="122"/>
    </row>
    <row r="8" spans="1:17" s="56" customFormat="1" ht="15.75">
      <c r="B8" s="56" t="s">
        <v>168</v>
      </c>
      <c r="C8" s="57">
        <f>+C4+C6+C7</f>
        <v>6396.808342558189</v>
      </c>
      <c r="D8" s="57">
        <f t="shared" ref="D8:I8" si="0">+D4+D6+D7</f>
        <v>6646.9790633122302</v>
      </c>
      <c r="E8" s="57">
        <f t="shared" si="0"/>
        <v>6534.542724040657</v>
      </c>
      <c r="F8" s="57">
        <f t="shared" si="0"/>
        <v>6562.8200432995236</v>
      </c>
      <c r="G8" s="57">
        <f t="shared" si="0"/>
        <v>6530.1818519520111</v>
      </c>
      <c r="H8" s="57">
        <f t="shared" si="0"/>
        <v>6530.4302062153238</v>
      </c>
      <c r="I8" s="57">
        <f t="shared" si="0"/>
        <v>6504.9616756394571</v>
      </c>
      <c r="K8" s="57"/>
    </row>
    <row r="9" spans="1:17" s="55" customFormat="1" ht="15">
      <c r="B9" s="53" t="s">
        <v>450</v>
      </c>
      <c r="C9" s="54">
        <f>+C5+C6+C7</f>
        <v>2549.7995862857142</v>
      </c>
      <c r="D9" s="54">
        <f t="shared" ref="D9:I9" si="1">+D5+D6+D7</f>
        <v>2700.5787266133334</v>
      </c>
      <c r="E9" s="54">
        <f t="shared" si="1"/>
        <v>2589.3373970399998</v>
      </c>
      <c r="F9" s="54">
        <f t="shared" si="1"/>
        <v>2634.4303863200003</v>
      </c>
      <c r="G9" s="54">
        <f t="shared" si="1"/>
        <v>2633.8458735199997</v>
      </c>
      <c r="H9" s="54">
        <f t="shared" si="1"/>
        <v>2583.9407715999996</v>
      </c>
      <c r="I9" s="54">
        <f t="shared" si="1"/>
        <v>2550.4975715999994</v>
      </c>
      <c r="N9" s="191"/>
    </row>
    <row r="10" spans="1:17" s="86" customFormat="1" ht="15">
      <c r="B10" s="53" t="s">
        <v>259</v>
      </c>
      <c r="C10" s="85">
        <f>+C9/C8*100</f>
        <v>39.860496824983933</v>
      </c>
      <c r="D10" s="85">
        <f t="shared" ref="D10:I10" si="2">+D9/D8*100</f>
        <v>40.628663049641361</v>
      </c>
      <c r="E10" s="85">
        <f t="shared" si="2"/>
        <v>39.62538017409846</v>
      </c>
      <c r="F10" s="85">
        <f t="shared" si="2"/>
        <v>40.141743472147894</v>
      </c>
      <c r="G10" s="85">
        <f t="shared" si="2"/>
        <v>40.333423068956137</v>
      </c>
      <c r="H10" s="85">
        <f t="shared" si="2"/>
        <v>39.567696001723426</v>
      </c>
      <c r="I10" s="85">
        <f t="shared" si="2"/>
        <v>39.208494973174119</v>
      </c>
      <c r="M10" s="190"/>
    </row>
    <row r="11" spans="1:17" s="109" customFormat="1" ht="15">
      <c r="C11" s="192"/>
      <c r="D11" s="192"/>
      <c r="E11" s="193"/>
      <c r="F11" s="192"/>
      <c r="G11" s="192"/>
      <c r="H11" s="192"/>
      <c r="I11" s="192"/>
    </row>
    <row r="12" spans="1:17" ht="15">
      <c r="B12" s="38" t="s">
        <v>303</v>
      </c>
      <c r="C12" s="38">
        <f>C3</f>
        <v>2016</v>
      </c>
      <c r="D12" s="38">
        <f t="shared" ref="D12:I12" si="3">D3</f>
        <v>2017</v>
      </c>
      <c r="E12" s="38">
        <f t="shared" si="3"/>
        <v>2018</v>
      </c>
      <c r="F12" s="38">
        <f t="shared" si="3"/>
        <v>2019</v>
      </c>
      <c r="G12" s="38">
        <f t="shared" si="3"/>
        <v>2020</v>
      </c>
      <c r="H12" s="38">
        <f t="shared" si="3"/>
        <v>2021</v>
      </c>
      <c r="I12" s="38">
        <f t="shared" si="3"/>
        <v>2022</v>
      </c>
    </row>
    <row r="13" spans="1:17" s="109" customFormat="1" ht="15">
      <c r="A13" s="109" t="s">
        <v>296</v>
      </c>
      <c r="B13" s="109" t="s">
        <v>299</v>
      </c>
      <c r="C13" s="122">
        <f t="shared" ref="C13:I13" si="4">+C4/C19/10</f>
        <v>0.70111647346401773</v>
      </c>
      <c r="D13" s="122">
        <f t="shared" si="4"/>
        <v>0.69582665712700686</v>
      </c>
      <c r="E13" s="122">
        <f t="shared" si="4"/>
        <v>0.65667897913683171</v>
      </c>
      <c r="F13" s="122">
        <f t="shared" si="4"/>
        <v>0.63715692420013159</v>
      </c>
      <c r="G13" s="122">
        <f t="shared" si="4"/>
        <v>0.62419335579010715</v>
      </c>
      <c r="H13" s="122">
        <f t="shared" si="4"/>
        <v>0.61992391473154096</v>
      </c>
      <c r="I13" s="122">
        <f t="shared" si="4"/>
        <v>0.61157894691465864</v>
      </c>
    </row>
    <row r="14" spans="1:17" s="109" customFormat="1" ht="15">
      <c r="A14" s="109" t="s">
        <v>297</v>
      </c>
      <c r="B14" s="2" t="s">
        <v>300</v>
      </c>
      <c r="C14" s="122">
        <f t="shared" ref="C14:I14" si="5">+C6/C19/10</f>
        <v>3.6153430116709358E-2</v>
      </c>
      <c r="D14" s="122">
        <f t="shared" si="5"/>
        <v>4.4313542234332433E-2</v>
      </c>
      <c r="E14" s="122">
        <f t="shared" si="5"/>
        <v>3.8355722618276085E-2</v>
      </c>
      <c r="F14" s="122">
        <f t="shared" si="5"/>
        <v>3.7873261221169699E-2</v>
      </c>
      <c r="G14" s="122">
        <f t="shared" si="5"/>
        <v>3.6802625122385205E-2</v>
      </c>
      <c r="H14" s="122">
        <f t="shared" si="5"/>
        <v>3.1334077850268857E-2</v>
      </c>
      <c r="I14" s="122">
        <f t="shared" si="5"/>
        <v>2.8873537998826842E-2</v>
      </c>
    </row>
    <row r="15" spans="1:17" s="109" customFormat="1" ht="15">
      <c r="A15" s="109" t="s">
        <v>298</v>
      </c>
      <c r="B15" s="109" t="s">
        <v>302</v>
      </c>
      <c r="C15" s="122">
        <f t="shared" ref="C15:I15" si="6">+C7/C19/10</f>
        <v>0.17317819527469397</v>
      </c>
      <c r="D15" s="122">
        <f t="shared" si="6"/>
        <v>0.1654427792915531</v>
      </c>
      <c r="E15" s="122">
        <f t="shared" si="6"/>
        <v>0.15195722618276084</v>
      </c>
      <c r="F15" s="122">
        <f t="shared" si="6"/>
        <v>0.15326306383510419</v>
      </c>
      <c r="G15" s="122">
        <f t="shared" si="6"/>
        <v>0.1509980924483785</v>
      </c>
      <c r="H15" s="122">
        <f t="shared" si="6"/>
        <v>0.1487665935452005</v>
      </c>
      <c r="I15" s="122">
        <f t="shared" si="6"/>
        <v>0.1470025627917001</v>
      </c>
    </row>
    <row r="16" spans="1:17" s="109" customFormat="1" ht="15">
      <c r="B16" s="38" t="s">
        <v>301</v>
      </c>
      <c r="C16" s="110">
        <f t="shared" ref="C16:I16" si="7">+C8/C19/10</f>
        <v>0.91044809885542111</v>
      </c>
      <c r="D16" s="110">
        <f t="shared" si="7"/>
        <v>0.9055829786528925</v>
      </c>
      <c r="E16" s="110">
        <f t="shared" si="7"/>
        <v>0.84699192793786859</v>
      </c>
      <c r="F16" s="110">
        <f t="shared" si="7"/>
        <v>0.82829324925640557</v>
      </c>
      <c r="G16" s="110">
        <f t="shared" si="7"/>
        <v>0.81199407336087082</v>
      </c>
      <c r="H16" s="110">
        <f t="shared" si="7"/>
        <v>0.80002458612701033</v>
      </c>
      <c r="I16" s="110">
        <f t="shared" si="7"/>
        <v>0.7874550477051856</v>
      </c>
    </row>
    <row r="17" spans="2:11" ht="15">
      <c r="B17" s="53" t="s">
        <v>451</v>
      </c>
      <c r="C17" s="116">
        <f t="shared" ref="C17:I17" si="8">+C9/C19/10</f>
        <v>0.36290913553739174</v>
      </c>
      <c r="D17" s="116">
        <f t="shared" si="8"/>
        <v>0.36792625703178927</v>
      </c>
      <c r="E17" s="116">
        <f t="shared" si="8"/>
        <v>0.33562377148930655</v>
      </c>
      <c r="F17" s="116">
        <f t="shared" si="8"/>
        <v>0.33249135131362484</v>
      </c>
      <c r="G17" s="116">
        <f t="shared" si="8"/>
        <v>0.3275050049034901</v>
      </c>
      <c r="H17" s="116">
        <f t="shared" si="8"/>
        <v>0.31655129617778149</v>
      </c>
      <c r="I17" s="116">
        <f t="shared" si="8"/>
        <v>0.30874927279549358</v>
      </c>
    </row>
    <row r="18" spans="2:11">
      <c r="B18" s="115"/>
    </row>
    <row r="19" spans="2:11" s="137" customFormat="1" ht="15">
      <c r="B19" s="2" t="s">
        <v>205</v>
      </c>
      <c r="C19" s="173">
        <v>702.6</v>
      </c>
      <c r="D19" s="173">
        <v>734</v>
      </c>
      <c r="E19" s="173">
        <v>771.5</v>
      </c>
      <c r="F19" s="173">
        <f>1.027*E19</f>
        <v>792.33049999999992</v>
      </c>
      <c r="G19" s="173">
        <f>1.015*F19</f>
        <v>804.21545749999984</v>
      </c>
      <c r="H19" s="173">
        <f t="shared" ref="H19" si="9">1.015*G19</f>
        <v>816.27868936249979</v>
      </c>
      <c r="I19" s="173">
        <f>1.012*H19</f>
        <v>826.0740336348498</v>
      </c>
    </row>
    <row r="20" spans="2:11" s="109" customFormat="1" ht="15">
      <c r="B20" s="194"/>
      <c r="C20" s="211"/>
      <c r="D20" s="211"/>
      <c r="E20" s="211"/>
      <c r="F20" s="211"/>
      <c r="G20" s="211"/>
      <c r="H20" s="211"/>
      <c r="I20" s="211"/>
      <c r="J20" s="182"/>
      <c r="K20" s="137"/>
    </row>
    <row r="21" spans="2:11">
      <c r="B21" s="4"/>
      <c r="C21" s="91"/>
    </row>
    <row r="22" spans="2:11">
      <c r="B22" s="4" t="s">
        <v>615</v>
      </c>
      <c r="D22" s="91"/>
    </row>
    <row r="23" spans="2:11">
      <c r="B23" s="4" t="s">
        <v>616</v>
      </c>
    </row>
    <row r="24" spans="2:11">
      <c r="B24" s="210" t="s">
        <v>614</v>
      </c>
    </row>
    <row r="25" spans="2:11" ht="15">
      <c r="B25" s="199"/>
    </row>
    <row r="27" spans="2:11" ht="15">
      <c r="G27" s="223"/>
      <c r="H27" s="223"/>
      <c r="I27" s="223"/>
    </row>
    <row r="28" spans="2:11">
      <c r="F28" s="212"/>
      <c r="G28" s="212"/>
      <c r="H28" s="212"/>
    </row>
  </sheetData>
  <hyperlinks>
    <hyperlink ref="B24" r:id="rId1"/>
  </hyperlinks>
  <pageMargins left="0.70866141732283472" right="0.70866141732283472" top="0.74803149606299213" bottom="0.74803149606299213" header="0.31496062992125984" footer="0.31496062992125984"/>
  <pageSetup paperSize="9" orientation="landscape" r:id="rId2"/>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99"/>
  <sheetViews>
    <sheetView zoomScaleNormal="100" zoomScaleSheetLayoutView="100" workbookViewId="0"/>
  </sheetViews>
  <sheetFormatPr defaultRowHeight="12.75"/>
  <cols>
    <col min="1" max="1" width="13.7109375" style="4" customWidth="1"/>
    <col min="2" max="2" width="51.5703125" style="4" customWidth="1"/>
    <col min="3" max="9" width="14.140625" style="4" customWidth="1"/>
    <col min="10" max="10" width="10.85546875" style="4" customWidth="1"/>
    <col min="11" max="11" width="9.140625" style="4"/>
    <col min="12" max="12" width="11.42578125" style="4" customWidth="1"/>
    <col min="13" max="13" width="12" style="4" customWidth="1"/>
    <col min="14" max="14" width="6.28515625" style="4" customWidth="1"/>
    <col min="15" max="15" width="10.5703125" style="13" bestFit="1" customWidth="1"/>
    <col min="16" max="22" width="13.28515625" style="5" customWidth="1"/>
    <col min="23" max="16384" width="9.140625" style="4"/>
  </cols>
  <sheetData>
    <row r="1" spans="1:22" ht="18.75">
      <c r="A1" s="27" t="s">
        <v>461</v>
      </c>
      <c r="B1" s="175"/>
      <c r="C1" s="175"/>
      <c r="D1" s="175"/>
      <c r="E1" s="175"/>
      <c r="F1" s="175"/>
      <c r="G1" s="175"/>
      <c r="H1" s="175"/>
      <c r="I1" s="175"/>
      <c r="J1" s="175"/>
      <c r="K1" s="175"/>
      <c r="L1" s="103"/>
      <c r="M1" s="175"/>
      <c r="N1" s="175"/>
    </row>
    <row r="3" spans="1:22">
      <c r="A3" s="26" t="s">
        <v>78</v>
      </c>
      <c r="B3" s="24" t="s">
        <v>79</v>
      </c>
      <c r="C3" s="1" t="s">
        <v>257</v>
      </c>
      <c r="D3" s="24" t="s">
        <v>80</v>
      </c>
      <c r="E3" s="24" t="s">
        <v>81</v>
      </c>
      <c r="F3" s="24" t="s">
        <v>82</v>
      </c>
      <c r="G3" s="24"/>
      <c r="H3" s="24"/>
      <c r="I3" s="24"/>
      <c r="J3" s="24" t="s">
        <v>459</v>
      </c>
      <c r="K3" s="25" t="s">
        <v>83</v>
      </c>
      <c r="L3" s="24" t="s">
        <v>53</v>
      </c>
      <c r="M3" s="24" t="s">
        <v>224</v>
      </c>
      <c r="N3" s="24" t="s">
        <v>1</v>
      </c>
      <c r="O3" s="68" t="s">
        <v>267</v>
      </c>
      <c r="P3" s="5" t="s">
        <v>630</v>
      </c>
    </row>
    <row r="4" spans="1:22">
      <c r="A4" s="26"/>
      <c r="B4" s="24"/>
      <c r="C4" s="1">
        <f>Totaal!C3</f>
        <v>2016</v>
      </c>
      <c r="D4" s="1">
        <f>Totaal!D3</f>
        <v>2017</v>
      </c>
      <c r="E4" s="1">
        <f>Totaal!E3</f>
        <v>2018</v>
      </c>
      <c r="F4" s="1">
        <f>Totaal!F3</f>
        <v>2019</v>
      </c>
      <c r="G4" s="1">
        <f>Totaal!G3</f>
        <v>2020</v>
      </c>
      <c r="H4" s="1">
        <f>Totaal!H3</f>
        <v>2021</v>
      </c>
      <c r="I4" s="1">
        <f>Totaal!I3</f>
        <v>2022</v>
      </c>
      <c r="J4" s="24"/>
      <c r="K4" s="25"/>
      <c r="L4" s="24"/>
      <c r="M4" s="24"/>
      <c r="N4" s="24"/>
      <c r="O4" s="68" t="s">
        <v>268</v>
      </c>
      <c r="P4" s="1">
        <f>C4</f>
        <v>2016</v>
      </c>
      <c r="Q4" s="1">
        <f t="shared" ref="Q4:V4" si="0">D4</f>
        <v>2017</v>
      </c>
      <c r="R4" s="1">
        <f t="shared" si="0"/>
        <v>2018</v>
      </c>
      <c r="S4" s="1">
        <f t="shared" si="0"/>
        <v>2019</v>
      </c>
      <c r="T4" s="1">
        <f t="shared" si="0"/>
        <v>2020</v>
      </c>
      <c r="U4" s="1">
        <f t="shared" si="0"/>
        <v>2021</v>
      </c>
      <c r="V4" s="1">
        <f t="shared" si="0"/>
        <v>2022</v>
      </c>
    </row>
    <row r="5" spans="1:22" s="1" customFormat="1">
      <c r="O5" s="68"/>
      <c r="P5" s="65"/>
      <c r="Q5" s="65"/>
      <c r="R5" s="65"/>
      <c r="S5" s="65"/>
      <c r="T5" s="65"/>
      <c r="U5" s="65"/>
      <c r="V5" s="65"/>
    </row>
    <row r="6" spans="1:22" s="3" customFormat="1" ht="15">
      <c r="A6" s="15"/>
      <c r="B6" s="15" t="s">
        <v>45</v>
      </c>
      <c r="C6" s="15"/>
      <c r="D6" s="15"/>
      <c r="E6" s="15"/>
      <c r="F6" s="15"/>
      <c r="G6" s="15"/>
      <c r="H6" s="15"/>
      <c r="I6" s="15"/>
      <c r="J6" s="15"/>
      <c r="K6" s="15"/>
      <c r="L6" s="14"/>
      <c r="M6" s="15"/>
      <c r="N6" s="15"/>
      <c r="O6" s="15"/>
      <c r="P6" s="6"/>
      <c r="Q6" s="6"/>
      <c r="R6" s="6"/>
      <c r="S6" s="6"/>
      <c r="T6" s="6"/>
      <c r="U6" s="6"/>
      <c r="V6" s="6"/>
    </row>
    <row r="7" spans="1:22" ht="25.5">
      <c r="A7" s="7" t="s">
        <v>62</v>
      </c>
      <c r="B7" s="21" t="s">
        <v>60</v>
      </c>
      <c r="C7" s="104">
        <v>0.52</v>
      </c>
      <c r="D7" s="103">
        <v>0.59399999999999997</v>
      </c>
      <c r="E7" s="103">
        <v>0.59399999999999997</v>
      </c>
      <c r="F7" s="103">
        <v>0.59399999999999997</v>
      </c>
      <c r="G7" s="103">
        <v>0.59399999999999997</v>
      </c>
      <c r="H7" s="103">
        <v>0.59399999999999997</v>
      </c>
      <c r="I7" s="103">
        <v>0.59399999999999997</v>
      </c>
      <c r="J7" s="4">
        <v>100</v>
      </c>
      <c r="K7" s="4">
        <v>11</v>
      </c>
      <c r="L7" s="103" t="s">
        <v>61</v>
      </c>
      <c r="M7" s="4" t="s">
        <v>9</v>
      </c>
      <c r="N7" s="4" t="s">
        <v>43</v>
      </c>
      <c r="O7" s="13">
        <v>0</v>
      </c>
    </row>
    <row r="8" spans="1:22" s="3" customFormat="1" ht="15">
      <c r="A8" s="82"/>
      <c r="B8" s="22" t="s">
        <v>64</v>
      </c>
      <c r="C8" s="12">
        <f>C7</f>
        <v>0.52</v>
      </c>
      <c r="D8" s="12">
        <f t="shared" ref="D8:I8" si="1">D7</f>
        <v>0.59399999999999997</v>
      </c>
      <c r="E8" s="12">
        <f t="shared" si="1"/>
        <v>0.59399999999999997</v>
      </c>
      <c r="F8" s="12">
        <f t="shared" si="1"/>
        <v>0.59399999999999997</v>
      </c>
      <c r="G8" s="12">
        <f t="shared" si="1"/>
        <v>0.59399999999999997</v>
      </c>
      <c r="H8" s="12">
        <f t="shared" si="1"/>
        <v>0.59399999999999997</v>
      </c>
      <c r="I8" s="12">
        <f t="shared" si="1"/>
        <v>0.59399999999999997</v>
      </c>
      <c r="J8" s="1"/>
      <c r="K8" s="1"/>
      <c r="L8" s="24"/>
      <c r="M8" s="1"/>
      <c r="N8" s="1"/>
      <c r="O8" s="68"/>
      <c r="P8" s="6"/>
      <c r="Q8" s="6"/>
      <c r="R8" s="6"/>
      <c r="S8" s="6"/>
      <c r="T8" s="6"/>
      <c r="U8" s="6"/>
      <c r="V8" s="6"/>
    </row>
    <row r="9" spans="1:22" s="1" customFormat="1">
      <c r="C9" s="58"/>
      <c r="D9" s="58"/>
      <c r="E9" s="58"/>
      <c r="F9" s="58"/>
      <c r="G9" s="58"/>
      <c r="H9" s="58"/>
      <c r="I9" s="58"/>
      <c r="O9" s="68"/>
      <c r="P9" s="65"/>
      <c r="Q9" s="65"/>
      <c r="R9" s="65"/>
      <c r="S9" s="65"/>
      <c r="T9" s="65"/>
      <c r="U9" s="65"/>
      <c r="V9" s="65"/>
    </row>
    <row r="10" spans="1:22" s="3" customFormat="1" ht="15">
      <c r="A10" s="15"/>
      <c r="B10" s="15" t="s">
        <v>46</v>
      </c>
      <c r="C10" s="59"/>
      <c r="D10" s="59"/>
      <c r="E10" s="59"/>
      <c r="F10" s="59"/>
      <c r="G10" s="59"/>
      <c r="H10" s="59"/>
      <c r="I10" s="59"/>
      <c r="J10" s="15"/>
      <c r="K10" s="15"/>
      <c r="L10" s="14"/>
      <c r="M10" s="15"/>
      <c r="N10" s="15"/>
      <c r="O10" s="15"/>
      <c r="P10" s="6"/>
      <c r="Q10" s="6"/>
      <c r="R10" s="6"/>
      <c r="S10" s="6"/>
      <c r="T10" s="6"/>
      <c r="U10" s="6"/>
      <c r="V10" s="6"/>
    </row>
    <row r="11" spans="1:22" s="7" customFormat="1">
      <c r="A11" s="7" t="s">
        <v>171</v>
      </c>
      <c r="B11" s="7" t="s">
        <v>172</v>
      </c>
      <c r="C11" s="147">
        <v>0.28000000000000003</v>
      </c>
      <c r="D11" s="147">
        <v>0.24199999999999999</v>
      </c>
      <c r="E11" s="147">
        <v>0.24199999999999999</v>
      </c>
      <c r="F11" s="147">
        <v>0.24199999999999999</v>
      </c>
      <c r="G11" s="147">
        <v>0.24199999999999999</v>
      </c>
      <c r="H11" s="147">
        <v>0.24199999999999999</v>
      </c>
      <c r="I11" s="147">
        <v>0.24199999999999999</v>
      </c>
      <c r="J11" s="7">
        <v>10</v>
      </c>
      <c r="K11" s="103">
        <v>11</v>
      </c>
      <c r="L11" s="103" t="s">
        <v>61</v>
      </c>
      <c r="M11" s="7" t="s">
        <v>7</v>
      </c>
      <c r="N11" s="7" t="s">
        <v>42</v>
      </c>
      <c r="O11" s="70">
        <v>0</v>
      </c>
      <c r="P11" s="66"/>
      <c r="Q11" s="66"/>
      <c r="R11" s="66"/>
      <c r="S11" s="66"/>
      <c r="T11" s="66"/>
      <c r="U11" s="66"/>
      <c r="V11" s="66"/>
    </row>
    <row r="12" spans="1:22" s="7" customFormat="1">
      <c r="A12" s="7" t="s">
        <v>287</v>
      </c>
      <c r="B12" s="7" t="s">
        <v>173</v>
      </c>
      <c r="C12" s="147">
        <v>3.2429999999999999</v>
      </c>
      <c r="D12" s="147">
        <v>3</v>
      </c>
      <c r="E12" s="147">
        <v>3</v>
      </c>
      <c r="F12" s="147">
        <v>3</v>
      </c>
      <c r="G12" s="147">
        <v>3</v>
      </c>
      <c r="H12" s="147">
        <v>3</v>
      </c>
      <c r="I12" s="147">
        <v>3</v>
      </c>
      <c r="J12" s="7">
        <v>100</v>
      </c>
      <c r="K12" s="103">
        <v>11</v>
      </c>
      <c r="L12" s="103" t="s">
        <v>61</v>
      </c>
      <c r="M12" s="7" t="s">
        <v>11</v>
      </c>
      <c r="N12" s="7" t="s">
        <v>43</v>
      </c>
      <c r="O12" s="70">
        <v>0</v>
      </c>
      <c r="P12" s="66"/>
      <c r="Q12" s="66"/>
      <c r="R12" s="66"/>
      <c r="S12" s="66"/>
      <c r="T12" s="66"/>
      <c r="U12" s="66"/>
      <c r="V12" s="66"/>
    </row>
    <row r="13" spans="1:22" s="7" customFormat="1">
      <c r="A13" s="7" t="s">
        <v>193</v>
      </c>
      <c r="B13" s="7" t="s">
        <v>288</v>
      </c>
      <c r="C13" s="63">
        <v>21.734000000000002</v>
      </c>
      <c r="D13" s="63">
        <v>24.523</v>
      </c>
      <c r="E13" s="63">
        <v>24.523</v>
      </c>
      <c r="F13" s="63">
        <v>24.523</v>
      </c>
      <c r="G13" s="63">
        <v>24.523</v>
      </c>
      <c r="H13" s="63">
        <v>24.523</v>
      </c>
      <c r="I13" s="63">
        <v>24.523</v>
      </c>
      <c r="J13" s="7">
        <v>5</v>
      </c>
      <c r="K13" s="103">
        <v>11</v>
      </c>
      <c r="L13" s="103" t="s">
        <v>61</v>
      </c>
      <c r="M13" s="7" t="s">
        <v>11</v>
      </c>
      <c r="N13" s="7" t="s">
        <v>43</v>
      </c>
      <c r="O13" s="70">
        <v>0</v>
      </c>
      <c r="P13" s="66"/>
      <c r="Q13" s="66"/>
      <c r="R13" s="66"/>
      <c r="S13" s="66"/>
      <c r="T13" s="66"/>
      <c r="U13" s="66"/>
      <c r="V13" s="66"/>
    </row>
    <row r="14" spans="1:22">
      <c r="A14" s="4" t="s">
        <v>289</v>
      </c>
      <c r="B14" s="4" t="s">
        <v>290</v>
      </c>
      <c r="C14" s="61">
        <v>6.9870000000000001</v>
      </c>
      <c r="D14" s="61">
        <v>6.88</v>
      </c>
      <c r="E14" s="61">
        <v>6.88</v>
      </c>
      <c r="F14" s="61">
        <v>6.88</v>
      </c>
      <c r="G14" s="61">
        <v>6.88</v>
      </c>
      <c r="H14" s="61">
        <v>6.88</v>
      </c>
      <c r="I14" s="61">
        <v>6.88</v>
      </c>
      <c r="J14" s="4">
        <v>5</v>
      </c>
      <c r="K14" s="103">
        <v>11</v>
      </c>
      <c r="L14" s="103" t="s">
        <v>61</v>
      </c>
      <c r="M14" s="7" t="s">
        <v>11</v>
      </c>
      <c r="N14" s="7" t="s">
        <v>43</v>
      </c>
      <c r="O14" s="13">
        <v>0</v>
      </c>
    </row>
    <row r="15" spans="1:22">
      <c r="A15" s="4" t="s">
        <v>291</v>
      </c>
      <c r="B15" s="4" t="s">
        <v>292</v>
      </c>
      <c r="C15" s="61">
        <v>4.7169999999999996</v>
      </c>
      <c r="D15" s="61">
        <v>5.306</v>
      </c>
      <c r="E15" s="61">
        <v>5.306</v>
      </c>
      <c r="F15" s="61">
        <v>5.306</v>
      </c>
      <c r="G15" s="61">
        <v>5.306</v>
      </c>
      <c r="H15" s="61">
        <v>5.306</v>
      </c>
      <c r="I15" s="61">
        <v>5.306</v>
      </c>
      <c r="J15" s="4">
        <v>5</v>
      </c>
      <c r="K15" s="103">
        <v>11</v>
      </c>
      <c r="L15" s="103" t="s">
        <v>61</v>
      </c>
      <c r="M15" s="7" t="s">
        <v>11</v>
      </c>
      <c r="N15" s="7" t="s">
        <v>43</v>
      </c>
      <c r="O15" s="13">
        <v>0</v>
      </c>
    </row>
    <row r="16" spans="1:22" s="3" customFormat="1" ht="15">
      <c r="B16" s="3" t="s">
        <v>65</v>
      </c>
      <c r="C16" s="12">
        <f t="shared" ref="C16:I16" si="2">SUM(C11:C15)</f>
        <v>36.960999999999999</v>
      </c>
      <c r="D16" s="12">
        <f t="shared" si="2"/>
        <v>39.951000000000001</v>
      </c>
      <c r="E16" s="12">
        <f t="shared" si="2"/>
        <v>39.951000000000001</v>
      </c>
      <c r="F16" s="12">
        <f t="shared" si="2"/>
        <v>39.951000000000001</v>
      </c>
      <c r="G16" s="12">
        <f t="shared" si="2"/>
        <v>39.951000000000001</v>
      </c>
      <c r="H16" s="12">
        <f t="shared" si="2"/>
        <v>39.951000000000001</v>
      </c>
      <c r="I16" s="12">
        <f t="shared" si="2"/>
        <v>39.951000000000001</v>
      </c>
      <c r="O16" s="69"/>
      <c r="P16" s="6"/>
      <c r="Q16" s="6"/>
      <c r="R16" s="6"/>
      <c r="S16" s="6"/>
      <c r="T16" s="6"/>
      <c r="U16" s="6"/>
      <c r="V16" s="6"/>
    </row>
    <row r="17" spans="1:22" s="1" customFormat="1">
      <c r="C17" s="58"/>
      <c r="D17" s="58"/>
      <c r="E17" s="58"/>
      <c r="F17" s="58"/>
      <c r="G17" s="58"/>
      <c r="H17" s="58"/>
      <c r="I17" s="58"/>
      <c r="O17" s="68"/>
      <c r="P17" s="65"/>
      <c r="Q17" s="65"/>
      <c r="R17" s="65"/>
      <c r="S17" s="65"/>
      <c r="T17" s="65"/>
      <c r="U17" s="65"/>
      <c r="V17" s="65"/>
    </row>
    <row r="18" spans="1:22" s="1" customFormat="1" ht="15">
      <c r="A18" s="14"/>
      <c r="B18" s="15" t="s">
        <v>606</v>
      </c>
      <c r="C18" s="60"/>
      <c r="D18" s="60"/>
      <c r="E18" s="60"/>
      <c r="F18" s="60"/>
      <c r="G18" s="60"/>
      <c r="H18" s="60"/>
      <c r="I18" s="60"/>
      <c r="J18" s="14"/>
      <c r="K18" s="14"/>
      <c r="L18" s="14"/>
      <c r="M18" s="14"/>
      <c r="N18" s="14"/>
      <c r="O18" s="14"/>
      <c r="P18" s="65"/>
      <c r="Q18" s="65"/>
      <c r="R18" s="65"/>
      <c r="S18" s="65"/>
      <c r="T18" s="65"/>
      <c r="U18" s="65"/>
      <c r="V18" s="65"/>
    </row>
    <row r="19" spans="1:22">
      <c r="A19" s="125" t="s">
        <v>70</v>
      </c>
      <c r="B19" s="103" t="s">
        <v>72</v>
      </c>
      <c r="C19" s="104">
        <v>2.4780000000000002</v>
      </c>
      <c r="D19" s="104">
        <v>2.6219999999999999</v>
      </c>
      <c r="E19" s="104">
        <v>2.56</v>
      </c>
      <c r="F19" s="104">
        <v>2.492</v>
      </c>
      <c r="G19" s="104">
        <v>2.492</v>
      </c>
      <c r="H19" s="104">
        <v>2.492</v>
      </c>
      <c r="I19" s="104">
        <v>2.4940000000000002</v>
      </c>
      <c r="J19" s="103">
        <v>10</v>
      </c>
      <c r="K19" s="103">
        <v>11</v>
      </c>
      <c r="L19" s="103" t="s">
        <v>61</v>
      </c>
      <c r="M19" s="103" t="s">
        <v>73</v>
      </c>
      <c r="N19" s="4" t="s">
        <v>43</v>
      </c>
      <c r="O19" s="13">
        <v>0</v>
      </c>
    </row>
    <row r="20" spans="1:22">
      <c r="A20" s="125" t="s">
        <v>70</v>
      </c>
      <c r="B20" s="103" t="s">
        <v>74</v>
      </c>
      <c r="C20" s="104">
        <v>2.4790000000000001</v>
      </c>
      <c r="D20" s="104">
        <v>2.6230000000000002</v>
      </c>
      <c r="E20" s="104">
        <v>2.56</v>
      </c>
      <c r="F20" s="104">
        <v>2.4929999999999999</v>
      </c>
      <c r="G20" s="104">
        <v>2.492</v>
      </c>
      <c r="H20" s="104">
        <v>2.4929999999999999</v>
      </c>
      <c r="I20" s="104">
        <v>2.4940000000000002</v>
      </c>
      <c r="J20" s="103">
        <v>10</v>
      </c>
      <c r="K20" s="103">
        <v>11</v>
      </c>
      <c r="L20" s="103" t="s">
        <v>61</v>
      </c>
      <c r="M20" s="103" t="s">
        <v>7</v>
      </c>
      <c r="N20" s="4" t="s">
        <v>43</v>
      </c>
      <c r="O20" s="13">
        <v>0</v>
      </c>
    </row>
    <row r="21" spans="1:22">
      <c r="A21" s="125" t="s">
        <v>70</v>
      </c>
      <c r="B21" s="103" t="s">
        <v>75</v>
      </c>
      <c r="C21" s="104">
        <v>6.38</v>
      </c>
      <c r="D21" s="104">
        <v>6.7</v>
      </c>
      <c r="E21" s="104">
        <v>6.7</v>
      </c>
      <c r="F21" s="104">
        <v>6.7</v>
      </c>
      <c r="G21" s="104">
        <v>6.7</v>
      </c>
      <c r="H21" s="104">
        <v>6.7</v>
      </c>
      <c r="I21" s="104">
        <v>6.7</v>
      </c>
      <c r="J21" s="103">
        <v>15</v>
      </c>
      <c r="K21" s="103">
        <v>11</v>
      </c>
      <c r="L21" s="103" t="s">
        <v>61</v>
      </c>
      <c r="M21" s="103" t="s">
        <v>9</v>
      </c>
      <c r="N21" s="103" t="s">
        <v>42</v>
      </c>
      <c r="O21" s="13">
        <v>0</v>
      </c>
    </row>
    <row r="22" spans="1:22" s="7" customFormat="1">
      <c r="A22" s="125" t="s">
        <v>464</v>
      </c>
      <c r="B22" s="125" t="s">
        <v>77</v>
      </c>
      <c r="C22" s="128">
        <v>12.9564</v>
      </c>
      <c r="D22" s="128">
        <v>10.067616000000001</v>
      </c>
      <c r="E22" s="128">
        <v>10.184688000000001</v>
      </c>
      <c r="F22" s="128">
        <v>10.179504000000001</v>
      </c>
      <c r="G22" s="128">
        <v>10.177344000000002</v>
      </c>
      <c r="H22" s="128">
        <v>10.235520000000001</v>
      </c>
      <c r="I22" s="128">
        <v>10.235520000000001</v>
      </c>
      <c r="J22" s="163">
        <v>14</v>
      </c>
      <c r="K22" s="125">
        <v>11</v>
      </c>
      <c r="L22" s="125" t="s">
        <v>61</v>
      </c>
      <c r="M22" s="125" t="s">
        <v>9</v>
      </c>
      <c r="N22" s="125" t="s">
        <v>42</v>
      </c>
      <c r="O22" s="70">
        <v>33</v>
      </c>
      <c r="P22" s="66">
        <f>+$O22/100*C22</f>
        <v>4.2756120000000006</v>
      </c>
      <c r="Q22" s="66">
        <f t="shared" ref="Q22:V22" si="3">+$O22/100*D22</f>
        <v>3.3223132800000004</v>
      </c>
      <c r="R22" s="66">
        <f t="shared" si="3"/>
        <v>3.3609470400000006</v>
      </c>
      <c r="S22" s="66">
        <f t="shared" si="3"/>
        <v>3.3592363200000008</v>
      </c>
      <c r="T22" s="66">
        <f t="shared" si="3"/>
        <v>3.3585235200000008</v>
      </c>
      <c r="U22" s="66">
        <f t="shared" si="3"/>
        <v>3.3777216000000005</v>
      </c>
      <c r="V22" s="66">
        <f t="shared" si="3"/>
        <v>3.3777216000000005</v>
      </c>
    </row>
    <row r="23" spans="1:22" s="3" customFormat="1" ht="15">
      <c r="A23" s="82"/>
      <c r="B23" s="3" t="s">
        <v>66</v>
      </c>
      <c r="C23" s="12">
        <f t="shared" ref="C23:I23" si="4">SUM(C19:C22)</f>
        <v>24.293399999999998</v>
      </c>
      <c r="D23" s="12">
        <f t="shared" si="4"/>
        <v>22.012616000000001</v>
      </c>
      <c r="E23" s="12">
        <f t="shared" si="4"/>
        <v>22.004688000000002</v>
      </c>
      <c r="F23" s="12">
        <f t="shared" si="4"/>
        <v>21.864504</v>
      </c>
      <c r="G23" s="12">
        <f t="shared" si="4"/>
        <v>21.861344000000003</v>
      </c>
      <c r="H23" s="12">
        <f t="shared" si="4"/>
        <v>21.92052</v>
      </c>
      <c r="I23" s="12">
        <f t="shared" si="4"/>
        <v>21.923520000000003</v>
      </c>
      <c r="L23" s="1"/>
      <c r="O23" s="69"/>
      <c r="P23" s="6">
        <f t="shared" ref="P23:V23" si="5">SUM(P19:P22)</f>
        <v>4.2756120000000006</v>
      </c>
      <c r="Q23" s="6">
        <f t="shared" si="5"/>
        <v>3.3223132800000004</v>
      </c>
      <c r="R23" s="6">
        <f t="shared" si="5"/>
        <v>3.3609470400000006</v>
      </c>
      <c r="S23" s="6">
        <f t="shared" si="5"/>
        <v>3.3592363200000008</v>
      </c>
      <c r="T23" s="6">
        <f t="shared" si="5"/>
        <v>3.3585235200000008</v>
      </c>
      <c r="U23" s="6">
        <f t="shared" si="5"/>
        <v>3.3777216000000005</v>
      </c>
      <c r="V23" s="6">
        <f t="shared" si="5"/>
        <v>3.3777216000000005</v>
      </c>
    </row>
    <row r="24" spans="1:22" s="3" customFormat="1" ht="15">
      <c r="C24" s="12"/>
      <c r="D24" s="12"/>
      <c r="E24" s="12"/>
      <c r="F24" s="12"/>
      <c r="G24" s="12"/>
      <c r="H24" s="12"/>
      <c r="I24" s="12"/>
      <c r="L24" s="1"/>
      <c r="O24" s="69"/>
      <c r="P24" s="6"/>
      <c r="Q24" s="6"/>
      <c r="R24" s="6"/>
      <c r="S24" s="6"/>
      <c r="T24" s="6"/>
      <c r="U24" s="6"/>
      <c r="V24" s="6"/>
    </row>
    <row r="25" spans="1:22" s="3" customFormat="1" ht="15">
      <c r="A25" s="15"/>
      <c r="B25" s="15" t="s">
        <v>68</v>
      </c>
      <c r="C25" s="59"/>
      <c r="D25" s="59"/>
      <c r="E25" s="59"/>
      <c r="F25" s="59"/>
      <c r="G25" s="59"/>
      <c r="H25" s="59"/>
      <c r="I25" s="59"/>
      <c r="J25" s="15"/>
      <c r="K25" s="15"/>
      <c r="L25" s="14"/>
      <c r="M25" s="15"/>
      <c r="N25" s="15"/>
      <c r="O25" s="15"/>
      <c r="P25" s="6"/>
      <c r="Q25" s="6"/>
      <c r="R25" s="6"/>
      <c r="S25" s="6"/>
      <c r="T25" s="6"/>
      <c r="U25" s="6"/>
      <c r="V25" s="6"/>
    </row>
    <row r="26" spans="1:22" s="1" customFormat="1">
      <c r="A26" s="125" t="s">
        <v>465</v>
      </c>
      <c r="B26" s="103" t="s">
        <v>274</v>
      </c>
      <c r="C26" s="104">
        <v>2.8250000000000002</v>
      </c>
      <c r="D26" s="104">
        <v>2.9670000000000001</v>
      </c>
      <c r="E26" s="104">
        <v>2.8839999999999999</v>
      </c>
      <c r="F26" s="104">
        <v>2.46</v>
      </c>
      <c r="G26" s="104">
        <v>2.4140000000000001</v>
      </c>
      <c r="H26" s="104">
        <v>2.8119999999999998</v>
      </c>
      <c r="I26" s="104">
        <v>2.8109999999999999</v>
      </c>
      <c r="J26" s="103">
        <v>80</v>
      </c>
      <c r="K26" s="103">
        <v>1</v>
      </c>
      <c r="L26" s="103" t="s">
        <v>117</v>
      </c>
      <c r="M26" s="8" t="s">
        <v>7</v>
      </c>
      <c r="N26" s="103" t="s">
        <v>43</v>
      </c>
      <c r="O26" s="4">
        <v>10</v>
      </c>
      <c r="P26" s="5">
        <f>+$O26/100*C26</f>
        <v>0.28250000000000003</v>
      </c>
      <c r="Q26" s="5">
        <f>+$O26/100*D26</f>
        <v>0.29670000000000002</v>
      </c>
      <c r="R26" s="5">
        <f t="shared" ref="R26:V26" si="6">+$O26/100*E26</f>
        <v>0.28839999999999999</v>
      </c>
      <c r="S26" s="5">
        <f t="shared" si="6"/>
        <v>0.246</v>
      </c>
      <c r="T26" s="5">
        <f t="shared" si="6"/>
        <v>0.24140000000000003</v>
      </c>
      <c r="U26" s="5">
        <f t="shared" si="6"/>
        <v>0.28120000000000001</v>
      </c>
      <c r="V26" s="5">
        <f t="shared" si="6"/>
        <v>0.28110000000000002</v>
      </c>
    </row>
    <row r="27" spans="1:22" s="1" customFormat="1">
      <c r="A27" s="125" t="s">
        <v>465</v>
      </c>
      <c r="B27" s="103" t="s">
        <v>274</v>
      </c>
      <c r="C27" s="104">
        <v>0.20200000000000001</v>
      </c>
      <c r="D27" s="104">
        <v>0.21199999999999999</v>
      </c>
      <c r="E27" s="104">
        <v>0.20599999999999999</v>
      </c>
      <c r="F27" s="104">
        <v>0.17599999999999999</v>
      </c>
      <c r="G27" s="104">
        <v>0.17199999999999999</v>
      </c>
      <c r="H27" s="104">
        <v>0.20100000000000001</v>
      </c>
      <c r="I27" s="104">
        <v>0.20100000000000001</v>
      </c>
      <c r="J27" s="103">
        <v>80</v>
      </c>
      <c r="K27" s="103">
        <v>1</v>
      </c>
      <c r="L27" s="103" t="s">
        <v>117</v>
      </c>
      <c r="M27" s="8" t="s">
        <v>73</v>
      </c>
      <c r="N27" s="103" t="s">
        <v>43</v>
      </c>
      <c r="O27" s="4">
        <v>10</v>
      </c>
      <c r="P27" s="5">
        <f t="shared" ref="P27:P28" si="7">+$O27/100*C27</f>
        <v>2.0200000000000003E-2</v>
      </c>
      <c r="Q27" s="5">
        <f t="shared" ref="Q27:Q28" si="8">+$O27/100*D27</f>
        <v>2.12E-2</v>
      </c>
      <c r="R27" s="5">
        <f t="shared" ref="R27:R28" si="9">+$O27/100*E27</f>
        <v>2.06E-2</v>
      </c>
      <c r="S27" s="5">
        <f t="shared" ref="S27:S28" si="10">+$O27/100*F27</f>
        <v>1.7600000000000001E-2</v>
      </c>
      <c r="T27" s="5">
        <f t="shared" ref="T27:T28" si="11">+$O27/100*G27</f>
        <v>1.72E-2</v>
      </c>
      <c r="U27" s="5">
        <f t="shared" ref="U27:U28" si="12">+$O27/100*H27</f>
        <v>2.0100000000000003E-2</v>
      </c>
      <c r="V27" s="5">
        <f t="shared" ref="V27:V28" si="13">+$O27/100*I27</f>
        <v>2.0100000000000003E-2</v>
      </c>
    </row>
    <row r="28" spans="1:22" s="1" customFormat="1">
      <c r="A28" s="125" t="s">
        <v>465</v>
      </c>
      <c r="B28" s="103" t="s">
        <v>274</v>
      </c>
      <c r="C28" s="104">
        <v>7.0620000000000003</v>
      </c>
      <c r="D28" s="104">
        <v>7.4169999999999998</v>
      </c>
      <c r="E28" s="104">
        <v>7.2089999999999996</v>
      </c>
      <c r="F28" s="104">
        <v>6.1509999999999998</v>
      </c>
      <c r="G28" s="104">
        <v>6.0350000000000001</v>
      </c>
      <c r="H28" s="104">
        <v>7.0289999999999999</v>
      </c>
      <c r="I28" s="104">
        <v>7.0279999999999996</v>
      </c>
      <c r="J28" s="103">
        <v>80</v>
      </c>
      <c r="K28" s="103">
        <v>1</v>
      </c>
      <c r="L28" s="103" t="s">
        <v>117</v>
      </c>
      <c r="M28" s="8" t="s">
        <v>481</v>
      </c>
      <c r="N28" s="103" t="s">
        <v>43</v>
      </c>
      <c r="O28" s="4">
        <v>10</v>
      </c>
      <c r="P28" s="5">
        <f t="shared" si="7"/>
        <v>0.70620000000000005</v>
      </c>
      <c r="Q28" s="5">
        <f t="shared" si="8"/>
        <v>0.74170000000000003</v>
      </c>
      <c r="R28" s="5">
        <f t="shared" si="9"/>
        <v>0.72089999999999999</v>
      </c>
      <c r="S28" s="5">
        <f t="shared" si="10"/>
        <v>0.61509999999999998</v>
      </c>
      <c r="T28" s="5">
        <f t="shared" si="11"/>
        <v>0.60350000000000004</v>
      </c>
      <c r="U28" s="5">
        <f t="shared" si="12"/>
        <v>0.70290000000000008</v>
      </c>
      <c r="V28" s="5">
        <f t="shared" si="13"/>
        <v>0.70279999999999998</v>
      </c>
    </row>
    <row r="29" spans="1:22" s="3" customFormat="1" ht="15">
      <c r="A29" s="82"/>
      <c r="B29" s="3" t="s">
        <v>69</v>
      </c>
      <c r="C29" s="6">
        <f t="shared" ref="C29:I29" si="14">SUM(C26:C28)</f>
        <v>10.089</v>
      </c>
      <c r="D29" s="6">
        <f t="shared" si="14"/>
        <v>10.596</v>
      </c>
      <c r="E29" s="6">
        <f t="shared" si="14"/>
        <v>10.298999999999999</v>
      </c>
      <c r="F29" s="6">
        <f t="shared" si="14"/>
        <v>8.786999999999999</v>
      </c>
      <c r="G29" s="6">
        <f t="shared" si="14"/>
        <v>8.6210000000000004</v>
      </c>
      <c r="H29" s="6">
        <f t="shared" si="14"/>
        <v>10.042</v>
      </c>
      <c r="I29" s="6">
        <f t="shared" si="14"/>
        <v>10.039999999999999</v>
      </c>
      <c r="L29" s="1"/>
      <c r="O29" s="69"/>
      <c r="P29" s="6">
        <f>SUM(P26:P28)</f>
        <v>1.0089000000000001</v>
      </c>
      <c r="Q29" s="6">
        <f t="shared" ref="Q29:V29" si="15">SUM(Q26:Q28)</f>
        <v>1.0596000000000001</v>
      </c>
      <c r="R29" s="6">
        <f t="shared" si="15"/>
        <v>1.0299</v>
      </c>
      <c r="S29" s="6">
        <f t="shared" si="15"/>
        <v>0.87870000000000004</v>
      </c>
      <c r="T29" s="6">
        <f t="shared" si="15"/>
        <v>0.86210000000000009</v>
      </c>
      <c r="U29" s="6">
        <f t="shared" si="15"/>
        <v>1.0042</v>
      </c>
      <c r="V29" s="6">
        <f t="shared" si="15"/>
        <v>1.004</v>
      </c>
    </row>
    <row r="30" spans="1:22" s="1" customFormat="1">
      <c r="C30" s="195"/>
      <c r="D30" s="195"/>
      <c r="E30" s="195"/>
      <c r="F30" s="195"/>
      <c r="G30" s="195"/>
      <c r="H30" s="195"/>
      <c r="I30" s="201"/>
      <c r="J30" s="58"/>
      <c r="O30" s="68"/>
      <c r="P30" s="65"/>
      <c r="Q30" s="65"/>
      <c r="R30" s="65"/>
      <c r="S30" s="65"/>
      <c r="T30" s="65"/>
      <c r="U30" s="65"/>
      <c r="V30" s="65"/>
    </row>
    <row r="31" spans="1:22" s="1" customFormat="1" ht="15">
      <c r="A31" s="14"/>
      <c r="B31" s="15" t="s">
        <v>47</v>
      </c>
      <c r="C31" s="60"/>
      <c r="D31" s="60"/>
      <c r="E31" s="60"/>
      <c r="F31" s="60"/>
      <c r="G31" s="60"/>
      <c r="H31" s="60"/>
      <c r="I31" s="60"/>
      <c r="J31" s="14"/>
      <c r="K31" s="14"/>
      <c r="L31" s="14"/>
      <c r="M31" s="14"/>
      <c r="N31" s="14"/>
      <c r="O31" s="14"/>
      <c r="P31" s="65"/>
      <c r="Q31" s="65"/>
      <c r="R31" s="65"/>
      <c r="S31" s="65"/>
      <c r="T31" s="65"/>
      <c r="U31" s="65"/>
      <c r="V31" s="65"/>
    </row>
    <row r="32" spans="1:22" s="23" customFormat="1">
      <c r="A32" s="139">
        <v>7</v>
      </c>
      <c r="B32" s="140" t="s">
        <v>90</v>
      </c>
      <c r="C32" s="143">
        <v>2459.3811111109917</v>
      </c>
      <c r="D32" s="143">
        <v>2529.9164493973544</v>
      </c>
      <c r="E32" s="143">
        <v>2522.9855048397781</v>
      </c>
      <c r="F32" s="143">
        <v>2534.9271794673377</v>
      </c>
      <c r="G32" s="143">
        <v>2558.9905224231411</v>
      </c>
      <c r="H32" s="143">
        <v>2580.1429008567943</v>
      </c>
      <c r="I32" s="143">
        <v>2602.4531864528049</v>
      </c>
      <c r="J32" s="174">
        <v>60.360060591986993</v>
      </c>
      <c r="K32" s="142" t="s">
        <v>448</v>
      </c>
      <c r="L32" s="140" t="s">
        <v>631</v>
      </c>
      <c r="M32" s="142"/>
      <c r="N32" s="140" t="s">
        <v>42</v>
      </c>
      <c r="O32" s="71"/>
      <c r="P32" s="153"/>
      <c r="Q32" s="153"/>
      <c r="R32" s="153"/>
      <c r="S32" s="153"/>
      <c r="T32" s="153"/>
      <c r="U32" s="153"/>
      <c r="V32" s="153"/>
    </row>
    <row r="33" spans="1:23" s="23" customFormat="1">
      <c r="A33" s="139">
        <v>7</v>
      </c>
      <c r="B33" s="140" t="s">
        <v>91</v>
      </c>
      <c r="C33" s="143">
        <v>208.43459999999999</v>
      </c>
      <c r="D33" s="143">
        <v>213.411</v>
      </c>
      <c r="E33" s="143">
        <v>208.75360000000001</v>
      </c>
      <c r="F33" s="143">
        <v>209.2321</v>
      </c>
      <c r="G33" s="143">
        <v>209.74250000000001</v>
      </c>
      <c r="H33" s="143">
        <v>210.25290000000001</v>
      </c>
      <c r="I33" s="143">
        <v>210.41240000000002</v>
      </c>
      <c r="J33" s="140">
        <v>31.9</v>
      </c>
      <c r="K33" s="142" t="s">
        <v>241</v>
      </c>
      <c r="L33" s="140" t="s">
        <v>112</v>
      </c>
      <c r="M33" s="142"/>
      <c r="N33" s="140" t="s">
        <v>42</v>
      </c>
      <c r="O33" s="71"/>
      <c r="P33" s="153"/>
      <c r="Q33" s="153"/>
      <c r="R33" s="153"/>
      <c r="S33" s="153"/>
      <c r="T33" s="153"/>
      <c r="U33" s="153"/>
      <c r="V33" s="153"/>
    </row>
    <row r="34" spans="1:23" s="23" customFormat="1">
      <c r="A34" s="139">
        <v>6</v>
      </c>
      <c r="B34" s="140" t="s">
        <v>355</v>
      </c>
      <c r="C34" s="143">
        <v>70.915000000000006</v>
      </c>
      <c r="D34" s="143">
        <v>72.438999999999993</v>
      </c>
      <c r="E34" s="143">
        <v>72.438999999999993</v>
      </c>
      <c r="F34" s="143">
        <v>72.444999999999993</v>
      </c>
      <c r="G34" s="143">
        <v>72.444999999999993</v>
      </c>
      <c r="H34" s="143">
        <v>72.444999999999993</v>
      </c>
      <c r="I34" s="143">
        <v>72.444999999999993</v>
      </c>
      <c r="J34" s="140">
        <v>100</v>
      </c>
      <c r="K34" s="142" t="s">
        <v>448</v>
      </c>
      <c r="L34" s="140" t="s">
        <v>631</v>
      </c>
      <c r="M34" s="142"/>
      <c r="N34" s="140" t="s">
        <v>42</v>
      </c>
      <c r="O34" s="71"/>
      <c r="P34" s="153"/>
      <c r="Q34" s="153"/>
      <c r="R34" s="153"/>
      <c r="S34" s="153"/>
      <c r="T34" s="153"/>
      <c r="U34" s="153"/>
      <c r="V34" s="153"/>
    </row>
    <row r="35" spans="1:23" s="23" customFormat="1">
      <c r="A35" s="139">
        <v>6</v>
      </c>
      <c r="B35" s="202" t="s">
        <v>441</v>
      </c>
      <c r="C35" s="143">
        <v>29.477</v>
      </c>
      <c r="D35" s="143">
        <v>28.829000000000001</v>
      </c>
      <c r="E35" s="143">
        <v>31.768999999999998</v>
      </c>
      <c r="F35" s="143">
        <v>31.768999999999998</v>
      </c>
      <c r="G35" s="143">
        <v>28.768999999999998</v>
      </c>
      <c r="H35" s="143">
        <v>31.768999999999998</v>
      </c>
      <c r="I35" s="143">
        <v>31.82</v>
      </c>
      <c r="J35" s="140">
        <v>100</v>
      </c>
      <c r="K35" s="142" t="s">
        <v>448</v>
      </c>
      <c r="L35" s="140" t="s">
        <v>631</v>
      </c>
      <c r="M35" s="142"/>
      <c r="N35" s="140" t="s">
        <v>43</v>
      </c>
      <c r="O35" s="71"/>
      <c r="P35" s="153"/>
      <c r="Q35" s="153"/>
      <c r="R35" s="153"/>
      <c r="S35" s="153"/>
      <c r="T35" s="153"/>
      <c r="U35" s="153"/>
      <c r="V35" s="153"/>
    </row>
    <row r="36" spans="1:23" s="23" customFormat="1">
      <c r="A36" s="139">
        <v>7</v>
      </c>
      <c r="B36" s="140" t="s">
        <v>92</v>
      </c>
      <c r="C36" s="141">
        <v>2.4346500000000004</v>
      </c>
      <c r="D36" s="141">
        <v>2.1424500000000002</v>
      </c>
      <c r="E36" s="141">
        <v>2.1424500000000002</v>
      </c>
      <c r="F36" s="141">
        <v>2.1424500000000002</v>
      </c>
      <c r="G36" s="141">
        <v>2.1424500000000002</v>
      </c>
      <c r="H36" s="141">
        <v>2.1424500000000002</v>
      </c>
      <c r="I36" s="141">
        <v>2.1424500000000002</v>
      </c>
      <c r="J36" s="140">
        <v>15</v>
      </c>
      <c r="K36" s="142">
        <v>11</v>
      </c>
      <c r="L36" s="125" t="s">
        <v>61</v>
      </c>
      <c r="M36" s="140" t="s">
        <v>7</v>
      </c>
      <c r="N36" s="140" t="s">
        <v>42</v>
      </c>
      <c r="O36" s="71"/>
      <c r="P36" s="153"/>
      <c r="Q36" s="153"/>
      <c r="R36" s="153"/>
      <c r="S36" s="153"/>
      <c r="T36" s="153"/>
      <c r="U36" s="153"/>
      <c r="V36" s="153"/>
    </row>
    <row r="37" spans="1:23" s="23" customFormat="1">
      <c r="A37" s="139">
        <v>7</v>
      </c>
      <c r="B37" s="140" t="s">
        <v>93</v>
      </c>
      <c r="C37" s="141">
        <v>0.68700000000000006</v>
      </c>
      <c r="D37" s="141">
        <v>0.70125000000000004</v>
      </c>
      <c r="E37" s="141">
        <v>0.70125000000000004</v>
      </c>
      <c r="F37" s="141">
        <v>0.70125000000000004</v>
      </c>
      <c r="G37" s="141">
        <v>0.70125000000000004</v>
      </c>
      <c r="H37" s="141">
        <v>0.70125000000000004</v>
      </c>
      <c r="I37" s="141">
        <v>0.70125000000000004</v>
      </c>
      <c r="J37" s="140">
        <v>75</v>
      </c>
      <c r="K37" s="142" t="s">
        <v>94</v>
      </c>
      <c r="L37" s="125" t="s">
        <v>95</v>
      </c>
      <c r="M37" s="140" t="s">
        <v>7</v>
      </c>
      <c r="N37" s="140" t="s">
        <v>42</v>
      </c>
      <c r="O37" s="71"/>
      <c r="P37" s="153"/>
      <c r="Q37" s="153"/>
      <c r="R37" s="153"/>
      <c r="S37" s="153"/>
      <c r="T37" s="153"/>
      <c r="U37" s="153"/>
      <c r="V37" s="153"/>
    </row>
    <row r="38" spans="1:23" s="23" customFormat="1">
      <c r="A38" s="139">
        <v>16</v>
      </c>
      <c r="B38" s="140" t="s">
        <v>96</v>
      </c>
      <c r="C38" s="143">
        <v>66.043036044362296</v>
      </c>
      <c r="D38" s="143">
        <v>69.455051194539251</v>
      </c>
      <c r="E38" s="143">
        <v>69.047374787052817</v>
      </c>
      <c r="F38" s="143">
        <v>68.750565328778819</v>
      </c>
      <c r="G38" s="143">
        <v>68.697093321917805</v>
      </c>
      <c r="H38" s="143">
        <v>68.695543664383564</v>
      </c>
      <c r="I38" s="143">
        <v>68.789297945205476</v>
      </c>
      <c r="J38" s="140">
        <v>76</v>
      </c>
      <c r="K38" s="70" t="s">
        <v>17</v>
      </c>
      <c r="L38" s="125"/>
      <c r="M38" s="140" t="s">
        <v>96</v>
      </c>
      <c r="N38" s="140" t="s">
        <v>42</v>
      </c>
      <c r="O38" s="234">
        <f>P38/C38</f>
        <v>0.21198298622425457</v>
      </c>
      <c r="P38" s="66">
        <v>14</v>
      </c>
      <c r="Q38" s="66">
        <v>14</v>
      </c>
      <c r="R38" s="66">
        <v>14</v>
      </c>
      <c r="S38" s="66">
        <v>14</v>
      </c>
      <c r="T38" s="66">
        <v>14</v>
      </c>
      <c r="U38" s="66">
        <v>14</v>
      </c>
      <c r="V38" s="66">
        <v>14</v>
      </c>
    </row>
    <row r="39" spans="1:23" s="23" customFormat="1">
      <c r="A39" s="139">
        <v>16</v>
      </c>
      <c r="B39" s="140" t="s">
        <v>22</v>
      </c>
      <c r="C39" s="143">
        <v>453.56364540283573</v>
      </c>
      <c r="D39" s="143">
        <v>438.5001367203356</v>
      </c>
      <c r="E39" s="143">
        <v>458.38222641382549</v>
      </c>
      <c r="F39" s="143">
        <v>456.77294450340639</v>
      </c>
      <c r="G39" s="143">
        <v>412.10402220695187</v>
      </c>
      <c r="H39" s="143">
        <v>455.34247169414516</v>
      </c>
      <c r="I39" s="143">
        <v>456.56634124144705</v>
      </c>
      <c r="J39" s="177">
        <v>92.404655752850402</v>
      </c>
      <c r="K39" s="70" t="s">
        <v>17</v>
      </c>
      <c r="L39" s="125"/>
      <c r="M39" s="140" t="s">
        <v>22</v>
      </c>
      <c r="N39" s="140" t="s">
        <v>269</v>
      </c>
      <c r="O39" s="234">
        <f>P39/C39</f>
        <v>0.60630961671488648</v>
      </c>
      <c r="P39" s="66">
        <v>275</v>
      </c>
      <c r="Q39" s="66">
        <v>275</v>
      </c>
      <c r="R39" s="66">
        <v>275</v>
      </c>
      <c r="S39" s="66">
        <v>275</v>
      </c>
      <c r="T39" s="66">
        <v>275</v>
      </c>
      <c r="U39" s="66">
        <v>275</v>
      </c>
      <c r="V39" s="66">
        <v>275</v>
      </c>
      <c r="W39" s="7"/>
    </row>
    <row r="40" spans="1:23" s="23" customFormat="1">
      <c r="A40" s="139">
        <v>16</v>
      </c>
      <c r="B40" s="140" t="s">
        <v>582</v>
      </c>
      <c r="C40" s="143">
        <v>9.0610999999999997</v>
      </c>
      <c r="D40" s="143">
        <v>9.0231999999999992</v>
      </c>
      <c r="E40" s="143">
        <v>4.6553000000000004</v>
      </c>
      <c r="F40" s="143">
        <v>4.6487999999999996</v>
      </c>
      <c r="G40" s="143">
        <v>4.6486000000000001</v>
      </c>
      <c r="H40" s="143">
        <v>4.6486000000000001</v>
      </c>
      <c r="I40" s="143">
        <v>4.6548999999999996</v>
      </c>
      <c r="J40" s="140">
        <v>10</v>
      </c>
      <c r="K40" s="142">
        <v>10</v>
      </c>
      <c r="L40" s="125" t="s">
        <v>71</v>
      </c>
      <c r="M40" s="140" t="s">
        <v>9</v>
      </c>
      <c r="N40" s="140" t="s">
        <v>42</v>
      </c>
      <c r="O40" s="71"/>
      <c r="P40" s="66"/>
      <c r="Q40" s="153"/>
      <c r="R40" s="153"/>
      <c r="S40" s="153"/>
      <c r="T40" s="153"/>
      <c r="U40" s="153"/>
      <c r="V40" s="153"/>
    </row>
    <row r="41" spans="1:23" s="23" customFormat="1">
      <c r="A41" s="139">
        <v>16</v>
      </c>
      <c r="B41" s="140" t="s">
        <v>449</v>
      </c>
      <c r="C41" s="144">
        <v>161.40899999999999</v>
      </c>
      <c r="D41" s="144">
        <v>161.24600000000001</v>
      </c>
      <c r="E41" s="144">
        <v>160.88499999999999</v>
      </c>
      <c r="F41" s="144">
        <v>160.88499999999999</v>
      </c>
      <c r="G41" s="144">
        <v>160.88499999999999</v>
      </c>
      <c r="H41" s="144">
        <v>160.88499999999999</v>
      </c>
      <c r="I41" s="144">
        <v>160.88499999999999</v>
      </c>
      <c r="J41" s="140">
        <v>100</v>
      </c>
      <c r="K41" s="70" t="s">
        <v>17</v>
      </c>
      <c r="L41" s="125"/>
      <c r="M41" s="140" t="s">
        <v>22</v>
      </c>
      <c r="N41" s="140" t="s">
        <v>43</v>
      </c>
      <c r="O41" s="71"/>
      <c r="P41" s="66"/>
      <c r="Q41" s="153"/>
      <c r="R41" s="153"/>
      <c r="S41" s="153"/>
      <c r="T41" s="153"/>
      <c r="U41" s="153"/>
      <c r="V41" s="153"/>
    </row>
    <row r="42" spans="1:23" s="23" customFormat="1">
      <c r="A42" s="139">
        <v>16</v>
      </c>
      <c r="B42" s="140" t="s">
        <v>270</v>
      </c>
      <c r="C42" s="144">
        <v>8</v>
      </c>
      <c r="D42" s="144">
        <v>8</v>
      </c>
      <c r="E42" s="144">
        <v>8</v>
      </c>
      <c r="F42" s="144">
        <v>8</v>
      </c>
      <c r="G42" s="144">
        <v>8</v>
      </c>
      <c r="H42" s="144">
        <v>8</v>
      </c>
      <c r="I42" s="144">
        <v>8</v>
      </c>
      <c r="J42" s="140">
        <v>100</v>
      </c>
      <c r="K42" s="142" t="s">
        <v>109</v>
      </c>
      <c r="L42" s="125" t="s">
        <v>110</v>
      </c>
      <c r="M42" s="140" t="s">
        <v>115</v>
      </c>
      <c r="N42" s="140" t="s">
        <v>43</v>
      </c>
      <c r="O42" s="70"/>
      <c r="P42" s="66"/>
      <c r="Q42" s="66"/>
      <c r="R42" s="66"/>
      <c r="S42" s="66"/>
      <c r="T42" s="66"/>
      <c r="U42" s="66"/>
      <c r="V42" s="66"/>
    </row>
    <row r="43" spans="1:23" s="23" customFormat="1">
      <c r="A43" s="139">
        <v>16</v>
      </c>
      <c r="B43" s="140" t="s">
        <v>271</v>
      </c>
      <c r="C43" s="144">
        <v>55.295000000000002</v>
      </c>
      <c r="D43" s="144">
        <v>55.381999999999998</v>
      </c>
      <c r="E43" s="144">
        <v>55.38</v>
      </c>
      <c r="F43" s="144">
        <v>55.38</v>
      </c>
      <c r="G43" s="144">
        <v>55.38</v>
      </c>
      <c r="H43" s="144">
        <v>55.38</v>
      </c>
      <c r="I43" s="144">
        <v>55.38</v>
      </c>
      <c r="J43" s="140">
        <v>100</v>
      </c>
      <c r="K43" s="142">
        <v>13</v>
      </c>
      <c r="L43" s="125" t="s">
        <v>116</v>
      </c>
      <c r="M43" s="140" t="s">
        <v>22</v>
      </c>
      <c r="N43" s="140" t="s">
        <v>43</v>
      </c>
      <c r="O43" s="71"/>
      <c r="P43" s="196"/>
      <c r="Q43" s="153"/>
      <c r="R43" s="153"/>
      <c r="S43" s="153"/>
      <c r="T43" s="153"/>
      <c r="U43" s="153"/>
      <c r="V43" s="153"/>
    </row>
    <row r="44" spans="1:23" s="23" customFormat="1">
      <c r="A44" s="139">
        <v>16</v>
      </c>
      <c r="B44" s="140" t="s">
        <v>272</v>
      </c>
      <c r="C44" s="144">
        <v>23.257999999999999</v>
      </c>
      <c r="D44" s="144">
        <v>24.356999999999999</v>
      </c>
      <c r="E44" s="144">
        <v>21.501000000000001</v>
      </c>
      <c r="F44" s="144">
        <v>19.797999999999998</v>
      </c>
      <c r="G44" s="144">
        <v>18.992000000000001</v>
      </c>
      <c r="H44" s="144">
        <v>16.082000000000001</v>
      </c>
      <c r="I44" s="144">
        <v>16.082000000000001</v>
      </c>
      <c r="J44" s="140">
        <v>100</v>
      </c>
      <c r="K44" s="142">
        <v>9</v>
      </c>
      <c r="L44" s="125" t="s">
        <v>114</v>
      </c>
      <c r="M44" s="140" t="s">
        <v>22</v>
      </c>
      <c r="N44" s="140" t="s">
        <v>43</v>
      </c>
      <c r="O44" s="196"/>
      <c r="P44" s="153"/>
      <c r="Q44" s="153"/>
      <c r="R44" s="153"/>
      <c r="S44" s="153"/>
      <c r="T44" s="153"/>
      <c r="U44" s="153"/>
      <c r="V44" s="153"/>
    </row>
    <row r="45" spans="1:23" s="23" customFormat="1">
      <c r="A45" s="139">
        <v>16</v>
      </c>
      <c r="B45" s="140" t="s">
        <v>444</v>
      </c>
      <c r="C45" s="143">
        <v>6.266</v>
      </c>
      <c r="D45" s="143">
        <v>6.2649999999999997</v>
      </c>
      <c r="E45" s="143">
        <v>6.2649999999999997</v>
      </c>
      <c r="F45" s="143">
        <v>6.2649999999999997</v>
      </c>
      <c r="G45" s="143">
        <v>6.2649999999999997</v>
      </c>
      <c r="H45" s="143">
        <v>6.266</v>
      </c>
      <c r="I45" s="143">
        <v>6.266</v>
      </c>
      <c r="J45" s="140">
        <v>100</v>
      </c>
      <c r="K45" s="142" t="s">
        <v>97</v>
      </c>
      <c r="L45" s="125" t="s">
        <v>98</v>
      </c>
      <c r="M45" s="140" t="s">
        <v>99</v>
      </c>
      <c r="N45" s="140" t="s">
        <v>42</v>
      </c>
      <c r="O45" s="71"/>
      <c r="P45" s="153"/>
      <c r="Q45" s="153"/>
      <c r="R45" s="153"/>
      <c r="S45" s="153"/>
      <c r="T45" s="153"/>
      <c r="U45" s="153"/>
      <c r="V45" s="153"/>
    </row>
    <row r="46" spans="1:23" s="23" customFormat="1">
      <c r="A46" s="139">
        <v>16</v>
      </c>
      <c r="B46" s="140" t="s">
        <v>106</v>
      </c>
      <c r="C46" s="143">
        <v>8.359</v>
      </c>
      <c r="D46" s="143">
        <v>9.6080000000000005</v>
      </c>
      <c r="E46" s="143">
        <v>9.6080000000000005</v>
      </c>
      <c r="F46" s="143">
        <v>9.6080000000000005</v>
      </c>
      <c r="G46" s="143">
        <v>9.6080000000000005</v>
      </c>
      <c r="H46" s="143">
        <v>9.609</v>
      </c>
      <c r="I46" s="143">
        <v>9.609</v>
      </c>
      <c r="J46" s="140">
        <v>100</v>
      </c>
      <c r="K46" s="142">
        <v>7</v>
      </c>
      <c r="L46" s="125" t="s">
        <v>107</v>
      </c>
      <c r="M46" s="140" t="s">
        <v>7</v>
      </c>
      <c r="N46" s="140" t="s">
        <v>42</v>
      </c>
      <c r="O46" s="71"/>
      <c r="P46" s="153"/>
      <c r="Q46" s="153"/>
      <c r="R46" s="153"/>
      <c r="S46" s="153"/>
      <c r="T46" s="153"/>
      <c r="U46" s="153"/>
      <c r="V46" s="153"/>
    </row>
    <row r="47" spans="1:23" s="23" customFormat="1">
      <c r="A47" s="139">
        <v>16</v>
      </c>
      <c r="B47" s="140" t="s">
        <v>108</v>
      </c>
      <c r="C47" s="143">
        <v>0.221</v>
      </c>
      <c r="D47" s="143">
        <v>0.221</v>
      </c>
      <c r="E47" s="143">
        <v>0.221</v>
      </c>
      <c r="F47" s="143">
        <v>0.221</v>
      </c>
      <c r="G47" s="143">
        <v>0.221</v>
      </c>
      <c r="H47" s="143">
        <v>0.221</v>
      </c>
      <c r="I47" s="143">
        <v>0.221</v>
      </c>
      <c r="J47" s="140">
        <v>100</v>
      </c>
      <c r="K47" s="142" t="s">
        <v>109</v>
      </c>
      <c r="L47" s="125" t="s">
        <v>110</v>
      </c>
      <c r="M47" s="140" t="s">
        <v>7</v>
      </c>
      <c r="N47" s="140" t="s">
        <v>42</v>
      </c>
      <c r="O47" s="71"/>
      <c r="P47" s="153"/>
      <c r="Q47" s="153"/>
      <c r="R47" s="153"/>
      <c r="S47" s="153"/>
      <c r="T47" s="153"/>
      <c r="U47" s="153"/>
      <c r="V47" s="153"/>
    </row>
    <row r="48" spans="1:23" s="23" customFormat="1">
      <c r="A48" s="139">
        <v>16</v>
      </c>
      <c r="B48" s="140" t="s">
        <v>447</v>
      </c>
      <c r="C48" s="143">
        <v>2.5</v>
      </c>
      <c r="D48" s="143">
        <v>2.5</v>
      </c>
      <c r="E48" s="143">
        <v>2.5</v>
      </c>
      <c r="F48" s="143">
        <v>2.5</v>
      </c>
      <c r="G48" s="143">
        <v>2.5</v>
      </c>
      <c r="H48" s="143">
        <v>2.5</v>
      </c>
      <c r="I48" s="143">
        <v>2.5</v>
      </c>
      <c r="J48" s="140">
        <v>100</v>
      </c>
      <c r="K48" s="142">
        <v>1</v>
      </c>
      <c r="L48" s="125" t="s">
        <v>117</v>
      </c>
      <c r="M48" s="140" t="s">
        <v>22</v>
      </c>
      <c r="N48" s="140" t="s">
        <v>43</v>
      </c>
      <c r="O48" s="71"/>
      <c r="P48" s="153"/>
      <c r="Q48" s="153"/>
      <c r="R48" s="153"/>
      <c r="S48" s="153"/>
      <c r="T48" s="153"/>
      <c r="U48" s="153"/>
      <c r="V48" s="153"/>
    </row>
    <row r="49" spans="1:22" s="23" customFormat="1">
      <c r="A49" s="139">
        <v>16</v>
      </c>
      <c r="B49" s="140" t="s">
        <v>111</v>
      </c>
      <c r="C49" s="143">
        <v>3.1469999999999998</v>
      </c>
      <c r="D49" s="143">
        <v>3.1469999999999998</v>
      </c>
      <c r="E49" s="143">
        <v>3.1469999999999998</v>
      </c>
      <c r="F49" s="143">
        <v>3.1469999999999998</v>
      </c>
      <c r="G49" s="143">
        <v>3.1469999999999998</v>
      </c>
      <c r="H49" s="143">
        <v>1.5</v>
      </c>
      <c r="I49" s="143">
        <v>1.5</v>
      </c>
      <c r="J49" s="140">
        <v>100</v>
      </c>
      <c r="K49" s="142" t="s">
        <v>97</v>
      </c>
      <c r="L49" s="125" t="s">
        <v>98</v>
      </c>
      <c r="M49" s="140" t="s">
        <v>22</v>
      </c>
      <c r="N49" s="140" t="s">
        <v>43</v>
      </c>
      <c r="O49" s="71"/>
      <c r="P49" s="153"/>
      <c r="Q49" s="153"/>
      <c r="R49" s="153"/>
      <c r="S49" s="153"/>
      <c r="T49" s="153"/>
      <c r="U49" s="153"/>
      <c r="V49" s="153"/>
    </row>
    <row r="50" spans="1:22" s="23" customFormat="1">
      <c r="A50" s="139">
        <v>16</v>
      </c>
      <c r="B50" s="140" t="s">
        <v>118</v>
      </c>
      <c r="C50" s="143">
        <f>0.5*1.352</f>
        <v>0.67600000000000005</v>
      </c>
      <c r="D50" s="143">
        <f>0.5*5.024</f>
        <v>2.512</v>
      </c>
      <c r="E50" s="143">
        <f>0.5*5.902</f>
        <v>2.9510000000000001</v>
      </c>
      <c r="F50" s="143">
        <f>0.5*5.718</f>
        <v>2.859</v>
      </c>
      <c r="G50" s="143">
        <f>0.5*6.126</f>
        <v>3.0630000000000002</v>
      </c>
      <c r="H50" s="143">
        <f>0.5*6.425</f>
        <v>3.2124999999999999</v>
      </c>
      <c r="I50" s="143">
        <f>0.5*6.425</f>
        <v>3.2124999999999999</v>
      </c>
      <c r="J50" s="140">
        <v>50</v>
      </c>
      <c r="K50" s="142">
        <v>13</v>
      </c>
      <c r="L50" s="125" t="s">
        <v>116</v>
      </c>
      <c r="M50" s="140" t="s">
        <v>43</v>
      </c>
      <c r="N50" s="140" t="s">
        <v>43</v>
      </c>
      <c r="O50" s="71"/>
      <c r="P50" s="153"/>
      <c r="Q50" s="153"/>
      <c r="R50" s="153"/>
      <c r="S50" s="153"/>
      <c r="T50" s="153"/>
      <c r="U50" s="153"/>
      <c r="V50" s="153"/>
    </row>
    <row r="51" spans="1:22" s="23" customFormat="1">
      <c r="A51" s="139">
        <v>16</v>
      </c>
      <c r="B51" s="140" t="s">
        <v>119</v>
      </c>
      <c r="C51" s="143">
        <v>1.5</v>
      </c>
      <c r="D51" s="143">
        <v>0</v>
      </c>
      <c r="E51" s="143">
        <v>0</v>
      </c>
      <c r="F51" s="143">
        <v>0</v>
      </c>
      <c r="G51" s="143">
        <v>0</v>
      </c>
      <c r="H51" s="143">
        <v>0</v>
      </c>
      <c r="I51" s="143">
        <v>0</v>
      </c>
      <c r="J51" s="140">
        <v>100</v>
      </c>
      <c r="K51" s="142">
        <v>13</v>
      </c>
      <c r="L51" s="125" t="s">
        <v>116</v>
      </c>
      <c r="M51" s="140" t="s">
        <v>43</v>
      </c>
      <c r="N51" s="140" t="s">
        <v>43</v>
      </c>
      <c r="O51" s="70"/>
      <c r="P51" s="66"/>
      <c r="Q51" s="66"/>
      <c r="R51" s="66"/>
      <c r="S51" s="66"/>
      <c r="T51" s="66"/>
      <c r="U51" s="66"/>
      <c r="V51" s="66"/>
    </row>
    <row r="52" spans="1:22" s="23" customFormat="1">
      <c r="A52" s="139">
        <v>16</v>
      </c>
      <c r="B52" s="140" t="s">
        <v>100</v>
      </c>
      <c r="C52" s="143">
        <v>0.83199999999999996</v>
      </c>
      <c r="D52" s="143">
        <v>0.85299999999999998</v>
      </c>
      <c r="E52" s="143">
        <v>0.85299999999999998</v>
      </c>
      <c r="F52" s="143">
        <v>0.85299999999999998</v>
      </c>
      <c r="G52" s="143">
        <v>0.85299999999999998</v>
      </c>
      <c r="H52" s="143">
        <v>0.85299999999999998</v>
      </c>
      <c r="I52" s="143">
        <v>0.85299999999999998</v>
      </c>
      <c r="J52" s="140">
        <v>100</v>
      </c>
      <c r="K52" s="142" t="s">
        <v>97</v>
      </c>
      <c r="L52" s="125" t="s">
        <v>98</v>
      </c>
      <c r="M52" s="140" t="s">
        <v>11</v>
      </c>
      <c r="N52" s="140" t="s">
        <v>42</v>
      </c>
      <c r="O52" s="70"/>
      <c r="P52" s="66"/>
      <c r="Q52" s="66"/>
      <c r="R52" s="66"/>
      <c r="S52" s="66"/>
      <c r="T52" s="66"/>
      <c r="U52" s="66"/>
      <c r="V52" s="66"/>
    </row>
    <row r="53" spans="1:22" s="23" customFormat="1">
      <c r="A53" s="139">
        <v>16</v>
      </c>
      <c r="B53" s="140" t="s">
        <v>101</v>
      </c>
      <c r="C53" s="143">
        <v>5.016</v>
      </c>
      <c r="D53" s="143">
        <v>5.1980000000000004</v>
      </c>
      <c r="E53" s="143">
        <v>5.1980000000000004</v>
      </c>
      <c r="F53" s="143">
        <v>5.1980000000000004</v>
      </c>
      <c r="G53" s="143">
        <v>5.1980000000000004</v>
      </c>
      <c r="H53" s="143">
        <v>5.1980000000000004</v>
      </c>
      <c r="I53" s="143">
        <v>5.1980000000000004</v>
      </c>
      <c r="J53" s="140">
        <v>100</v>
      </c>
      <c r="K53" s="142" t="s">
        <v>97</v>
      </c>
      <c r="L53" s="125" t="s">
        <v>98</v>
      </c>
      <c r="M53" s="140" t="s">
        <v>11</v>
      </c>
      <c r="N53" s="140" t="s">
        <v>42</v>
      </c>
      <c r="O53" s="71"/>
      <c r="P53" s="153"/>
      <c r="Q53" s="153"/>
      <c r="R53" s="153"/>
      <c r="S53" s="153"/>
      <c r="T53" s="153"/>
      <c r="U53" s="153"/>
      <c r="V53" s="153"/>
    </row>
    <row r="54" spans="1:22" s="23" customFormat="1">
      <c r="A54" s="139">
        <v>16</v>
      </c>
      <c r="B54" s="140" t="s">
        <v>102</v>
      </c>
      <c r="C54" s="143">
        <v>31.061</v>
      </c>
      <c r="D54" s="143">
        <v>31.065000000000001</v>
      </c>
      <c r="E54" s="143">
        <v>31.065000000000001</v>
      </c>
      <c r="F54" s="143">
        <v>31.065000000000001</v>
      </c>
      <c r="G54" s="143">
        <v>31.065000000000001</v>
      </c>
      <c r="H54" s="143">
        <v>31.065000000000001</v>
      </c>
      <c r="I54" s="143">
        <v>31.065000000000001</v>
      </c>
      <c r="J54" s="140">
        <v>100</v>
      </c>
      <c r="K54" s="142">
        <v>3</v>
      </c>
      <c r="L54" s="125" t="s">
        <v>103</v>
      </c>
      <c r="M54" s="140" t="s">
        <v>11</v>
      </c>
      <c r="N54" s="140" t="s">
        <v>43</v>
      </c>
      <c r="O54" s="71"/>
      <c r="P54" s="153"/>
      <c r="Q54" s="153"/>
      <c r="R54" s="153"/>
      <c r="S54" s="153"/>
      <c r="T54" s="153"/>
      <c r="U54" s="153"/>
      <c r="V54" s="153"/>
    </row>
    <row r="55" spans="1:22" s="23" customFormat="1">
      <c r="A55" s="139">
        <v>16</v>
      </c>
      <c r="B55" s="140" t="s">
        <v>104</v>
      </c>
      <c r="C55" s="143">
        <v>44.936999999999998</v>
      </c>
      <c r="D55" s="143">
        <v>49.8</v>
      </c>
      <c r="E55" s="143">
        <v>49.8</v>
      </c>
      <c r="F55" s="143">
        <v>49.8</v>
      </c>
      <c r="G55" s="143">
        <v>49.8</v>
      </c>
      <c r="H55" s="143">
        <v>49.8</v>
      </c>
      <c r="I55" s="143">
        <v>49.8</v>
      </c>
      <c r="J55" s="140">
        <v>100</v>
      </c>
      <c r="K55" s="142" t="s">
        <v>97</v>
      </c>
      <c r="L55" s="125" t="s">
        <v>98</v>
      </c>
      <c r="M55" s="140" t="s">
        <v>11</v>
      </c>
      <c r="N55" s="140" t="s">
        <v>42</v>
      </c>
      <c r="O55" s="71"/>
      <c r="P55" s="153"/>
      <c r="Q55" s="153"/>
      <c r="R55" s="153"/>
      <c r="S55" s="153"/>
      <c r="T55" s="153"/>
      <c r="U55" s="153"/>
      <c r="V55" s="153"/>
    </row>
    <row r="56" spans="1:22" s="23" customFormat="1">
      <c r="A56" s="139">
        <v>16</v>
      </c>
      <c r="B56" s="140" t="s">
        <v>105</v>
      </c>
      <c r="C56" s="143">
        <v>9.0440000000000005</v>
      </c>
      <c r="D56" s="143">
        <v>10.019</v>
      </c>
      <c r="E56" s="143">
        <v>10.019</v>
      </c>
      <c r="F56" s="143">
        <v>10.019</v>
      </c>
      <c r="G56" s="143">
        <v>10.019</v>
      </c>
      <c r="H56" s="143">
        <v>10.019</v>
      </c>
      <c r="I56" s="143">
        <v>10.019</v>
      </c>
      <c r="J56" s="140">
        <v>100</v>
      </c>
      <c r="K56" s="142" t="s">
        <v>97</v>
      </c>
      <c r="L56" s="125" t="s">
        <v>98</v>
      </c>
      <c r="M56" s="140" t="s">
        <v>11</v>
      </c>
      <c r="N56" s="140" t="s">
        <v>42</v>
      </c>
      <c r="O56" s="71"/>
      <c r="P56" s="153"/>
      <c r="Q56" s="153"/>
      <c r="R56" s="153"/>
      <c r="S56" s="153"/>
      <c r="T56" s="153"/>
      <c r="U56" s="153"/>
      <c r="V56" s="153"/>
    </row>
    <row r="57" spans="1:22" s="7" customFormat="1">
      <c r="A57" s="139" t="s">
        <v>456</v>
      </c>
      <c r="B57" s="140" t="s">
        <v>452</v>
      </c>
      <c r="C57" s="143">
        <v>2.6</v>
      </c>
      <c r="D57" s="143">
        <v>2.6</v>
      </c>
      <c r="E57" s="143">
        <v>3.6</v>
      </c>
      <c r="F57" s="143">
        <v>3.6</v>
      </c>
      <c r="G57" s="143">
        <v>3.6</v>
      </c>
      <c r="H57" s="143">
        <v>3.6</v>
      </c>
      <c r="I57" s="143">
        <v>3.6</v>
      </c>
      <c r="J57" s="140">
        <v>100</v>
      </c>
      <c r="K57" s="142">
        <v>9</v>
      </c>
      <c r="L57" s="125" t="s">
        <v>114</v>
      </c>
      <c r="M57" s="140" t="s">
        <v>43</v>
      </c>
      <c r="N57" s="140" t="s">
        <v>43</v>
      </c>
      <c r="O57" s="70"/>
      <c r="P57" s="66"/>
      <c r="Q57" s="66"/>
      <c r="R57" s="66"/>
      <c r="S57" s="66"/>
      <c r="T57" s="66"/>
      <c r="U57" s="66"/>
      <c r="V57" s="66"/>
    </row>
    <row r="58" spans="1:22" s="7" customFormat="1">
      <c r="A58" s="139">
        <v>14</v>
      </c>
      <c r="B58" s="140" t="s">
        <v>583</v>
      </c>
      <c r="C58" s="143"/>
      <c r="D58" s="143">
        <v>0.11940000000000001</v>
      </c>
      <c r="E58" s="143">
        <v>4.6098999999999997</v>
      </c>
      <c r="F58" s="143">
        <v>4.6098999999999997</v>
      </c>
      <c r="G58" s="143">
        <v>4.6098999999999997</v>
      </c>
      <c r="H58" s="143">
        <v>4.6098999999999997</v>
      </c>
      <c r="I58" s="143">
        <v>4.6098999999999997</v>
      </c>
      <c r="J58" s="140">
        <v>10</v>
      </c>
      <c r="K58" s="142">
        <v>10</v>
      </c>
      <c r="L58" s="125" t="s">
        <v>71</v>
      </c>
      <c r="M58" s="140" t="s">
        <v>9</v>
      </c>
      <c r="N58" s="140" t="s">
        <v>42</v>
      </c>
      <c r="O58" s="70"/>
      <c r="P58" s="66"/>
      <c r="Q58" s="66"/>
      <c r="R58" s="66"/>
      <c r="S58" s="66"/>
      <c r="T58" s="66"/>
      <c r="U58" s="66"/>
      <c r="V58" s="66"/>
    </row>
    <row r="59" spans="1:22" s="23" customFormat="1">
      <c r="A59" s="139" t="s">
        <v>120</v>
      </c>
      <c r="B59" s="140" t="s">
        <v>273</v>
      </c>
      <c r="C59" s="143">
        <f>0.27*35.042</f>
        <v>9.4613400000000016</v>
      </c>
      <c r="D59" s="143">
        <f>0.27*33.211</f>
        <v>8.9669699999999999</v>
      </c>
      <c r="E59" s="143">
        <f>0.27*32.107</f>
        <v>8.6688900000000011</v>
      </c>
      <c r="F59" s="143">
        <f>0.27*31.503</f>
        <v>8.5058100000000003</v>
      </c>
      <c r="G59" s="143">
        <f>0.27*31.469</f>
        <v>8.4966300000000015</v>
      </c>
      <c r="H59" s="143">
        <f>0.27*31.469</f>
        <v>8.4966300000000015</v>
      </c>
      <c r="I59" s="143">
        <f>0.27*31.469</f>
        <v>8.4966300000000015</v>
      </c>
      <c r="J59" s="140">
        <v>27</v>
      </c>
      <c r="K59" s="142">
        <v>10</v>
      </c>
      <c r="L59" s="125" t="s">
        <v>71</v>
      </c>
      <c r="M59" s="140" t="s">
        <v>9</v>
      </c>
      <c r="N59" s="140" t="s">
        <v>42</v>
      </c>
      <c r="O59" s="71"/>
      <c r="P59" s="153"/>
      <c r="Q59" s="153"/>
      <c r="R59" s="153"/>
      <c r="S59" s="153"/>
      <c r="T59" s="153"/>
      <c r="U59" s="153"/>
      <c r="V59" s="153"/>
    </row>
    <row r="60" spans="1:22" s="23" customFormat="1">
      <c r="A60" s="139" t="s">
        <v>120</v>
      </c>
      <c r="B60" s="140" t="s">
        <v>121</v>
      </c>
      <c r="C60" s="143">
        <f>0.06*6.391</f>
        <v>0.38345999999999997</v>
      </c>
      <c r="D60" s="143">
        <f>0.06*5.054</f>
        <v>0.30324000000000001</v>
      </c>
      <c r="E60" s="143">
        <f t="shared" ref="E60:H60" si="16">0.06*5.054</f>
        <v>0.30324000000000001</v>
      </c>
      <c r="F60" s="143">
        <f t="shared" si="16"/>
        <v>0.30324000000000001</v>
      </c>
      <c r="G60" s="143">
        <f t="shared" si="16"/>
        <v>0.30324000000000001</v>
      </c>
      <c r="H60" s="143">
        <f t="shared" si="16"/>
        <v>0.30324000000000001</v>
      </c>
      <c r="I60" s="236" t="s">
        <v>413</v>
      </c>
      <c r="J60" s="140">
        <v>6</v>
      </c>
      <c r="K60" s="142">
        <v>10</v>
      </c>
      <c r="L60" s="125" t="s">
        <v>71</v>
      </c>
      <c r="M60" s="140" t="s">
        <v>9</v>
      </c>
      <c r="N60" s="140" t="s">
        <v>42</v>
      </c>
      <c r="O60" s="71"/>
      <c r="P60" s="153"/>
      <c r="Q60" s="153"/>
      <c r="R60" s="153"/>
      <c r="S60" s="153"/>
      <c r="T60" s="153"/>
      <c r="U60" s="153"/>
      <c r="V60" s="153"/>
    </row>
    <row r="61" spans="1:22" s="23" customFormat="1">
      <c r="A61" s="139" t="s">
        <v>120</v>
      </c>
      <c r="B61" s="140" t="s">
        <v>122</v>
      </c>
      <c r="C61" s="143">
        <v>3.149</v>
      </c>
      <c r="D61" s="143">
        <v>2.121</v>
      </c>
      <c r="E61" s="143">
        <v>2.1269999999999998</v>
      </c>
      <c r="F61" s="143">
        <v>2.0059999999999998</v>
      </c>
      <c r="G61" s="143">
        <v>2.1760000000000002</v>
      </c>
      <c r="H61" s="143">
        <v>2.1760000000000002</v>
      </c>
      <c r="I61" s="236">
        <v>2.1760000000000002</v>
      </c>
      <c r="J61" s="140">
        <v>100</v>
      </c>
      <c r="K61" s="142">
        <v>10</v>
      </c>
      <c r="L61" s="125" t="s">
        <v>71</v>
      </c>
      <c r="M61" s="140" t="s">
        <v>43</v>
      </c>
      <c r="N61" s="140" t="s">
        <v>43</v>
      </c>
      <c r="O61" s="71"/>
      <c r="P61" s="153"/>
      <c r="Q61" s="153"/>
      <c r="R61" s="153"/>
      <c r="S61" s="153"/>
      <c r="T61" s="153"/>
      <c r="U61" s="153"/>
      <c r="V61" s="153"/>
    </row>
    <row r="62" spans="1:22" s="23" customFormat="1">
      <c r="A62" s="139" t="s">
        <v>120</v>
      </c>
      <c r="B62" s="140" t="s">
        <v>123</v>
      </c>
      <c r="C62" s="143">
        <v>0.73699999999999999</v>
      </c>
      <c r="D62" s="143">
        <v>0.74399999999999999</v>
      </c>
      <c r="E62" s="143">
        <v>0.74399999999999999</v>
      </c>
      <c r="F62" s="143">
        <v>0.74399999999999999</v>
      </c>
      <c r="G62" s="143">
        <v>0.74399999999999999</v>
      </c>
      <c r="H62" s="143">
        <v>0.74399999999999999</v>
      </c>
      <c r="I62" s="236" t="s">
        <v>413</v>
      </c>
      <c r="J62" s="140">
        <v>100</v>
      </c>
      <c r="K62" s="142">
        <v>10</v>
      </c>
      <c r="L62" s="125" t="s">
        <v>71</v>
      </c>
      <c r="M62" s="140" t="s">
        <v>7</v>
      </c>
      <c r="N62" s="140" t="s">
        <v>42</v>
      </c>
      <c r="O62" s="71"/>
      <c r="P62" s="153"/>
      <c r="Q62" s="153"/>
      <c r="R62" s="153"/>
      <c r="S62" s="153"/>
      <c r="T62" s="153"/>
      <c r="U62" s="153"/>
      <c r="V62" s="153"/>
    </row>
    <row r="63" spans="1:22" s="3" customFormat="1" ht="15">
      <c r="A63" s="82"/>
      <c r="B63" s="3" t="s">
        <v>67</v>
      </c>
      <c r="C63" s="12">
        <f t="shared" ref="C63:I63" si="17">SUM(C32:C62)</f>
        <v>3677.8489425581893</v>
      </c>
      <c r="D63" s="12">
        <f t="shared" si="17"/>
        <v>3749.4451473122299</v>
      </c>
      <c r="E63" s="12">
        <f t="shared" si="17"/>
        <v>3758.3217360406557</v>
      </c>
      <c r="F63" s="12">
        <f t="shared" si="17"/>
        <v>3766.7562392995228</v>
      </c>
      <c r="G63" s="12">
        <f t="shared" si="17"/>
        <v>3743.1662079520111</v>
      </c>
      <c r="H63" s="12">
        <f t="shared" si="17"/>
        <v>3806.6603862153229</v>
      </c>
      <c r="I63" s="12">
        <f t="shared" si="17"/>
        <v>3829.4578556394572</v>
      </c>
      <c r="L63" s="1"/>
      <c r="O63" s="69"/>
      <c r="P63" s="6">
        <f t="shared" ref="P63:V63" si="18">SUM(P32:P62)</f>
        <v>289</v>
      </c>
      <c r="Q63" s="6">
        <f t="shared" si="18"/>
        <v>289</v>
      </c>
      <c r="R63" s="6">
        <f t="shared" si="18"/>
        <v>289</v>
      </c>
      <c r="S63" s="6">
        <f t="shared" si="18"/>
        <v>289</v>
      </c>
      <c r="T63" s="6">
        <f t="shared" si="18"/>
        <v>289</v>
      </c>
      <c r="U63" s="6">
        <f t="shared" si="18"/>
        <v>289</v>
      </c>
      <c r="V63" s="6">
        <f t="shared" si="18"/>
        <v>289</v>
      </c>
    </row>
    <row r="64" spans="1:22">
      <c r="C64" s="61"/>
      <c r="D64" s="61"/>
      <c r="E64" s="61"/>
      <c r="F64" s="61"/>
      <c r="G64" s="61"/>
      <c r="H64" s="61"/>
      <c r="I64" s="61"/>
    </row>
    <row r="65" spans="1:23" s="1" customFormat="1" ht="15">
      <c r="A65" s="14"/>
      <c r="B65" s="15" t="s">
        <v>44</v>
      </c>
      <c r="C65" s="60"/>
      <c r="D65" s="60"/>
      <c r="E65" s="60"/>
      <c r="F65" s="60"/>
      <c r="G65" s="60"/>
      <c r="H65" s="60"/>
      <c r="I65" s="60"/>
      <c r="J65" s="14"/>
      <c r="K65" s="14"/>
      <c r="L65" s="14"/>
      <c r="M65" s="14"/>
      <c r="N65" s="14"/>
      <c r="O65" s="14"/>
      <c r="P65" s="65"/>
      <c r="Q65" s="65"/>
      <c r="R65" s="65"/>
      <c r="S65" s="65"/>
      <c r="T65" s="65"/>
      <c r="U65" s="65"/>
      <c r="V65" s="65"/>
    </row>
    <row r="66" spans="1:23">
      <c r="A66" s="125" t="s">
        <v>55</v>
      </c>
      <c r="B66" s="103" t="s">
        <v>275</v>
      </c>
      <c r="C66" s="103">
        <v>37.027999999999999</v>
      </c>
      <c r="D66" s="103">
        <v>37.323999999999998</v>
      </c>
      <c r="E66" s="103">
        <v>36.808</v>
      </c>
      <c r="F66" s="103">
        <v>36.808</v>
      </c>
      <c r="G66" s="103">
        <v>36.808</v>
      </c>
      <c r="H66" s="103">
        <v>36.808</v>
      </c>
      <c r="I66" s="103">
        <v>36.808</v>
      </c>
      <c r="J66" s="103">
        <v>100</v>
      </c>
      <c r="K66" s="103">
        <v>14</v>
      </c>
      <c r="L66" s="103" t="s">
        <v>57</v>
      </c>
      <c r="M66" s="103" t="s">
        <v>445</v>
      </c>
      <c r="N66" s="4" t="s">
        <v>42</v>
      </c>
      <c r="O66" s="13">
        <v>100</v>
      </c>
      <c r="P66" s="5">
        <f t="shared" ref="P66:P70" si="19">+$O66/100*C66</f>
        <v>37.027999999999999</v>
      </c>
      <c r="Q66" s="5">
        <f t="shared" ref="Q66:Q70" si="20">+$O66/100*D66</f>
        <v>37.323999999999998</v>
      </c>
      <c r="R66" s="5">
        <f t="shared" ref="R66:R70" si="21">+$O66/100*E66</f>
        <v>36.808</v>
      </c>
      <c r="S66" s="5">
        <f t="shared" ref="S66:S70" si="22">+$O66/100*F66</f>
        <v>36.808</v>
      </c>
      <c r="T66" s="5">
        <f t="shared" ref="T66:T70" si="23">+$O66/100*G66</f>
        <v>36.808</v>
      </c>
      <c r="U66" s="5">
        <f t="shared" ref="U66:U70" si="24">+$O66/100*H66</f>
        <v>36.808</v>
      </c>
      <c r="V66" s="5">
        <f t="shared" ref="V66:V70" si="25">+$O66/100*I66</f>
        <v>36.808</v>
      </c>
      <c r="W66" s="5"/>
    </row>
    <row r="67" spans="1:23">
      <c r="A67" s="125" t="s">
        <v>55</v>
      </c>
      <c r="B67" s="103" t="s">
        <v>58</v>
      </c>
      <c r="C67" s="103">
        <v>0.51700000000000002</v>
      </c>
      <c r="D67" s="103">
        <v>0.51700000000000002</v>
      </c>
      <c r="E67" s="103">
        <v>0.51700000000000002</v>
      </c>
      <c r="F67" s="103">
        <v>0.51700000000000002</v>
      </c>
      <c r="G67" s="103">
        <v>0.51700000000000002</v>
      </c>
      <c r="H67" s="103">
        <v>0.51700000000000002</v>
      </c>
      <c r="I67" s="103">
        <v>0.51700000000000002</v>
      </c>
      <c r="J67" s="103">
        <v>100</v>
      </c>
      <c r="K67" s="103">
        <v>14</v>
      </c>
      <c r="L67" s="103" t="s">
        <v>57</v>
      </c>
      <c r="M67" s="103" t="s">
        <v>7</v>
      </c>
      <c r="N67" s="4" t="s">
        <v>42</v>
      </c>
      <c r="O67" s="13">
        <v>100</v>
      </c>
      <c r="P67" s="5">
        <f t="shared" si="19"/>
        <v>0.51700000000000002</v>
      </c>
      <c r="Q67" s="5">
        <f t="shared" si="20"/>
        <v>0.51700000000000002</v>
      </c>
      <c r="R67" s="5">
        <f t="shared" si="21"/>
        <v>0.51700000000000002</v>
      </c>
      <c r="S67" s="5">
        <f t="shared" si="22"/>
        <v>0.51700000000000002</v>
      </c>
      <c r="T67" s="5">
        <f t="shared" si="23"/>
        <v>0.51700000000000002</v>
      </c>
      <c r="U67" s="5">
        <f t="shared" si="24"/>
        <v>0.51700000000000002</v>
      </c>
      <c r="V67" s="5">
        <f t="shared" si="25"/>
        <v>0.51700000000000002</v>
      </c>
      <c r="W67" s="5"/>
    </row>
    <row r="68" spans="1:23">
      <c r="A68" s="125" t="s">
        <v>55</v>
      </c>
      <c r="B68" s="103" t="s">
        <v>56</v>
      </c>
      <c r="C68" s="103">
        <v>4.9569999999999999</v>
      </c>
      <c r="D68" s="103">
        <v>5.8129999999999997</v>
      </c>
      <c r="E68" s="103">
        <v>5.8129999999999997</v>
      </c>
      <c r="F68" s="103">
        <v>5.8140000000000001</v>
      </c>
      <c r="G68" s="103">
        <v>5.8140000000000001</v>
      </c>
      <c r="H68" s="103">
        <v>5.8140000000000001</v>
      </c>
      <c r="I68" s="103">
        <v>5.8140000000000001</v>
      </c>
      <c r="J68" s="103">
        <v>100</v>
      </c>
      <c r="K68" s="103">
        <v>14</v>
      </c>
      <c r="L68" s="103" t="s">
        <v>57</v>
      </c>
      <c r="M68" s="103" t="s">
        <v>12</v>
      </c>
      <c r="N68" s="4" t="s">
        <v>43</v>
      </c>
      <c r="O68" s="13">
        <v>100</v>
      </c>
      <c r="P68" s="5">
        <f t="shared" si="19"/>
        <v>4.9569999999999999</v>
      </c>
      <c r="Q68" s="5">
        <f t="shared" si="20"/>
        <v>5.8129999999999997</v>
      </c>
      <c r="R68" s="5">
        <f t="shared" si="21"/>
        <v>5.8129999999999997</v>
      </c>
      <c r="S68" s="5">
        <f t="shared" si="22"/>
        <v>5.8140000000000001</v>
      </c>
      <c r="T68" s="5">
        <f t="shared" si="23"/>
        <v>5.8140000000000001</v>
      </c>
      <c r="U68" s="5">
        <f t="shared" si="24"/>
        <v>5.8140000000000001</v>
      </c>
      <c r="V68" s="5">
        <f t="shared" si="25"/>
        <v>5.8140000000000001</v>
      </c>
      <c r="W68" s="5"/>
    </row>
    <row r="69" spans="1:23">
      <c r="A69" s="125" t="s">
        <v>55</v>
      </c>
      <c r="B69" s="103" t="s">
        <v>56</v>
      </c>
      <c r="C69" s="103">
        <v>18.29</v>
      </c>
      <c r="D69" s="103">
        <v>18.806999999999999</v>
      </c>
      <c r="E69" s="103">
        <v>18.052</v>
      </c>
      <c r="F69" s="103">
        <v>18.052</v>
      </c>
      <c r="G69" s="103">
        <v>18.052</v>
      </c>
      <c r="H69" s="103">
        <v>18.052</v>
      </c>
      <c r="I69" s="103">
        <v>18.052</v>
      </c>
      <c r="J69" s="103">
        <v>100</v>
      </c>
      <c r="K69" s="103">
        <v>14</v>
      </c>
      <c r="L69" s="103" t="s">
        <v>57</v>
      </c>
      <c r="M69" s="103" t="s">
        <v>446</v>
      </c>
      <c r="N69" s="4" t="s">
        <v>43</v>
      </c>
      <c r="O69" s="13">
        <v>100</v>
      </c>
      <c r="P69" s="5">
        <f t="shared" si="19"/>
        <v>18.29</v>
      </c>
      <c r="Q69" s="5">
        <f t="shared" si="20"/>
        <v>18.806999999999999</v>
      </c>
      <c r="R69" s="5">
        <f t="shared" si="21"/>
        <v>18.052</v>
      </c>
      <c r="S69" s="5">
        <f t="shared" si="22"/>
        <v>18.052</v>
      </c>
      <c r="T69" s="5">
        <f t="shared" si="23"/>
        <v>18.052</v>
      </c>
      <c r="U69" s="5">
        <f t="shared" si="24"/>
        <v>18.052</v>
      </c>
      <c r="V69" s="5">
        <f t="shared" si="25"/>
        <v>18.052</v>
      </c>
      <c r="W69" s="5"/>
    </row>
    <row r="70" spans="1:23">
      <c r="A70" s="125" t="s">
        <v>55</v>
      </c>
      <c r="B70" s="103" t="s">
        <v>56</v>
      </c>
      <c r="C70" s="103">
        <v>0.28599999999999998</v>
      </c>
      <c r="D70" s="104">
        <v>0</v>
      </c>
      <c r="E70" s="104">
        <v>0</v>
      </c>
      <c r="F70" s="104">
        <v>0</v>
      </c>
      <c r="G70" s="104">
        <v>0</v>
      </c>
      <c r="H70" s="104">
        <v>0</v>
      </c>
      <c r="I70" s="104">
        <v>0</v>
      </c>
      <c r="J70" s="103">
        <v>100</v>
      </c>
      <c r="K70" s="103">
        <v>14</v>
      </c>
      <c r="L70" s="103" t="s">
        <v>57</v>
      </c>
      <c r="M70" s="103" t="s">
        <v>73</v>
      </c>
      <c r="N70" s="4" t="s">
        <v>43</v>
      </c>
      <c r="O70" s="13">
        <v>100</v>
      </c>
      <c r="P70" s="5">
        <f t="shared" si="19"/>
        <v>0.28599999999999998</v>
      </c>
      <c r="Q70" s="5">
        <f t="shared" si="20"/>
        <v>0</v>
      </c>
      <c r="R70" s="5">
        <f t="shared" si="21"/>
        <v>0</v>
      </c>
      <c r="S70" s="5">
        <f t="shared" si="22"/>
        <v>0</v>
      </c>
      <c r="T70" s="5">
        <f t="shared" si="23"/>
        <v>0</v>
      </c>
      <c r="U70" s="5">
        <f t="shared" si="24"/>
        <v>0</v>
      </c>
      <c r="V70" s="5">
        <f t="shared" si="25"/>
        <v>0</v>
      </c>
      <c r="W70" s="5"/>
    </row>
    <row r="71" spans="1:23" s="3" customFormat="1" ht="15">
      <c r="A71" s="82"/>
      <c r="B71" s="3" t="s">
        <v>59</v>
      </c>
      <c r="C71" s="12">
        <f>SUM(C66:C70)</f>
        <v>61.078000000000003</v>
      </c>
      <c r="D71" s="12">
        <f t="shared" ref="D71:I71" si="26">SUM(D66:D70)</f>
        <v>62.460999999999999</v>
      </c>
      <c r="E71" s="12">
        <f t="shared" si="26"/>
        <v>61.190000000000005</v>
      </c>
      <c r="F71" s="12">
        <f t="shared" si="26"/>
        <v>61.191000000000003</v>
      </c>
      <c r="G71" s="12">
        <f t="shared" si="26"/>
        <v>61.191000000000003</v>
      </c>
      <c r="H71" s="12">
        <f t="shared" si="26"/>
        <v>61.191000000000003</v>
      </c>
      <c r="I71" s="12">
        <f t="shared" si="26"/>
        <v>61.191000000000003</v>
      </c>
      <c r="L71" s="1"/>
      <c r="O71" s="69"/>
      <c r="P71" s="6">
        <f>SUM(P66:P70)</f>
        <v>61.078000000000003</v>
      </c>
      <c r="Q71" s="6">
        <f t="shared" ref="Q71:V71" si="27">SUM(Q66:Q70)</f>
        <v>62.460999999999999</v>
      </c>
      <c r="R71" s="6">
        <f t="shared" si="27"/>
        <v>61.190000000000005</v>
      </c>
      <c r="S71" s="6">
        <f t="shared" si="27"/>
        <v>61.191000000000003</v>
      </c>
      <c r="T71" s="6">
        <f t="shared" si="27"/>
        <v>61.191000000000003</v>
      </c>
      <c r="U71" s="6">
        <f t="shared" si="27"/>
        <v>61.191000000000003</v>
      </c>
      <c r="V71" s="6">
        <f t="shared" si="27"/>
        <v>61.191000000000003</v>
      </c>
    </row>
    <row r="72" spans="1:23" s="3" customFormat="1" ht="15">
      <c r="A72" s="82"/>
      <c r="C72" s="12"/>
      <c r="D72" s="12"/>
      <c r="E72" s="12"/>
      <c r="F72" s="12"/>
      <c r="G72" s="12"/>
      <c r="H72" s="12"/>
      <c r="I72" s="12"/>
      <c r="L72" s="1"/>
      <c r="O72" s="69"/>
      <c r="P72" s="6"/>
      <c r="Q72" s="6"/>
      <c r="R72" s="6"/>
      <c r="S72" s="6"/>
      <c r="T72" s="6"/>
      <c r="U72" s="6"/>
      <c r="V72" s="6"/>
    </row>
    <row r="73" spans="1:23" s="3" customFormat="1" ht="15">
      <c r="A73" s="15"/>
      <c r="B73" s="28" t="s">
        <v>468</v>
      </c>
      <c r="C73" s="59"/>
      <c r="D73" s="62"/>
      <c r="E73" s="62"/>
      <c r="F73" s="62"/>
      <c r="G73" s="62"/>
      <c r="H73" s="62"/>
      <c r="I73" s="62"/>
      <c r="J73" s="29"/>
      <c r="K73" s="28"/>
      <c r="L73" s="100"/>
      <c r="M73" s="100"/>
      <c r="N73" s="28"/>
      <c r="O73" s="28"/>
      <c r="P73" s="6"/>
      <c r="Q73" s="6"/>
      <c r="R73" s="6"/>
      <c r="S73" s="6"/>
      <c r="T73" s="6"/>
      <c r="U73" s="6"/>
      <c r="V73" s="6"/>
    </row>
    <row r="74" spans="1:23" s="82" customFormat="1" ht="15">
      <c r="A74" s="125" t="s">
        <v>146</v>
      </c>
      <c r="B74" s="125" t="s">
        <v>138</v>
      </c>
      <c r="C74" s="128">
        <v>3.3000000000000002E-2</v>
      </c>
      <c r="D74" s="128">
        <v>3.3000000000000002E-2</v>
      </c>
      <c r="E74" s="128">
        <v>3.3000000000000002E-2</v>
      </c>
      <c r="F74" s="128">
        <v>3.3000000000000002E-2</v>
      </c>
      <c r="G74" s="128">
        <v>3.3000000000000002E-2</v>
      </c>
      <c r="H74" s="128">
        <v>3.3000000000000002E-2</v>
      </c>
      <c r="I74" s="128">
        <v>3.3000000000000002E-2</v>
      </c>
      <c r="J74" s="129">
        <v>0</v>
      </c>
      <c r="K74" s="125">
        <v>4</v>
      </c>
      <c r="L74" s="125" t="s">
        <v>361</v>
      </c>
      <c r="M74" s="125" t="s">
        <v>139</v>
      </c>
      <c r="N74" s="125" t="s">
        <v>42</v>
      </c>
      <c r="O74" s="130">
        <v>0</v>
      </c>
      <c r="P74" s="131"/>
      <c r="Q74" s="131"/>
      <c r="R74" s="131"/>
      <c r="S74" s="131"/>
      <c r="T74" s="131"/>
      <c r="U74" s="131"/>
      <c r="V74" s="131"/>
    </row>
    <row r="75" spans="1:23" s="82" customFormat="1" ht="15">
      <c r="A75" s="125" t="s">
        <v>146</v>
      </c>
      <c r="B75" s="125" t="s">
        <v>310</v>
      </c>
      <c r="C75" s="128">
        <v>0.25</v>
      </c>
      <c r="D75" s="128">
        <v>0.2</v>
      </c>
      <c r="E75" s="128">
        <v>0.2</v>
      </c>
      <c r="F75" s="128">
        <v>0.15</v>
      </c>
      <c r="G75" s="128">
        <v>0.15</v>
      </c>
      <c r="H75" s="128">
        <v>0.15</v>
      </c>
      <c r="I75" s="128">
        <v>0.15</v>
      </c>
      <c r="J75" s="129">
        <v>0</v>
      </c>
      <c r="K75" s="125">
        <v>4</v>
      </c>
      <c r="L75" s="125" t="s">
        <v>361</v>
      </c>
      <c r="M75" s="125" t="s">
        <v>136</v>
      </c>
      <c r="N75" s="125" t="s">
        <v>42</v>
      </c>
      <c r="O75" s="130">
        <v>0</v>
      </c>
      <c r="P75" s="131"/>
      <c r="Q75" s="131"/>
      <c r="R75" s="131"/>
      <c r="S75" s="131"/>
      <c r="T75" s="131"/>
      <c r="U75" s="131"/>
      <c r="V75" s="131"/>
    </row>
    <row r="76" spans="1:23" s="82" customFormat="1" ht="15">
      <c r="A76" s="125" t="s">
        <v>146</v>
      </c>
      <c r="B76" s="125" t="s">
        <v>144</v>
      </c>
      <c r="C76" s="128">
        <v>0.6</v>
      </c>
      <c r="D76" s="128">
        <v>0.6</v>
      </c>
      <c r="E76" s="128">
        <v>0.6</v>
      </c>
      <c r="F76" s="128">
        <v>0.6</v>
      </c>
      <c r="G76" s="128">
        <v>0.6</v>
      </c>
      <c r="H76" s="128">
        <v>0.6</v>
      </c>
      <c r="I76" s="128">
        <v>0.6</v>
      </c>
      <c r="J76" s="129">
        <v>0.1</v>
      </c>
      <c r="K76" s="125">
        <v>4</v>
      </c>
      <c r="L76" s="125" t="s">
        <v>361</v>
      </c>
      <c r="M76" s="125" t="s">
        <v>145</v>
      </c>
      <c r="N76" s="125" t="s">
        <v>42</v>
      </c>
      <c r="O76" s="130">
        <v>0</v>
      </c>
      <c r="P76" s="131"/>
      <c r="Q76" s="131"/>
      <c r="R76" s="131"/>
      <c r="S76" s="131"/>
      <c r="T76" s="131"/>
      <c r="U76" s="131"/>
      <c r="V76" s="131"/>
    </row>
    <row r="77" spans="1:23" s="82" customFormat="1" ht="15">
      <c r="A77" s="125" t="s">
        <v>146</v>
      </c>
      <c r="B77" s="125" t="s">
        <v>128</v>
      </c>
      <c r="C77" s="128">
        <v>0.36299999999999999</v>
      </c>
      <c r="D77" s="128">
        <v>0.42399999999999999</v>
      </c>
      <c r="E77" s="128">
        <v>0.36299999999999999</v>
      </c>
      <c r="F77" s="235" t="s">
        <v>413</v>
      </c>
      <c r="G77" s="235" t="s">
        <v>413</v>
      </c>
      <c r="H77" s="235" t="s">
        <v>413</v>
      </c>
      <c r="I77" s="235" t="s">
        <v>413</v>
      </c>
      <c r="J77" s="129">
        <v>0.1</v>
      </c>
      <c r="K77" s="125">
        <v>4</v>
      </c>
      <c r="L77" s="125" t="s">
        <v>361</v>
      </c>
      <c r="M77" s="125" t="s">
        <v>129</v>
      </c>
      <c r="N77" s="125" t="s">
        <v>42</v>
      </c>
      <c r="O77" s="130">
        <v>0</v>
      </c>
      <c r="P77" s="131"/>
      <c r="Q77" s="131"/>
      <c r="R77" s="131"/>
      <c r="S77" s="131"/>
      <c r="T77" s="131"/>
      <c r="U77" s="131"/>
      <c r="V77" s="131"/>
    </row>
    <row r="78" spans="1:23" s="82" customFormat="1" ht="15">
      <c r="A78" s="125" t="s">
        <v>146</v>
      </c>
      <c r="B78" s="125" t="s">
        <v>127</v>
      </c>
      <c r="C78" s="128">
        <v>0.13</v>
      </c>
      <c r="D78" s="128">
        <v>0.13</v>
      </c>
      <c r="E78" s="128">
        <v>0.13</v>
      </c>
      <c r="F78" s="128">
        <v>0.13</v>
      </c>
      <c r="G78" s="128">
        <v>0.13</v>
      </c>
      <c r="H78" s="128">
        <v>0.13</v>
      </c>
      <c r="I78" s="128">
        <v>0.13</v>
      </c>
      <c r="J78" s="129">
        <v>0</v>
      </c>
      <c r="K78" s="125">
        <v>4</v>
      </c>
      <c r="L78" s="125" t="s">
        <v>361</v>
      </c>
      <c r="M78" s="125" t="s">
        <v>127</v>
      </c>
      <c r="N78" s="125" t="s">
        <v>42</v>
      </c>
      <c r="O78" s="130">
        <v>0</v>
      </c>
      <c r="P78" s="131"/>
      <c r="Q78" s="131"/>
      <c r="R78" s="131"/>
      <c r="S78" s="131"/>
      <c r="T78" s="131"/>
      <c r="U78" s="131"/>
      <c r="V78" s="131"/>
    </row>
    <row r="79" spans="1:23" s="82" customFormat="1" ht="15">
      <c r="A79" s="125" t="s">
        <v>146</v>
      </c>
      <c r="B79" s="125" t="s">
        <v>125</v>
      </c>
      <c r="C79" s="128">
        <v>0.55000000000000004</v>
      </c>
      <c r="D79" s="128">
        <v>0.55000000000000004</v>
      </c>
      <c r="E79" s="128">
        <v>0.55000000000000004</v>
      </c>
      <c r="F79" s="128">
        <v>0.55000000000000004</v>
      </c>
      <c r="G79" s="128">
        <v>0.55000000000000004</v>
      </c>
      <c r="H79" s="128">
        <v>0.55000000000000004</v>
      </c>
      <c r="I79" s="128">
        <v>0.55000000000000004</v>
      </c>
      <c r="J79" s="129">
        <v>0.105687390789696</v>
      </c>
      <c r="K79" s="125">
        <v>4</v>
      </c>
      <c r="L79" s="125" t="s">
        <v>361</v>
      </c>
      <c r="M79" s="125" t="s">
        <v>126</v>
      </c>
      <c r="N79" s="125" t="s">
        <v>42</v>
      </c>
      <c r="O79" s="130">
        <v>0</v>
      </c>
      <c r="P79" s="131"/>
      <c r="Q79" s="131"/>
      <c r="R79" s="131"/>
      <c r="S79" s="131"/>
      <c r="T79" s="131"/>
      <c r="U79" s="131"/>
      <c r="V79" s="131"/>
    </row>
    <row r="80" spans="1:23" s="82" customFormat="1" ht="15">
      <c r="A80" s="125" t="s">
        <v>146</v>
      </c>
      <c r="B80" s="125" t="s">
        <v>311</v>
      </c>
      <c r="C80" s="128">
        <v>0.47499999999999998</v>
      </c>
      <c r="D80" s="128">
        <v>0.47499999999999998</v>
      </c>
      <c r="E80" s="128">
        <v>0.47499999999999998</v>
      </c>
      <c r="F80" s="128">
        <v>0.47499999999999998</v>
      </c>
      <c r="G80" s="128">
        <v>0.47499999999999998</v>
      </c>
      <c r="H80" s="128">
        <v>0.47499999999999998</v>
      </c>
      <c r="I80" s="128">
        <v>0.47499999999999998</v>
      </c>
      <c r="J80" s="129">
        <v>0.1</v>
      </c>
      <c r="K80" s="125">
        <v>4</v>
      </c>
      <c r="L80" s="125" t="s">
        <v>361</v>
      </c>
      <c r="M80" s="125" t="s">
        <v>142</v>
      </c>
      <c r="N80" s="125" t="s">
        <v>42</v>
      </c>
      <c r="O80" s="130">
        <v>0</v>
      </c>
      <c r="P80" s="131"/>
      <c r="Q80" s="131"/>
      <c r="R80" s="131"/>
      <c r="S80" s="131"/>
      <c r="T80" s="131"/>
      <c r="U80" s="131"/>
      <c r="V80" s="131"/>
    </row>
    <row r="81" spans="1:23" s="82" customFormat="1" ht="15">
      <c r="A81" s="125" t="s">
        <v>146</v>
      </c>
      <c r="B81" s="125" t="s">
        <v>312</v>
      </c>
      <c r="C81" s="128">
        <v>1.3839999999999999</v>
      </c>
      <c r="D81" s="128">
        <v>1.538</v>
      </c>
      <c r="E81" s="128">
        <v>1.5609999999999999</v>
      </c>
      <c r="F81" s="128">
        <v>1.5609999999999999</v>
      </c>
      <c r="G81" s="128">
        <v>1.538</v>
      </c>
      <c r="H81" s="128">
        <v>1.538</v>
      </c>
      <c r="I81" s="128">
        <v>1.538</v>
      </c>
      <c r="J81" s="129">
        <v>0.3</v>
      </c>
      <c r="K81" s="125">
        <v>4</v>
      </c>
      <c r="L81" s="125" t="s">
        <v>361</v>
      </c>
      <c r="M81" s="125" t="s">
        <v>353</v>
      </c>
      <c r="N81" s="125" t="s">
        <v>42</v>
      </c>
      <c r="O81" s="130">
        <v>0</v>
      </c>
      <c r="P81" s="130"/>
      <c r="Q81" s="131"/>
      <c r="R81" s="131"/>
      <c r="S81" s="131"/>
      <c r="T81" s="131"/>
      <c r="U81" s="131"/>
      <c r="V81" s="131"/>
    </row>
    <row r="82" spans="1:23" s="82" customFormat="1" ht="15">
      <c r="A82" s="125" t="s">
        <v>146</v>
      </c>
      <c r="B82" s="125" t="s">
        <v>477</v>
      </c>
      <c r="C82" s="128">
        <v>0</v>
      </c>
      <c r="D82" s="128">
        <v>0.16</v>
      </c>
      <c r="E82" s="128">
        <v>0.2</v>
      </c>
      <c r="F82" s="128">
        <v>0.2</v>
      </c>
      <c r="G82" s="128">
        <v>0.04</v>
      </c>
      <c r="H82" s="235" t="s">
        <v>413</v>
      </c>
      <c r="I82" s="235" t="s">
        <v>413</v>
      </c>
      <c r="J82" s="129">
        <v>0</v>
      </c>
      <c r="K82" s="125">
        <v>4</v>
      </c>
      <c r="L82" s="125" t="s">
        <v>361</v>
      </c>
      <c r="M82" s="125" t="s">
        <v>478</v>
      </c>
      <c r="N82" s="125" t="s">
        <v>42</v>
      </c>
      <c r="O82" s="130">
        <v>0</v>
      </c>
      <c r="P82" s="130"/>
      <c r="Q82" s="131"/>
      <c r="R82" s="131"/>
      <c r="S82" s="131"/>
      <c r="T82" s="131"/>
      <c r="U82" s="131"/>
      <c r="V82" s="131"/>
    </row>
    <row r="83" spans="1:23" s="82" customFormat="1" ht="15">
      <c r="A83" s="125" t="s">
        <v>479</v>
      </c>
      <c r="B83" s="125" t="s">
        <v>480</v>
      </c>
      <c r="C83" s="128">
        <v>0</v>
      </c>
      <c r="D83" s="128">
        <v>0.15</v>
      </c>
      <c r="E83" s="128">
        <v>0.15</v>
      </c>
      <c r="F83" s="128">
        <v>0.15</v>
      </c>
      <c r="G83" s="128">
        <v>0.15</v>
      </c>
      <c r="H83" s="128">
        <v>0.15</v>
      </c>
      <c r="I83" s="128">
        <v>0.15</v>
      </c>
      <c r="J83" s="129">
        <v>0</v>
      </c>
      <c r="K83" s="125">
        <v>4</v>
      </c>
      <c r="L83" s="125" t="s">
        <v>361</v>
      </c>
      <c r="M83" s="125" t="s">
        <v>353</v>
      </c>
      <c r="N83" s="125" t="s">
        <v>42</v>
      </c>
      <c r="O83" s="130">
        <v>0</v>
      </c>
      <c r="P83" s="130"/>
      <c r="Q83" s="131"/>
      <c r="R83" s="131"/>
      <c r="S83" s="131"/>
      <c r="T83" s="131"/>
      <c r="U83" s="131"/>
      <c r="V83" s="131"/>
    </row>
    <row r="84" spans="1:23" s="82" customFormat="1" ht="15">
      <c r="A84" s="125" t="s">
        <v>313</v>
      </c>
      <c r="B84" s="125" t="s">
        <v>130</v>
      </c>
      <c r="C84" s="128">
        <v>27.276</v>
      </c>
      <c r="D84" s="128">
        <v>28.823</v>
      </c>
      <c r="E84" s="128">
        <v>27.855</v>
      </c>
      <c r="F84" s="128">
        <v>22.786999999999999</v>
      </c>
      <c r="G84" s="128">
        <v>22.795999999999999</v>
      </c>
      <c r="H84" s="128">
        <v>22.794</v>
      </c>
      <c r="I84" s="128">
        <v>22.629000000000001</v>
      </c>
      <c r="J84" s="129">
        <v>12.2</v>
      </c>
      <c r="K84" s="125">
        <v>2</v>
      </c>
      <c r="L84" s="125" t="s">
        <v>131</v>
      </c>
      <c r="M84" s="125" t="s">
        <v>132</v>
      </c>
      <c r="N84" s="125" t="s">
        <v>42</v>
      </c>
      <c r="O84" s="130">
        <v>0</v>
      </c>
      <c r="P84" s="131"/>
      <c r="Q84" s="131"/>
      <c r="R84" s="131"/>
      <c r="S84" s="131"/>
      <c r="T84" s="131"/>
      <c r="U84" s="131"/>
      <c r="V84" s="131"/>
    </row>
    <row r="85" spans="1:23" s="82" customFormat="1" ht="15">
      <c r="A85" s="125" t="s">
        <v>315</v>
      </c>
      <c r="B85" s="125" t="s">
        <v>314</v>
      </c>
      <c r="C85" s="128">
        <v>7.8959999999999999</v>
      </c>
      <c r="D85" s="128">
        <v>7.1020000000000003</v>
      </c>
      <c r="E85" s="128">
        <v>6.8650000000000002</v>
      </c>
      <c r="F85" s="128">
        <v>6.8559999999999999</v>
      </c>
      <c r="G85" s="128">
        <v>6.8559999999999999</v>
      </c>
      <c r="H85" s="128">
        <v>6.8620000000000001</v>
      </c>
      <c r="I85" s="128">
        <v>6.8620000000000001</v>
      </c>
      <c r="J85" s="129">
        <v>27.7</v>
      </c>
      <c r="K85" s="125">
        <v>1</v>
      </c>
      <c r="L85" s="125" t="s">
        <v>117</v>
      </c>
      <c r="M85" s="125" t="s">
        <v>133</v>
      </c>
      <c r="N85" s="125" t="s">
        <v>42</v>
      </c>
      <c r="O85" s="130">
        <v>0</v>
      </c>
      <c r="P85" s="131"/>
      <c r="Q85" s="131"/>
      <c r="R85" s="131"/>
      <c r="S85" s="131"/>
      <c r="T85" s="131"/>
      <c r="U85" s="131"/>
      <c r="V85" s="131"/>
    </row>
    <row r="86" spans="1:23" s="82" customFormat="1" ht="15">
      <c r="A86" s="125" t="s">
        <v>320</v>
      </c>
      <c r="B86" s="125" t="s">
        <v>319</v>
      </c>
      <c r="C86" s="128">
        <v>0.45</v>
      </c>
      <c r="D86" s="128">
        <v>0.45</v>
      </c>
      <c r="E86" s="128">
        <v>0.45</v>
      </c>
      <c r="F86" s="128">
        <v>0.45</v>
      </c>
      <c r="G86" s="128">
        <v>0.45</v>
      </c>
      <c r="H86" s="128">
        <v>0.45</v>
      </c>
      <c r="I86" s="128">
        <v>0.45</v>
      </c>
      <c r="J86" s="129">
        <v>0.8</v>
      </c>
      <c r="K86" s="125">
        <v>4</v>
      </c>
      <c r="L86" s="125" t="s">
        <v>361</v>
      </c>
      <c r="M86" s="125" t="s">
        <v>412</v>
      </c>
      <c r="N86" s="125" t="s">
        <v>42</v>
      </c>
      <c r="O86" s="130">
        <v>0</v>
      </c>
      <c r="P86" s="131"/>
      <c r="Q86" s="131"/>
      <c r="R86" s="131"/>
      <c r="S86" s="131"/>
      <c r="T86" s="131"/>
      <c r="U86" s="131"/>
      <c r="V86" s="131"/>
    </row>
    <row r="87" spans="1:23" s="82" customFormat="1" ht="15">
      <c r="A87" s="125" t="s">
        <v>321</v>
      </c>
      <c r="B87" s="125" t="s">
        <v>411</v>
      </c>
      <c r="C87" s="128">
        <v>1.2170000000000001</v>
      </c>
      <c r="D87" s="128">
        <v>1.37</v>
      </c>
      <c r="E87" s="128">
        <v>1.6579999999999999</v>
      </c>
      <c r="F87" s="128">
        <v>1.659</v>
      </c>
      <c r="G87" s="128">
        <v>1.66</v>
      </c>
      <c r="H87" s="128">
        <v>1.659</v>
      </c>
      <c r="I87" s="128">
        <v>1.659</v>
      </c>
      <c r="J87" s="129">
        <v>2.9</v>
      </c>
      <c r="K87" s="125">
        <v>4</v>
      </c>
      <c r="L87" s="125" t="s">
        <v>361</v>
      </c>
      <c r="M87" s="125" t="s">
        <v>137</v>
      </c>
      <c r="N87" s="125" t="s">
        <v>42</v>
      </c>
      <c r="O87" s="130">
        <v>0</v>
      </c>
      <c r="P87" s="131"/>
      <c r="Q87" s="131"/>
      <c r="R87" s="131"/>
      <c r="S87" s="131"/>
      <c r="T87" s="131"/>
      <c r="U87" s="131"/>
      <c r="V87" s="131"/>
    </row>
    <row r="88" spans="1:23" s="82" customFormat="1" ht="15">
      <c r="A88" s="125" t="s">
        <v>322</v>
      </c>
      <c r="B88" s="125" t="s">
        <v>140</v>
      </c>
      <c r="C88" s="128">
        <v>3.7810000000000001</v>
      </c>
      <c r="D88" s="128">
        <v>3.879</v>
      </c>
      <c r="E88" s="128">
        <v>3.78</v>
      </c>
      <c r="F88" s="128">
        <v>3.8690000000000002</v>
      </c>
      <c r="G88" s="128">
        <v>3.8690000000000002</v>
      </c>
      <c r="H88" s="128">
        <v>3.8690000000000002</v>
      </c>
      <c r="I88" s="128">
        <v>3.8690000000000002</v>
      </c>
      <c r="J88" s="129">
        <v>23.4</v>
      </c>
      <c r="K88" s="125">
        <v>4</v>
      </c>
      <c r="L88" s="125" t="s">
        <v>361</v>
      </c>
      <c r="M88" s="125" t="s">
        <v>141</v>
      </c>
      <c r="N88" s="125" t="s">
        <v>42</v>
      </c>
      <c r="O88" s="130">
        <v>0</v>
      </c>
      <c r="P88" s="131"/>
      <c r="Q88" s="131"/>
      <c r="R88" s="131"/>
      <c r="S88" s="131"/>
      <c r="T88" s="131"/>
      <c r="U88" s="131"/>
      <c r="V88" s="131"/>
    </row>
    <row r="89" spans="1:23" s="82" customFormat="1" ht="15">
      <c r="A89" s="125" t="s">
        <v>323</v>
      </c>
      <c r="B89" s="125" t="s">
        <v>143</v>
      </c>
      <c r="C89" s="128">
        <v>1.2629999999999999</v>
      </c>
      <c r="D89" s="128">
        <v>0.94599999999999995</v>
      </c>
      <c r="E89" s="128">
        <v>0.753</v>
      </c>
      <c r="F89" s="128">
        <v>0.97599999999999998</v>
      </c>
      <c r="G89" s="128">
        <v>0.97599999999999998</v>
      </c>
      <c r="H89" s="128">
        <v>1.141</v>
      </c>
      <c r="I89" s="128">
        <v>1.141</v>
      </c>
      <c r="J89" s="129">
        <v>2.2000000000000002</v>
      </c>
      <c r="K89" s="125">
        <v>2</v>
      </c>
      <c r="L89" s="125" t="s">
        <v>131</v>
      </c>
      <c r="M89" s="125" t="s">
        <v>32</v>
      </c>
      <c r="N89" s="125" t="s">
        <v>42</v>
      </c>
      <c r="O89" s="130">
        <v>0</v>
      </c>
      <c r="P89" s="131"/>
      <c r="Q89" s="131"/>
      <c r="R89" s="131"/>
      <c r="S89" s="131"/>
      <c r="T89" s="131"/>
      <c r="U89" s="131"/>
      <c r="V89" s="131"/>
    </row>
    <row r="90" spans="1:23" s="82" customFormat="1" ht="15">
      <c r="A90" s="125" t="s">
        <v>318</v>
      </c>
      <c r="B90" s="125" t="s">
        <v>317</v>
      </c>
      <c r="C90" s="128">
        <v>1.29</v>
      </c>
      <c r="D90" s="128">
        <v>1.28</v>
      </c>
      <c r="E90" s="128">
        <v>1.3280000000000001</v>
      </c>
      <c r="F90" s="128">
        <v>1.2549999999999999</v>
      </c>
      <c r="G90" s="128">
        <v>1.3560000000000001</v>
      </c>
      <c r="H90" s="128">
        <v>0.752</v>
      </c>
      <c r="I90" s="128">
        <v>0.502</v>
      </c>
      <c r="J90" s="129">
        <v>2.2999999999999998</v>
      </c>
      <c r="K90" s="125">
        <v>4</v>
      </c>
      <c r="L90" s="125" t="s">
        <v>361</v>
      </c>
      <c r="M90" s="125" t="s">
        <v>22</v>
      </c>
      <c r="N90" s="125" t="s">
        <v>42</v>
      </c>
      <c r="O90" s="130">
        <v>0</v>
      </c>
      <c r="P90" s="131"/>
      <c r="Q90" s="131"/>
      <c r="R90" s="131"/>
      <c r="S90" s="131"/>
      <c r="T90" s="131"/>
      <c r="U90" s="131"/>
      <c r="V90" s="131"/>
    </row>
    <row r="91" spans="1:23" s="82" customFormat="1" ht="15">
      <c r="A91" s="162" t="s">
        <v>409</v>
      </c>
      <c r="B91" s="125" t="s">
        <v>410</v>
      </c>
      <c r="C91" s="128">
        <v>0.5</v>
      </c>
      <c r="D91" s="128">
        <v>0.5</v>
      </c>
      <c r="E91" s="128">
        <v>0.5</v>
      </c>
      <c r="F91" s="128">
        <v>0.5</v>
      </c>
      <c r="G91" s="128">
        <v>0.5</v>
      </c>
      <c r="H91" s="128">
        <v>0.5</v>
      </c>
      <c r="I91" s="128">
        <v>0.5</v>
      </c>
      <c r="J91" s="129">
        <v>1.1000000000000001</v>
      </c>
      <c r="K91" s="125">
        <v>2</v>
      </c>
      <c r="L91" s="125" t="s">
        <v>131</v>
      </c>
      <c r="M91" s="125" t="s">
        <v>29</v>
      </c>
      <c r="N91" s="125" t="s">
        <v>42</v>
      </c>
      <c r="O91" s="130">
        <v>0</v>
      </c>
      <c r="P91" s="131"/>
      <c r="Q91" s="131"/>
      <c r="R91" s="131"/>
      <c r="S91" s="131"/>
      <c r="T91" s="131"/>
      <c r="U91" s="131"/>
      <c r="V91" s="131"/>
    </row>
    <row r="92" spans="1:23" s="82" customFormat="1" ht="15">
      <c r="A92" s="125" t="s">
        <v>316</v>
      </c>
      <c r="B92" s="125" t="s">
        <v>134</v>
      </c>
      <c r="C92" s="128">
        <v>3.5999999999999997E-2</v>
      </c>
      <c r="D92" s="128">
        <v>3.6999999999999998E-2</v>
      </c>
      <c r="E92" s="128">
        <v>0.05</v>
      </c>
      <c r="F92" s="128">
        <v>0.05</v>
      </c>
      <c r="G92" s="128">
        <v>0.05</v>
      </c>
      <c r="H92" s="128">
        <v>0.05</v>
      </c>
      <c r="I92" s="128">
        <v>0.05</v>
      </c>
      <c r="J92" s="129">
        <v>0.3</v>
      </c>
      <c r="K92" s="125">
        <v>4</v>
      </c>
      <c r="L92" s="125" t="s">
        <v>361</v>
      </c>
      <c r="M92" s="125" t="s">
        <v>135</v>
      </c>
      <c r="N92" s="125" t="s">
        <v>43</v>
      </c>
      <c r="O92" s="130">
        <v>0</v>
      </c>
      <c r="P92" s="131"/>
      <c r="Q92" s="131"/>
      <c r="R92" s="131"/>
      <c r="S92" s="131"/>
      <c r="T92" s="131"/>
      <c r="U92" s="131"/>
      <c r="V92" s="131"/>
      <c r="W92" s="131"/>
    </row>
    <row r="93" spans="1:23" s="82" customFormat="1" ht="15">
      <c r="A93" s="146" t="s">
        <v>321</v>
      </c>
      <c r="B93" s="125" t="s">
        <v>406</v>
      </c>
      <c r="C93" s="128">
        <v>0.3</v>
      </c>
      <c r="D93" s="128">
        <v>0.3</v>
      </c>
      <c r="E93" s="128">
        <v>0.3</v>
      </c>
      <c r="F93" s="128">
        <v>0.3</v>
      </c>
      <c r="G93" s="128">
        <v>0.3</v>
      </c>
      <c r="H93" s="128">
        <v>0.3</v>
      </c>
      <c r="I93" s="128">
        <v>0.3</v>
      </c>
      <c r="J93" s="129">
        <v>0.5</v>
      </c>
      <c r="K93" s="125">
        <v>4</v>
      </c>
      <c r="L93" s="125" t="s">
        <v>361</v>
      </c>
      <c r="M93" s="125" t="s">
        <v>137</v>
      </c>
      <c r="N93" s="125" t="s">
        <v>43</v>
      </c>
      <c r="O93" s="130">
        <v>0</v>
      </c>
      <c r="P93" s="131"/>
      <c r="Q93" s="131"/>
      <c r="R93" s="131"/>
      <c r="S93" s="131"/>
      <c r="T93" s="131"/>
      <c r="U93" s="131"/>
      <c r="V93" s="131"/>
    </row>
    <row r="94" spans="1:23" s="82" customFormat="1" ht="15">
      <c r="A94" s="162" t="s">
        <v>408</v>
      </c>
      <c r="B94" s="125" t="s">
        <v>407</v>
      </c>
      <c r="C94" s="128">
        <v>0.63600000000000001</v>
      </c>
      <c r="D94" s="128">
        <v>0</v>
      </c>
      <c r="E94" s="128">
        <v>0</v>
      </c>
      <c r="F94" s="128">
        <v>0</v>
      </c>
      <c r="G94" s="128">
        <v>0</v>
      </c>
      <c r="H94" s="128">
        <v>0</v>
      </c>
      <c r="I94" s="128">
        <v>0</v>
      </c>
      <c r="J94" s="129">
        <v>0</v>
      </c>
      <c r="K94" s="125">
        <v>4</v>
      </c>
      <c r="L94" s="125" t="s">
        <v>361</v>
      </c>
      <c r="M94" s="125" t="s">
        <v>73</v>
      </c>
      <c r="N94" s="125" t="s">
        <v>43</v>
      </c>
      <c r="O94" s="130">
        <v>0</v>
      </c>
      <c r="P94" s="131"/>
      <c r="Q94" s="131"/>
      <c r="R94" s="131"/>
      <c r="S94" s="131"/>
      <c r="T94" s="131"/>
      <c r="U94" s="131"/>
      <c r="V94" s="131"/>
    </row>
    <row r="95" spans="1:23" s="82" customFormat="1" ht="15">
      <c r="A95" s="125" t="s">
        <v>146</v>
      </c>
      <c r="B95" s="125" t="s">
        <v>147</v>
      </c>
      <c r="C95" s="128">
        <v>0.41299999999999998</v>
      </c>
      <c r="D95" s="128">
        <v>0.35</v>
      </c>
      <c r="E95" s="128">
        <v>0.22500000000000001</v>
      </c>
      <c r="F95" s="128">
        <v>0.22500000000000001</v>
      </c>
      <c r="G95" s="128">
        <v>0.22500000000000001</v>
      </c>
      <c r="H95" s="128">
        <v>0.22500000000000001</v>
      </c>
      <c r="I95" s="128">
        <v>0.22500000000000001</v>
      </c>
      <c r="J95" s="129">
        <v>0</v>
      </c>
      <c r="K95" s="125">
        <v>4</v>
      </c>
      <c r="L95" s="125" t="s">
        <v>361</v>
      </c>
      <c r="M95" s="125" t="s">
        <v>7</v>
      </c>
      <c r="N95" s="125" t="s">
        <v>43</v>
      </c>
      <c r="O95" s="130">
        <v>0</v>
      </c>
      <c r="P95" s="131"/>
      <c r="Q95" s="131"/>
      <c r="R95" s="131"/>
      <c r="S95" s="131"/>
      <c r="T95" s="131"/>
      <c r="U95" s="131"/>
      <c r="V95" s="131"/>
    </row>
    <row r="96" spans="1:23" s="82" customFormat="1" ht="15">
      <c r="A96" s="125" t="s">
        <v>146</v>
      </c>
      <c r="B96" s="125" t="s">
        <v>324</v>
      </c>
      <c r="C96" s="128">
        <v>0.4</v>
      </c>
      <c r="D96" s="128">
        <v>0.1</v>
      </c>
      <c r="E96" s="128">
        <v>0.35</v>
      </c>
      <c r="F96" s="128">
        <v>0.35</v>
      </c>
      <c r="G96" s="128">
        <v>0.35</v>
      </c>
      <c r="H96" s="128">
        <v>0.35</v>
      </c>
      <c r="I96" s="128">
        <v>0.35</v>
      </c>
      <c r="J96" s="129">
        <v>7.0458260526464089E-2</v>
      </c>
      <c r="K96" s="125">
        <v>4</v>
      </c>
      <c r="L96" s="125" t="s">
        <v>361</v>
      </c>
      <c r="M96" s="125" t="s">
        <v>139</v>
      </c>
      <c r="N96" s="125" t="s">
        <v>43</v>
      </c>
      <c r="O96" s="130">
        <v>0</v>
      </c>
      <c r="P96" s="131"/>
      <c r="Q96" s="131"/>
      <c r="R96" s="131"/>
      <c r="S96" s="131"/>
      <c r="T96" s="131"/>
      <c r="U96" s="131"/>
      <c r="V96" s="131"/>
    </row>
    <row r="97" spans="1:22" s="82" customFormat="1" ht="15">
      <c r="A97" s="125" t="s">
        <v>146</v>
      </c>
      <c r="B97" s="125" t="s">
        <v>149</v>
      </c>
      <c r="C97" s="128">
        <v>3.125</v>
      </c>
      <c r="D97" s="128">
        <v>2.4489999999999998</v>
      </c>
      <c r="E97" s="128">
        <v>2.0710000000000002</v>
      </c>
      <c r="F97" s="128">
        <v>3.218</v>
      </c>
      <c r="G97" s="128">
        <v>3.218</v>
      </c>
      <c r="H97" s="128">
        <v>3.2879999999999998</v>
      </c>
      <c r="I97" s="128">
        <v>3.2879999999999998</v>
      </c>
      <c r="J97" s="129">
        <v>0.4</v>
      </c>
      <c r="K97" s="125">
        <v>4</v>
      </c>
      <c r="L97" s="125" t="s">
        <v>361</v>
      </c>
      <c r="M97" s="125" t="s">
        <v>7</v>
      </c>
      <c r="N97" s="125" t="s">
        <v>43</v>
      </c>
      <c r="O97" s="130">
        <v>100</v>
      </c>
      <c r="P97" s="66">
        <f t="shared" ref="P97:V97" si="28">+$O97/100*C97</f>
        <v>3.125</v>
      </c>
      <c r="Q97" s="66">
        <f t="shared" si="28"/>
        <v>2.4489999999999998</v>
      </c>
      <c r="R97" s="66">
        <f t="shared" si="28"/>
        <v>2.0710000000000002</v>
      </c>
      <c r="S97" s="66">
        <f t="shared" si="28"/>
        <v>3.218</v>
      </c>
      <c r="T97" s="66">
        <f t="shared" si="28"/>
        <v>3.218</v>
      </c>
      <c r="U97" s="66">
        <f t="shared" si="28"/>
        <v>3.2879999999999998</v>
      </c>
      <c r="V97" s="66">
        <f t="shared" si="28"/>
        <v>3.2879999999999998</v>
      </c>
    </row>
    <row r="98" spans="1:22" s="82" customFormat="1" ht="15">
      <c r="A98" s="125" t="s">
        <v>325</v>
      </c>
      <c r="B98" s="125" t="s">
        <v>148</v>
      </c>
      <c r="C98" s="128">
        <v>3.01</v>
      </c>
      <c r="D98" s="128">
        <v>3.04</v>
      </c>
      <c r="E98" s="128">
        <v>2.96</v>
      </c>
      <c r="F98" s="128">
        <v>3.16</v>
      </c>
      <c r="G98" s="128">
        <v>3.16</v>
      </c>
      <c r="H98" s="128">
        <v>3.16</v>
      </c>
      <c r="I98" s="128">
        <v>3.16</v>
      </c>
      <c r="J98" s="129">
        <v>1.3</v>
      </c>
      <c r="K98" s="125">
        <v>4</v>
      </c>
      <c r="L98" s="125" t="s">
        <v>361</v>
      </c>
      <c r="M98" s="125" t="s">
        <v>7</v>
      </c>
      <c r="N98" s="125" t="s">
        <v>43</v>
      </c>
      <c r="O98" s="130">
        <v>100</v>
      </c>
      <c r="P98" s="66">
        <f t="shared" ref="P98:T98" si="29">+$O98/100*C98</f>
        <v>3.01</v>
      </c>
      <c r="Q98" s="66">
        <f t="shared" si="29"/>
        <v>3.04</v>
      </c>
      <c r="R98" s="66">
        <f t="shared" si="29"/>
        <v>2.96</v>
      </c>
      <c r="S98" s="66">
        <f t="shared" si="29"/>
        <v>3.16</v>
      </c>
      <c r="T98" s="66">
        <f t="shared" si="29"/>
        <v>3.16</v>
      </c>
      <c r="U98" s="66">
        <f t="shared" ref="U98" si="30">+$O98/100*H98</f>
        <v>3.16</v>
      </c>
      <c r="V98" s="66">
        <f t="shared" ref="V98" si="31">+$O98/100*I98</f>
        <v>3.16</v>
      </c>
    </row>
    <row r="99" spans="1:22" s="82" customFormat="1" ht="15">
      <c r="A99" s="125" t="s">
        <v>326</v>
      </c>
      <c r="B99" s="125" t="s">
        <v>150</v>
      </c>
      <c r="C99" s="128">
        <v>2.2170000000000001</v>
      </c>
      <c r="D99" s="128">
        <v>2.4</v>
      </c>
      <c r="E99" s="128">
        <v>2.4649999999999999</v>
      </c>
      <c r="F99" s="128">
        <v>2.2149999999999999</v>
      </c>
      <c r="G99" s="128">
        <v>2.2149999999999999</v>
      </c>
      <c r="H99" s="128">
        <v>2.2149999999999999</v>
      </c>
      <c r="I99" s="128">
        <v>2.2149999999999999</v>
      </c>
      <c r="J99" s="129">
        <v>5.5</v>
      </c>
      <c r="K99" s="125">
        <v>4</v>
      </c>
      <c r="L99" s="125" t="s">
        <v>361</v>
      </c>
      <c r="M99" s="125" t="s">
        <v>151</v>
      </c>
      <c r="N99" s="125" t="s">
        <v>43</v>
      </c>
      <c r="O99" s="130">
        <v>0</v>
      </c>
      <c r="P99" s="131"/>
      <c r="Q99" s="131"/>
      <c r="R99" s="131"/>
      <c r="S99" s="131"/>
      <c r="T99" s="131"/>
      <c r="U99" s="131"/>
      <c r="V99" s="131"/>
    </row>
    <row r="100" spans="1:22" s="82" customFormat="1" ht="15">
      <c r="A100" s="125" t="s">
        <v>327</v>
      </c>
      <c r="B100" s="125" t="s">
        <v>415</v>
      </c>
      <c r="C100" s="128">
        <v>1.29</v>
      </c>
      <c r="D100" s="128">
        <v>1.31</v>
      </c>
      <c r="E100" s="128">
        <v>0.87</v>
      </c>
      <c r="F100" s="128">
        <v>0.65</v>
      </c>
      <c r="G100" s="128">
        <v>0.64999999999999991</v>
      </c>
      <c r="H100" s="128">
        <v>0.115</v>
      </c>
      <c r="I100" s="128">
        <v>0</v>
      </c>
      <c r="J100" s="129">
        <f>0.00197511356903022*100</f>
        <v>0.19751135690302202</v>
      </c>
      <c r="K100" s="125">
        <v>4</v>
      </c>
      <c r="L100" s="125" t="s">
        <v>361</v>
      </c>
      <c r="M100" s="125" t="s">
        <v>151</v>
      </c>
      <c r="N100" s="125" t="s">
        <v>43</v>
      </c>
      <c r="O100" s="130">
        <v>0</v>
      </c>
      <c r="P100" s="131"/>
      <c r="Q100" s="131"/>
      <c r="R100" s="131"/>
      <c r="S100" s="131"/>
      <c r="T100" s="131"/>
      <c r="U100" s="131"/>
      <c r="V100" s="131"/>
    </row>
    <row r="101" spans="1:22" s="82" customFormat="1" ht="15">
      <c r="A101" s="125" t="s">
        <v>327</v>
      </c>
      <c r="B101" s="125" t="s">
        <v>414</v>
      </c>
      <c r="C101" s="128">
        <v>9.8689999999999998</v>
      </c>
      <c r="D101" s="128">
        <v>13.787000000000001</v>
      </c>
      <c r="E101" s="128">
        <v>6.4809999999999999</v>
      </c>
      <c r="F101" s="128">
        <v>3.0550000000000002</v>
      </c>
      <c r="G101" s="128">
        <v>2.7959999999999998</v>
      </c>
      <c r="H101" s="128">
        <v>3.4060000000000001</v>
      </c>
      <c r="I101" s="128">
        <v>2.9060000000000001</v>
      </c>
      <c r="J101" s="129">
        <v>1.2</v>
      </c>
      <c r="K101" s="125">
        <v>4</v>
      </c>
      <c r="L101" s="125" t="s">
        <v>361</v>
      </c>
      <c r="M101" s="125" t="s">
        <v>396</v>
      </c>
      <c r="N101" s="125" t="s">
        <v>43</v>
      </c>
      <c r="O101" s="130">
        <v>0</v>
      </c>
      <c r="P101" s="131"/>
      <c r="Q101" s="131"/>
      <c r="R101" s="131"/>
      <c r="S101" s="131"/>
      <c r="T101" s="131"/>
      <c r="U101" s="131"/>
      <c r="V101" s="131"/>
    </row>
    <row r="102" spans="1:22">
      <c r="A102" s="4" t="s">
        <v>417</v>
      </c>
      <c r="B102" s="4" t="s">
        <v>416</v>
      </c>
      <c r="C102" s="5">
        <v>1.488</v>
      </c>
      <c r="D102" s="4">
        <v>1.605</v>
      </c>
      <c r="E102" s="4">
        <v>12.1</v>
      </c>
      <c r="F102" s="5">
        <v>2.2999999999999998</v>
      </c>
      <c r="G102" s="5">
        <v>2.9</v>
      </c>
      <c r="H102" s="5">
        <v>0</v>
      </c>
      <c r="I102" s="4">
        <v>0</v>
      </c>
      <c r="J102" s="129">
        <v>2.2999999999999998</v>
      </c>
      <c r="K102" s="4">
        <v>4</v>
      </c>
      <c r="L102" s="125" t="s">
        <v>361</v>
      </c>
      <c r="M102" s="125" t="s">
        <v>396</v>
      </c>
      <c r="N102" s="125" t="s">
        <v>43</v>
      </c>
      <c r="O102" s="13">
        <v>0</v>
      </c>
    </row>
    <row r="103" spans="1:22">
      <c r="A103" s="4" t="s">
        <v>418</v>
      </c>
      <c r="B103" s="4" t="s">
        <v>419</v>
      </c>
      <c r="C103" s="5">
        <v>0.28000000000000003</v>
      </c>
      <c r="D103" s="4">
        <v>2.2799999999999998</v>
      </c>
      <c r="E103" s="4">
        <v>3.1949999999999998</v>
      </c>
      <c r="F103" s="4">
        <v>4.6849999999999996</v>
      </c>
      <c r="G103" s="4">
        <v>5.585</v>
      </c>
      <c r="H103" s="4">
        <v>9.99</v>
      </c>
      <c r="I103" s="5">
        <v>8.4499999999999993</v>
      </c>
      <c r="J103" s="129">
        <v>0.1</v>
      </c>
      <c r="K103" s="4">
        <v>4</v>
      </c>
      <c r="L103" s="125" t="s">
        <v>361</v>
      </c>
      <c r="M103" s="125" t="s">
        <v>396</v>
      </c>
      <c r="N103" s="125" t="s">
        <v>43</v>
      </c>
      <c r="O103" s="13">
        <v>0</v>
      </c>
    </row>
    <row r="104" spans="1:22" s="3" customFormat="1" ht="15">
      <c r="A104" s="82"/>
      <c r="B104" s="3" t="s">
        <v>469</v>
      </c>
      <c r="C104" s="12">
        <f t="shared" ref="C104:I104" si="32">SUM(C74:C103)</f>
        <v>70.521999999999991</v>
      </c>
      <c r="D104" s="12">
        <f t="shared" si="32"/>
        <v>76.268000000000001</v>
      </c>
      <c r="E104" s="12">
        <f t="shared" si="32"/>
        <v>78.518000000000001</v>
      </c>
      <c r="F104" s="12">
        <f t="shared" si="32"/>
        <v>62.408999999999992</v>
      </c>
      <c r="G104" s="12">
        <f t="shared" si="32"/>
        <v>63.577999999999989</v>
      </c>
      <c r="H104" s="12">
        <f t="shared" si="32"/>
        <v>64.751999999999995</v>
      </c>
      <c r="I104" s="12">
        <f t="shared" si="32"/>
        <v>62.182000000000002</v>
      </c>
      <c r="L104" s="1"/>
      <c r="O104" s="69"/>
      <c r="P104" s="6">
        <f t="shared" ref="P104:V104" si="33">+SUM(P74:P103)</f>
        <v>6.1349999999999998</v>
      </c>
      <c r="Q104" s="6">
        <f t="shared" si="33"/>
        <v>5.4889999999999999</v>
      </c>
      <c r="R104" s="6">
        <f t="shared" si="33"/>
        <v>5.0310000000000006</v>
      </c>
      <c r="S104" s="6">
        <f t="shared" si="33"/>
        <v>6.3780000000000001</v>
      </c>
      <c r="T104" s="6">
        <f t="shared" si="33"/>
        <v>6.3780000000000001</v>
      </c>
      <c r="U104" s="6">
        <f t="shared" si="33"/>
        <v>6.4480000000000004</v>
      </c>
      <c r="V104" s="6">
        <f t="shared" si="33"/>
        <v>6.4480000000000004</v>
      </c>
    </row>
    <row r="105" spans="1:22" s="1" customFormat="1">
      <c r="C105" s="58"/>
      <c r="D105" s="58"/>
      <c r="E105" s="58"/>
      <c r="F105" s="58"/>
      <c r="G105" s="58"/>
      <c r="H105" s="58"/>
      <c r="I105" s="58"/>
      <c r="O105" s="68"/>
      <c r="P105" s="65"/>
      <c r="Q105" s="65"/>
      <c r="R105" s="65"/>
      <c r="S105" s="65"/>
      <c r="T105" s="65"/>
      <c r="U105" s="65"/>
      <c r="V105" s="65"/>
    </row>
    <row r="106" spans="1:22" s="2" customFormat="1" ht="15">
      <c r="A106" s="16"/>
      <c r="B106" s="15" t="s">
        <v>607</v>
      </c>
      <c r="C106" s="16"/>
      <c r="D106" s="16"/>
      <c r="E106" s="16"/>
      <c r="F106" s="16"/>
      <c r="G106" s="16"/>
      <c r="H106" s="16"/>
      <c r="I106" s="16"/>
      <c r="J106" s="16"/>
      <c r="K106" s="16"/>
      <c r="L106" s="17"/>
      <c r="M106" s="16"/>
      <c r="N106" s="16"/>
      <c r="O106" s="16"/>
      <c r="P106" s="67"/>
      <c r="Q106" s="67"/>
      <c r="R106" s="67"/>
      <c r="S106" s="67"/>
      <c r="T106" s="67"/>
      <c r="U106" s="67"/>
      <c r="V106" s="67"/>
    </row>
    <row r="107" spans="1:22" s="3" customFormat="1" ht="15">
      <c r="A107" s="82" t="s">
        <v>377</v>
      </c>
      <c r="B107" s="3" t="s">
        <v>2</v>
      </c>
      <c r="C107" s="158"/>
      <c r="D107" s="158"/>
      <c r="E107" s="158"/>
      <c r="F107" s="158"/>
      <c r="G107" s="158"/>
      <c r="H107" s="158"/>
      <c r="I107" s="158"/>
      <c r="L107" s="1"/>
      <c r="O107" s="69"/>
      <c r="P107" s="65">
        <f t="shared" ref="P107:V107" si="34">+SUM(P108:P112)</f>
        <v>2.5459999999999998</v>
      </c>
      <c r="Q107" s="65">
        <f t="shared" si="34"/>
        <v>2.4079999999999999</v>
      </c>
      <c r="R107" s="65">
        <f t="shared" si="34"/>
        <v>2.2839999999999998</v>
      </c>
      <c r="S107" s="65">
        <f t="shared" si="34"/>
        <v>2.2839999999999998</v>
      </c>
      <c r="T107" s="65">
        <f t="shared" si="34"/>
        <v>2.2839999999999998</v>
      </c>
      <c r="U107" s="65">
        <f t="shared" si="34"/>
        <v>2.2839999999999998</v>
      </c>
      <c r="V107" s="65">
        <f t="shared" si="34"/>
        <v>2.2839999999999998</v>
      </c>
    </row>
    <row r="108" spans="1:22" s="7" customFormat="1">
      <c r="A108" s="126" t="s">
        <v>402</v>
      </c>
      <c r="B108" s="7" t="s">
        <v>3</v>
      </c>
      <c r="C108" s="66">
        <v>1.956</v>
      </c>
      <c r="D108" s="66">
        <v>1.84</v>
      </c>
      <c r="E108" s="66">
        <v>1.605</v>
      </c>
      <c r="F108" s="66">
        <v>2.1880000000000002</v>
      </c>
      <c r="G108" s="66">
        <v>1.488</v>
      </c>
      <c r="H108" s="66">
        <v>1.488</v>
      </c>
      <c r="I108" s="66">
        <v>1.488</v>
      </c>
      <c r="J108" s="10">
        <v>100</v>
      </c>
      <c r="K108" s="10">
        <v>6</v>
      </c>
      <c r="L108" s="10" t="s">
        <v>186</v>
      </c>
      <c r="M108" s="10" t="s">
        <v>4</v>
      </c>
      <c r="N108" s="10" t="s">
        <v>43</v>
      </c>
      <c r="O108" s="70">
        <v>0</v>
      </c>
      <c r="P108" s="66"/>
      <c r="Q108" s="66"/>
      <c r="R108" s="66"/>
      <c r="S108" s="66"/>
      <c r="T108" s="66"/>
      <c r="U108" s="66"/>
      <c r="V108" s="66"/>
    </row>
    <row r="109" spans="1:22" s="7" customFormat="1" ht="15" customHeight="1">
      <c r="A109" s="126" t="s">
        <v>402</v>
      </c>
      <c r="B109" s="7" t="s">
        <v>483</v>
      </c>
      <c r="C109" s="66">
        <v>0.66</v>
      </c>
      <c r="D109" s="66">
        <v>0.68700000000000006</v>
      </c>
      <c r="E109" s="66">
        <v>0.95599999999999996</v>
      </c>
      <c r="F109" s="66">
        <v>1.173</v>
      </c>
      <c r="G109" s="66">
        <v>0.95199999999999996</v>
      </c>
      <c r="H109" s="66">
        <v>1.1719999999999999</v>
      </c>
      <c r="I109" s="66">
        <v>1.1719999999999999</v>
      </c>
      <c r="J109" s="10">
        <v>20</v>
      </c>
      <c r="K109" s="10">
        <v>4</v>
      </c>
      <c r="L109" s="125" t="s">
        <v>361</v>
      </c>
      <c r="M109" s="10" t="s">
        <v>5</v>
      </c>
      <c r="N109" s="10" t="s">
        <v>42</v>
      </c>
      <c r="O109" s="70">
        <v>0</v>
      </c>
      <c r="P109" s="66"/>
      <c r="Q109" s="66"/>
      <c r="R109" s="66"/>
      <c r="S109" s="66"/>
      <c r="T109" s="66"/>
      <c r="U109" s="66"/>
      <c r="V109" s="66"/>
    </row>
    <row r="110" spans="1:22" s="7" customFormat="1" ht="15" customHeight="1">
      <c r="A110" s="126" t="s">
        <v>402</v>
      </c>
      <c r="B110" s="7" t="s">
        <v>484</v>
      </c>
      <c r="C110" s="66">
        <v>0.16</v>
      </c>
      <c r="D110" s="66">
        <v>0.14000000000000001</v>
      </c>
      <c r="E110" s="66">
        <v>0.14000000000000001</v>
      </c>
      <c r="F110" s="66">
        <v>0.14000000000000001</v>
      </c>
      <c r="G110" s="66">
        <v>0.14000000000000001</v>
      </c>
      <c r="H110" s="66">
        <v>0.14000000000000001</v>
      </c>
      <c r="I110" s="66">
        <v>0.14000000000000001</v>
      </c>
      <c r="J110" s="10">
        <v>20</v>
      </c>
      <c r="K110" s="10">
        <v>4</v>
      </c>
      <c r="L110" s="125" t="s">
        <v>361</v>
      </c>
      <c r="M110" s="10" t="s">
        <v>7</v>
      </c>
      <c r="N110" s="10" t="s">
        <v>42</v>
      </c>
      <c r="O110" s="70">
        <v>0</v>
      </c>
      <c r="P110" s="66"/>
      <c r="Q110" s="66"/>
      <c r="R110" s="66"/>
      <c r="S110" s="66"/>
      <c r="T110" s="66"/>
      <c r="U110" s="66"/>
      <c r="V110" s="66"/>
    </row>
    <row r="111" spans="1:22" s="7" customFormat="1">
      <c r="A111" s="126" t="s">
        <v>403</v>
      </c>
      <c r="B111" s="7" t="s">
        <v>6</v>
      </c>
      <c r="C111" s="66">
        <v>2.5459999999999998</v>
      </c>
      <c r="D111" s="66">
        <v>2.4079999999999999</v>
      </c>
      <c r="E111" s="66">
        <v>2.2839999999999998</v>
      </c>
      <c r="F111" s="66">
        <v>2.2839999999999998</v>
      </c>
      <c r="G111" s="66">
        <v>2.2839999999999998</v>
      </c>
      <c r="H111" s="66">
        <v>2.2839999999999998</v>
      </c>
      <c r="I111" s="66">
        <v>2.2839999999999998</v>
      </c>
      <c r="J111" s="10">
        <v>25</v>
      </c>
      <c r="K111" s="10">
        <v>6</v>
      </c>
      <c r="L111" s="10" t="s">
        <v>186</v>
      </c>
      <c r="M111" s="10" t="s">
        <v>7</v>
      </c>
      <c r="N111" s="10" t="s">
        <v>42</v>
      </c>
      <c r="O111" s="70">
        <v>25</v>
      </c>
      <c r="P111" s="66">
        <f t="shared" ref="P111:T111" si="35">+$O111/$J111*C111</f>
        <v>2.5459999999999998</v>
      </c>
      <c r="Q111" s="66">
        <f t="shared" si="35"/>
        <v>2.4079999999999999</v>
      </c>
      <c r="R111" s="66">
        <f t="shared" si="35"/>
        <v>2.2839999999999998</v>
      </c>
      <c r="S111" s="66">
        <f t="shared" si="35"/>
        <v>2.2839999999999998</v>
      </c>
      <c r="T111" s="66">
        <f t="shared" si="35"/>
        <v>2.2839999999999998</v>
      </c>
      <c r="U111" s="66">
        <f t="shared" ref="U111" si="36">+$O111/$J111*H111</f>
        <v>2.2839999999999998</v>
      </c>
      <c r="V111" s="66">
        <f t="shared" ref="V111" si="37">+$O111/$J111*I111</f>
        <v>2.2839999999999998</v>
      </c>
    </row>
    <row r="112" spans="1:22" s="7" customFormat="1">
      <c r="A112" s="126" t="s">
        <v>403</v>
      </c>
      <c r="B112" s="7" t="s">
        <v>8</v>
      </c>
      <c r="C112" s="66">
        <v>5.2030000000000003</v>
      </c>
      <c r="D112" s="66">
        <v>5.0810000000000004</v>
      </c>
      <c r="E112" s="66">
        <v>4.8769999999999998</v>
      </c>
      <c r="F112" s="66">
        <v>4.8710000000000004</v>
      </c>
      <c r="G112" s="66">
        <v>4.8710000000000004</v>
      </c>
      <c r="H112" s="66">
        <v>4.8710000000000004</v>
      </c>
      <c r="I112" s="66">
        <v>4.8710000000000004</v>
      </c>
      <c r="J112" s="10">
        <v>3.5</v>
      </c>
      <c r="K112" s="10">
        <v>11</v>
      </c>
      <c r="L112" s="125" t="s">
        <v>61</v>
      </c>
      <c r="M112" s="10" t="s">
        <v>9</v>
      </c>
      <c r="N112" s="10" t="s">
        <v>42</v>
      </c>
      <c r="O112" s="70">
        <v>0</v>
      </c>
      <c r="P112" s="66"/>
      <c r="Q112" s="66"/>
      <c r="R112" s="66"/>
      <c r="S112" s="66"/>
      <c r="T112" s="66"/>
      <c r="U112" s="66"/>
      <c r="V112" s="66"/>
    </row>
    <row r="113" spans="1:22" s="82" customFormat="1" ht="15">
      <c r="A113" s="157" t="s">
        <v>378</v>
      </c>
      <c r="B113" s="131" t="s">
        <v>380</v>
      </c>
      <c r="C113" s="132"/>
      <c r="D113" s="132"/>
      <c r="E113" s="132"/>
      <c r="F113" s="132"/>
      <c r="G113" s="132"/>
      <c r="H113" s="132"/>
      <c r="I113" s="132"/>
      <c r="J113" s="132"/>
      <c r="L113" s="23"/>
      <c r="O113" s="133"/>
      <c r="P113" s="153">
        <f t="shared" ref="P113:V113" si="38">+SUM(P114:P161)</f>
        <v>431.27207428571438</v>
      </c>
      <c r="Q113" s="153">
        <f t="shared" si="38"/>
        <v>444.70803000000006</v>
      </c>
      <c r="R113" s="153">
        <f t="shared" si="38"/>
        <v>433.30249999999995</v>
      </c>
      <c r="S113" s="153">
        <f t="shared" si="38"/>
        <v>434.14949999999999</v>
      </c>
      <c r="T113" s="153">
        <f t="shared" si="38"/>
        <v>437.10599999999988</v>
      </c>
      <c r="U113" s="153">
        <f t="shared" si="38"/>
        <v>437.72799999999989</v>
      </c>
      <c r="V113" s="153">
        <f t="shared" si="38"/>
        <v>437.72799999999989</v>
      </c>
    </row>
    <row r="114" spans="1:22" s="7" customFormat="1">
      <c r="A114" s="7" t="s">
        <v>10</v>
      </c>
      <c r="B114" s="7" t="s">
        <v>485</v>
      </c>
      <c r="C114" s="106">
        <v>0.153</v>
      </c>
      <c r="D114" s="106">
        <v>0</v>
      </c>
      <c r="E114" s="106">
        <v>0</v>
      </c>
      <c r="F114" s="106">
        <v>0</v>
      </c>
      <c r="G114" s="106">
        <v>0</v>
      </c>
      <c r="H114" s="106">
        <v>0</v>
      </c>
      <c r="I114" s="106">
        <v>0</v>
      </c>
      <c r="J114" s="7">
        <v>100</v>
      </c>
      <c r="K114" s="7">
        <v>3</v>
      </c>
      <c r="L114" s="7" t="s">
        <v>103</v>
      </c>
      <c r="M114" s="7" t="s">
        <v>11</v>
      </c>
      <c r="N114" s="10" t="s">
        <v>43</v>
      </c>
      <c r="O114" s="70">
        <v>100</v>
      </c>
      <c r="P114" s="66">
        <f t="shared" ref="P114:P149" si="39">+$O114/$J114*C114</f>
        <v>0.153</v>
      </c>
      <c r="Q114" s="66">
        <f t="shared" ref="Q114:Q147" si="40">+$O114/$J114*D114</f>
        <v>0</v>
      </c>
      <c r="R114" s="66">
        <f t="shared" ref="R114:R147" si="41">+$O114/$J114*E114</f>
        <v>0</v>
      </c>
      <c r="S114" s="66">
        <f t="shared" ref="S114:S147" si="42">+$O114/$J114*F114</f>
        <v>0</v>
      </c>
      <c r="T114" s="66">
        <f t="shared" ref="T114:T147" si="43">+$O114/$J114*G114</f>
        <v>0</v>
      </c>
      <c r="U114" s="66">
        <f t="shared" ref="U114:U147" si="44">+$O114/$J114*H114</f>
        <v>0</v>
      </c>
      <c r="V114" s="66">
        <f t="shared" ref="V114:V147" si="45">+$O114/$J114*I114</f>
        <v>0</v>
      </c>
    </row>
    <row r="115" spans="1:22" s="7" customFormat="1">
      <c r="A115" s="7" t="s">
        <v>10</v>
      </c>
      <c r="B115" s="7" t="s">
        <v>486</v>
      </c>
      <c r="C115" s="106">
        <v>1.845</v>
      </c>
      <c r="D115" s="106">
        <v>2.532</v>
      </c>
      <c r="E115" s="106">
        <v>0</v>
      </c>
      <c r="F115" s="106">
        <v>0</v>
      </c>
      <c r="G115" s="106">
        <v>0</v>
      </c>
      <c r="H115" s="106">
        <v>0</v>
      </c>
      <c r="I115" s="106">
        <v>0</v>
      </c>
      <c r="J115" s="7">
        <v>100</v>
      </c>
      <c r="K115" s="7">
        <v>6</v>
      </c>
      <c r="L115" s="10" t="s">
        <v>186</v>
      </c>
      <c r="M115" s="7" t="s">
        <v>12</v>
      </c>
      <c r="N115" s="10" t="s">
        <v>43</v>
      </c>
      <c r="O115" s="70">
        <v>100</v>
      </c>
      <c r="P115" s="66">
        <f t="shared" si="39"/>
        <v>1.845</v>
      </c>
      <c r="Q115" s="66">
        <f t="shared" si="40"/>
        <v>2.532</v>
      </c>
      <c r="R115" s="66">
        <f t="shared" si="41"/>
        <v>0</v>
      </c>
      <c r="S115" s="66">
        <f t="shared" si="42"/>
        <v>0</v>
      </c>
      <c r="T115" s="66">
        <f t="shared" si="43"/>
        <v>0</v>
      </c>
      <c r="U115" s="66">
        <f t="shared" si="44"/>
        <v>0</v>
      </c>
      <c r="V115" s="66">
        <f t="shared" si="45"/>
        <v>0</v>
      </c>
    </row>
    <row r="116" spans="1:22" s="7" customFormat="1">
      <c r="A116" s="7" t="s">
        <v>39</v>
      </c>
      <c r="B116" s="7" t="s">
        <v>285</v>
      </c>
      <c r="C116" s="106">
        <v>17.068999999999999</v>
      </c>
      <c r="D116" s="106">
        <v>26.497</v>
      </c>
      <c r="E116" s="106">
        <v>26.544</v>
      </c>
      <c r="F116" s="106">
        <v>25.757000000000001</v>
      </c>
      <c r="G116" s="106">
        <v>26.177</v>
      </c>
      <c r="H116" s="106">
        <v>26.177</v>
      </c>
      <c r="I116" s="106">
        <v>26.177</v>
      </c>
      <c r="J116" s="7">
        <v>90</v>
      </c>
      <c r="K116" s="7">
        <v>6</v>
      </c>
      <c r="L116" s="10" t="s">
        <v>186</v>
      </c>
      <c r="M116" s="7" t="s">
        <v>15</v>
      </c>
      <c r="N116" s="10" t="s">
        <v>43</v>
      </c>
      <c r="O116" s="70">
        <v>90</v>
      </c>
      <c r="P116" s="66">
        <f t="shared" si="39"/>
        <v>17.068999999999999</v>
      </c>
      <c r="Q116" s="66">
        <f t="shared" si="40"/>
        <v>26.497</v>
      </c>
      <c r="R116" s="66">
        <f t="shared" si="41"/>
        <v>26.544</v>
      </c>
      <c r="S116" s="66">
        <f t="shared" si="42"/>
        <v>25.757000000000001</v>
      </c>
      <c r="T116" s="66">
        <f t="shared" si="43"/>
        <v>26.177</v>
      </c>
      <c r="U116" s="66">
        <f t="shared" si="44"/>
        <v>26.177</v>
      </c>
      <c r="V116" s="66">
        <f t="shared" si="45"/>
        <v>26.177</v>
      </c>
    </row>
    <row r="117" spans="1:22" s="7" customFormat="1">
      <c r="A117" s="7" t="s">
        <v>14</v>
      </c>
      <c r="B117" s="7" t="s">
        <v>487</v>
      </c>
      <c r="C117" s="106">
        <v>12.044</v>
      </c>
      <c r="D117" s="106">
        <v>14.689</v>
      </c>
      <c r="E117" s="106">
        <v>17.808</v>
      </c>
      <c r="F117" s="106">
        <v>17.957999999999998</v>
      </c>
      <c r="G117" s="106">
        <v>17.957999999999998</v>
      </c>
      <c r="H117" s="106">
        <v>17.957999999999998</v>
      </c>
      <c r="I117" s="106">
        <v>17.957999999999998</v>
      </c>
      <c r="J117" s="7">
        <v>100</v>
      </c>
      <c r="K117" s="7">
        <v>6</v>
      </c>
      <c r="L117" s="10" t="s">
        <v>186</v>
      </c>
      <c r="M117" s="7" t="s">
        <v>15</v>
      </c>
      <c r="N117" s="10" t="s">
        <v>43</v>
      </c>
      <c r="O117" s="70">
        <v>100</v>
      </c>
      <c r="P117" s="66">
        <f t="shared" si="39"/>
        <v>12.044</v>
      </c>
      <c r="Q117" s="66">
        <f t="shared" si="40"/>
        <v>14.689</v>
      </c>
      <c r="R117" s="66">
        <f t="shared" si="41"/>
        <v>17.808</v>
      </c>
      <c r="S117" s="66">
        <f t="shared" si="42"/>
        <v>17.957999999999998</v>
      </c>
      <c r="T117" s="66">
        <f t="shared" si="43"/>
        <v>17.957999999999998</v>
      </c>
      <c r="U117" s="66">
        <f t="shared" si="44"/>
        <v>17.957999999999998</v>
      </c>
      <c r="V117" s="66">
        <f t="shared" si="45"/>
        <v>17.957999999999998</v>
      </c>
    </row>
    <row r="118" spans="1:22" s="7" customFormat="1">
      <c r="A118" s="7" t="s">
        <v>14</v>
      </c>
      <c r="B118" s="7" t="s">
        <v>488</v>
      </c>
      <c r="C118" s="106">
        <v>0.25</v>
      </c>
      <c r="D118" s="106">
        <v>0.25700000000000001</v>
      </c>
      <c r="E118" s="106">
        <v>0.25700000000000001</v>
      </c>
      <c r="F118" s="106">
        <v>0.25700000000000001</v>
      </c>
      <c r="G118" s="106">
        <v>0.25700000000000001</v>
      </c>
      <c r="H118" s="106">
        <v>0.25700000000000001</v>
      </c>
      <c r="I118" s="106">
        <v>0.25700000000000001</v>
      </c>
      <c r="J118" s="7">
        <v>100</v>
      </c>
      <c r="K118" s="7">
        <v>4</v>
      </c>
      <c r="L118" s="125" t="s">
        <v>361</v>
      </c>
      <c r="M118" s="7" t="s">
        <v>7</v>
      </c>
      <c r="N118" s="10" t="s">
        <v>42</v>
      </c>
      <c r="O118" s="70">
        <v>100</v>
      </c>
      <c r="P118" s="66">
        <f t="shared" ref="P118:P119" si="46">+$O118/$J118*C118</f>
        <v>0.25</v>
      </c>
      <c r="Q118" s="66">
        <f t="shared" ref="Q118:Q119" si="47">+$O118/$J118*D118</f>
        <v>0.25700000000000001</v>
      </c>
      <c r="R118" s="66">
        <f t="shared" ref="R118:R119" si="48">+$O118/$J118*E118</f>
        <v>0.25700000000000001</v>
      </c>
      <c r="S118" s="66">
        <f t="shared" ref="S118:S119" si="49">+$O118/$J118*F118</f>
        <v>0.25700000000000001</v>
      </c>
      <c r="T118" s="66">
        <f t="shared" ref="T118:T119" si="50">+$O118/$J118*G118</f>
        <v>0.25700000000000001</v>
      </c>
      <c r="U118" s="66">
        <f t="shared" ref="U118:U119" si="51">+$O118/$J118*H118</f>
        <v>0.25700000000000001</v>
      </c>
      <c r="V118" s="66">
        <f t="shared" ref="V118:V119" si="52">+$O118/$J118*I118</f>
        <v>0.25700000000000001</v>
      </c>
    </row>
    <row r="119" spans="1:22" s="7" customFormat="1">
      <c r="A119" s="7" t="s">
        <v>14</v>
      </c>
      <c r="B119" s="7" t="s">
        <v>489</v>
      </c>
      <c r="C119" s="106">
        <v>3.3</v>
      </c>
      <c r="D119" s="106">
        <v>2.097</v>
      </c>
      <c r="E119" s="106">
        <v>0.502</v>
      </c>
      <c r="F119" s="106">
        <v>0.502</v>
      </c>
      <c r="G119" s="106">
        <v>0.502</v>
      </c>
      <c r="H119" s="106">
        <v>0.502</v>
      </c>
      <c r="I119" s="106">
        <v>0.502</v>
      </c>
      <c r="J119" s="7">
        <v>100</v>
      </c>
      <c r="K119" s="7">
        <v>6</v>
      </c>
      <c r="L119" s="10" t="s">
        <v>186</v>
      </c>
      <c r="M119" s="7" t="s">
        <v>25</v>
      </c>
      <c r="N119" s="10" t="s">
        <v>43</v>
      </c>
      <c r="O119" s="70">
        <v>100</v>
      </c>
      <c r="P119" s="66">
        <f t="shared" si="46"/>
        <v>3.3</v>
      </c>
      <c r="Q119" s="66">
        <f t="shared" si="47"/>
        <v>2.097</v>
      </c>
      <c r="R119" s="66">
        <f t="shared" si="48"/>
        <v>0.502</v>
      </c>
      <c r="S119" s="66">
        <f t="shared" si="49"/>
        <v>0.502</v>
      </c>
      <c r="T119" s="66">
        <f t="shared" si="50"/>
        <v>0.502</v>
      </c>
      <c r="U119" s="66">
        <f t="shared" si="51"/>
        <v>0.502</v>
      </c>
      <c r="V119" s="66">
        <f t="shared" si="52"/>
        <v>0.502</v>
      </c>
    </row>
    <row r="120" spans="1:22" s="7" customFormat="1">
      <c r="A120" s="7" t="s">
        <v>14</v>
      </c>
      <c r="B120" s="7" t="s">
        <v>490</v>
      </c>
      <c r="C120" s="106">
        <v>0.17699999999999999</v>
      </c>
      <c r="D120" s="106">
        <v>0.17499999999999999</v>
      </c>
      <c r="E120" s="106">
        <v>0.16500000000000001</v>
      </c>
      <c r="F120" s="106">
        <v>0.156</v>
      </c>
      <c r="G120" s="106">
        <v>0.156</v>
      </c>
      <c r="H120" s="106">
        <v>0.156</v>
      </c>
      <c r="I120" s="106">
        <v>0.156</v>
      </c>
      <c r="J120" s="7">
        <v>100</v>
      </c>
      <c r="K120" s="7">
        <v>11</v>
      </c>
      <c r="L120" s="125" t="s">
        <v>61</v>
      </c>
      <c r="M120" s="7" t="s">
        <v>7</v>
      </c>
      <c r="N120" s="10" t="s">
        <v>42</v>
      </c>
      <c r="O120" s="70">
        <v>100</v>
      </c>
      <c r="P120" s="66">
        <f t="shared" ref="P120" si="53">+$O120/$J120*C120</f>
        <v>0.17699999999999999</v>
      </c>
      <c r="Q120" s="66">
        <f t="shared" ref="Q120" si="54">+$O120/$J120*D120</f>
        <v>0.17499999999999999</v>
      </c>
      <c r="R120" s="66">
        <f t="shared" ref="R120" si="55">+$O120/$J120*E120</f>
        <v>0.16500000000000001</v>
      </c>
      <c r="S120" s="66">
        <f t="shared" ref="S120" si="56">+$O120/$J120*F120</f>
        <v>0.156</v>
      </c>
      <c r="T120" s="66">
        <f t="shared" ref="T120" si="57">+$O120/$J120*G120</f>
        <v>0.156</v>
      </c>
      <c r="U120" s="66">
        <f t="shared" ref="U120" si="58">+$O120/$J120*H120</f>
        <v>0.156</v>
      </c>
      <c r="V120" s="66">
        <f t="shared" ref="V120" si="59">+$O120/$J120*I120</f>
        <v>0.156</v>
      </c>
    </row>
    <row r="121" spans="1:22" s="7" customFormat="1">
      <c r="A121" s="7" t="s">
        <v>16</v>
      </c>
      <c r="B121" s="7" t="s">
        <v>492</v>
      </c>
      <c r="C121" s="106">
        <v>0.60499999999999998</v>
      </c>
      <c r="D121" s="106">
        <v>0</v>
      </c>
      <c r="E121" s="106">
        <v>0</v>
      </c>
      <c r="F121" s="106">
        <v>0</v>
      </c>
      <c r="G121" s="106">
        <v>0</v>
      </c>
      <c r="H121" s="106">
        <v>0</v>
      </c>
      <c r="I121" s="106">
        <v>0</v>
      </c>
      <c r="J121" s="7">
        <v>100</v>
      </c>
      <c r="K121" s="7">
        <v>6</v>
      </c>
      <c r="L121" s="10" t="s">
        <v>186</v>
      </c>
      <c r="M121" s="7" t="s">
        <v>25</v>
      </c>
      <c r="N121" s="10" t="s">
        <v>43</v>
      </c>
      <c r="O121" s="7">
        <v>100</v>
      </c>
      <c r="P121" s="66">
        <f t="shared" si="39"/>
        <v>0.60499999999999998</v>
      </c>
      <c r="Q121" s="66">
        <f t="shared" si="40"/>
        <v>0</v>
      </c>
      <c r="R121" s="66">
        <f t="shared" si="41"/>
        <v>0</v>
      </c>
      <c r="S121" s="66">
        <f t="shared" si="42"/>
        <v>0</v>
      </c>
      <c r="T121" s="66">
        <f t="shared" si="43"/>
        <v>0</v>
      </c>
      <c r="U121" s="66">
        <f t="shared" si="44"/>
        <v>0</v>
      </c>
      <c r="V121" s="66">
        <f t="shared" si="45"/>
        <v>0</v>
      </c>
    </row>
    <row r="122" spans="1:22" s="7" customFormat="1">
      <c r="A122" s="7" t="s">
        <v>16</v>
      </c>
      <c r="B122" s="7" t="s">
        <v>493</v>
      </c>
      <c r="C122" s="106">
        <v>0.47899999999999998</v>
      </c>
      <c r="D122" s="106">
        <v>0</v>
      </c>
      <c r="E122" s="106">
        <v>0</v>
      </c>
      <c r="F122" s="106">
        <v>0</v>
      </c>
      <c r="G122" s="106">
        <v>0</v>
      </c>
      <c r="H122" s="106">
        <v>0</v>
      </c>
      <c r="I122" s="106">
        <v>0</v>
      </c>
      <c r="J122" s="7">
        <v>100</v>
      </c>
      <c r="K122" s="7">
        <v>6</v>
      </c>
      <c r="L122" s="10" t="s">
        <v>186</v>
      </c>
      <c r="M122" s="7" t="s">
        <v>15</v>
      </c>
      <c r="N122" s="10" t="s">
        <v>43</v>
      </c>
      <c r="O122" s="7">
        <v>100</v>
      </c>
      <c r="P122" s="66">
        <f t="shared" si="39"/>
        <v>0.47899999999999998</v>
      </c>
      <c r="Q122" s="66">
        <f t="shared" si="40"/>
        <v>0</v>
      </c>
      <c r="R122" s="66">
        <f t="shared" si="41"/>
        <v>0</v>
      </c>
      <c r="S122" s="66">
        <f t="shared" si="42"/>
        <v>0</v>
      </c>
      <c r="T122" s="66">
        <f t="shared" si="43"/>
        <v>0</v>
      </c>
      <c r="U122" s="66">
        <f t="shared" si="44"/>
        <v>0</v>
      </c>
      <c r="V122" s="66">
        <f t="shared" si="45"/>
        <v>0</v>
      </c>
    </row>
    <row r="123" spans="1:22" s="7" customFormat="1">
      <c r="A123" s="7" t="s">
        <v>16</v>
      </c>
      <c r="B123" s="7" t="s">
        <v>491</v>
      </c>
      <c r="C123" s="106">
        <v>2.39</v>
      </c>
      <c r="D123" s="106">
        <v>2.7890000000000001</v>
      </c>
      <c r="E123" s="106">
        <v>0</v>
      </c>
      <c r="F123" s="106">
        <v>0</v>
      </c>
      <c r="G123" s="106">
        <v>0</v>
      </c>
      <c r="H123" s="106">
        <v>0</v>
      </c>
      <c r="I123" s="106">
        <v>0</v>
      </c>
      <c r="J123" s="7">
        <v>80</v>
      </c>
      <c r="K123" s="7">
        <v>6</v>
      </c>
      <c r="L123" s="10" t="s">
        <v>186</v>
      </c>
      <c r="M123" s="7" t="s">
        <v>12</v>
      </c>
      <c r="N123" s="10" t="s">
        <v>43</v>
      </c>
      <c r="O123" s="7">
        <v>80</v>
      </c>
      <c r="P123" s="66">
        <f t="shared" si="39"/>
        <v>2.39</v>
      </c>
      <c r="Q123" s="66">
        <f t="shared" ref="Q123" si="60">+$O123/$J123*D123</f>
        <v>2.7890000000000001</v>
      </c>
      <c r="R123" s="66">
        <f t="shared" ref="R123" si="61">+$O123/$J123*E123</f>
        <v>0</v>
      </c>
      <c r="S123" s="66">
        <f t="shared" ref="S123" si="62">+$O123/$J123*F123</f>
        <v>0</v>
      </c>
      <c r="T123" s="66">
        <f t="shared" ref="T123" si="63">+$O123/$J123*G123</f>
        <v>0</v>
      </c>
      <c r="U123" s="66">
        <f t="shared" ref="U123" si="64">+$O123/$J123*H123</f>
        <v>0</v>
      </c>
      <c r="V123" s="66">
        <f t="shared" ref="V123" si="65">+$O123/$J123*I123</f>
        <v>0</v>
      </c>
    </row>
    <row r="124" spans="1:22" s="7" customFormat="1">
      <c r="A124" s="7" t="s">
        <v>16</v>
      </c>
      <c r="B124" s="7" t="s">
        <v>494</v>
      </c>
      <c r="C124" s="106">
        <v>8.8999999999999996E-2</v>
      </c>
      <c r="D124" s="106">
        <v>0</v>
      </c>
      <c r="E124" s="106">
        <v>0</v>
      </c>
      <c r="F124" s="106">
        <v>0</v>
      </c>
      <c r="G124" s="106">
        <v>0</v>
      </c>
      <c r="H124" s="106">
        <v>0</v>
      </c>
      <c r="I124" s="106">
        <v>0</v>
      </c>
      <c r="J124" s="7">
        <v>100</v>
      </c>
      <c r="K124" s="7">
        <v>6</v>
      </c>
      <c r="L124" s="10" t="s">
        <v>186</v>
      </c>
      <c r="M124" s="7" t="s">
        <v>15</v>
      </c>
      <c r="N124" s="10" t="s">
        <v>43</v>
      </c>
      <c r="O124" s="7">
        <v>100</v>
      </c>
      <c r="P124" s="66">
        <f t="shared" si="39"/>
        <v>8.8999999999999996E-2</v>
      </c>
      <c r="Q124" s="66">
        <f t="shared" si="40"/>
        <v>0</v>
      </c>
      <c r="R124" s="66">
        <f t="shared" si="41"/>
        <v>0</v>
      </c>
      <c r="S124" s="66">
        <f t="shared" si="42"/>
        <v>0</v>
      </c>
      <c r="T124" s="66">
        <f t="shared" si="43"/>
        <v>0</v>
      </c>
      <c r="U124" s="66">
        <f t="shared" si="44"/>
        <v>0</v>
      </c>
      <c r="V124" s="66">
        <f t="shared" si="45"/>
        <v>0</v>
      </c>
    </row>
    <row r="125" spans="1:22" s="7" customFormat="1">
      <c r="A125" s="7" t="s">
        <v>16</v>
      </c>
      <c r="B125" s="7" t="s">
        <v>48</v>
      </c>
      <c r="C125" s="106">
        <v>139.96100000000001</v>
      </c>
      <c r="D125" s="106">
        <v>135.33600000000001</v>
      </c>
      <c r="E125" s="106">
        <v>132.685</v>
      </c>
      <c r="F125" s="106">
        <v>127.88500000000001</v>
      </c>
      <c r="G125" s="106">
        <v>127.785</v>
      </c>
      <c r="H125" s="106">
        <v>127.785</v>
      </c>
      <c r="I125" s="106">
        <v>127.785</v>
      </c>
      <c r="J125" s="7">
        <v>100</v>
      </c>
      <c r="K125" s="7" t="s">
        <v>17</v>
      </c>
      <c r="L125" s="10" t="s">
        <v>186</v>
      </c>
      <c r="M125" s="7" t="s">
        <v>18</v>
      </c>
      <c r="N125" s="7" t="s">
        <v>42</v>
      </c>
      <c r="O125" s="7">
        <v>100</v>
      </c>
      <c r="P125" s="66">
        <f t="shared" si="39"/>
        <v>139.96100000000001</v>
      </c>
      <c r="Q125" s="66">
        <f t="shared" si="40"/>
        <v>135.33600000000001</v>
      </c>
      <c r="R125" s="66">
        <f t="shared" si="41"/>
        <v>132.685</v>
      </c>
      <c r="S125" s="66">
        <f t="shared" si="42"/>
        <v>127.88500000000001</v>
      </c>
      <c r="T125" s="66">
        <f t="shared" si="43"/>
        <v>127.785</v>
      </c>
      <c r="U125" s="66">
        <f t="shared" si="44"/>
        <v>127.785</v>
      </c>
      <c r="V125" s="66">
        <f t="shared" si="45"/>
        <v>127.785</v>
      </c>
    </row>
    <row r="126" spans="1:22" s="7" customFormat="1">
      <c r="A126" s="7" t="s">
        <v>19</v>
      </c>
      <c r="B126" s="7" t="s">
        <v>49</v>
      </c>
      <c r="C126" s="106">
        <v>27.094999999999999</v>
      </c>
      <c r="D126" s="106">
        <v>35.109000000000002</v>
      </c>
      <c r="E126" s="106">
        <v>40.021999999999998</v>
      </c>
      <c r="F126" s="106">
        <v>41.256999999999998</v>
      </c>
      <c r="G126" s="106">
        <v>41.256999999999998</v>
      </c>
      <c r="H126" s="106">
        <v>41.256999999999998</v>
      </c>
      <c r="I126" s="106">
        <v>41.256999999999998</v>
      </c>
      <c r="J126" s="7">
        <v>100</v>
      </c>
      <c r="K126" s="7">
        <v>6</v>
      </c>
      <c r="L126" s="10" t="s">
        <v>186</v>
      </c>
      <c r="M126" s="7" t="s">
        <v>15</v>
      </c>
      <c r="N126" s="10" t="s">
        <v>43</v>
      </c>
      <c r="O126" s="7">
        <v>100</v>
      </c>
      <c r="P126" s="66">
        <f t="shared" si="39"/>
        <v>27.094999999999999</v>
      </c>
      <c r="Q126" s="66">
        <f t="shared" si="40"/>
        <v>35.109000000000002</v>
      </c>
      <c r="R126" s="66">
        <f t="shared" si="41"/>
        <v>40.021999999999998</v>
      </c>
      <c r="S126" s="66">
        <f t="shared" si="42"/>
        <v>41.256999999999998</v>
      </c>
      <c r="T126" s="66">
        <f t="shared" si="43"/>
        <v>41.256999999999998</v>
      </c>
      <c r="U126" s="66">
        <f t="shared" si="44"/>
        <v>41.256999999999998</v>
      </c>
      <c r="V126" s="66">
        <f t="shared" si="45"/>
        <v>41.256999999999998</v>
      </c>
    </row>
    <row r="127" spans="1:22" s="7" customFormat="1">
      <c r="A127" s="7" t="s">
        <v>19</v>
      </c>
      <c r="B127" s="7" t="s">
        <v>496</v>
      </c>
      <c r="C127" s="106">
        <v>2.8279999999999998</v>
      </c>
      <c r="D127" s="106">
        <v>3.4449999999999998</v>
      </c>
      <c r="E127" s="106">
        <v>4.0919999999999996</v>
      </c>
      <c r="F127" s="106">
        <v>4.0670000000000002</v>
      </c>
      <c r="G127" s="106">
        <v>4.0670000000000002</v>
      </c>
      <c r="H127" s="106">
        <v>4.0670000000000002</v>
      </c>
      <c r="I127" s="106">
        <v>4.0670000000000002</v>
      </c>
      <c r="J127" s="7">
        <v>100</v>
      </c>
      <c r="K127" s="70" t="s">
        <v>590</v>
      </c>
      <c r="M127" s="7" t="s">
        <v>15</v>
      </c>
      <c r="N127" s="10" t="s">
        <v>43</v>
      </c>
      <c r="O127" s="7">
        <v>100</v>
      </c>
      <c r="P127" s="66">
        <f t="shared" si="39"/>
        <v>2.8279999999999998</v>
      </c>
      <c r="Q127" s="66">
        <f t="shared" si="40"/>
        <v>3.4449999999999998</v>
      </c>
      <c r="R127" s="66">
        <f t="shared" si="41"/>
        <v>4.0919999999999996</v>
      </c>
      <c r="S127" s="66">
        <f t="shared" si="42"/>
        <v>4.0670000000000002</v>
      </c>
      <c r="T127" s="66">
        <f t="shared" si="43"/>
        <v>4.0670000000000002</v>
      </c>
      <c r="U127" s="66">
        <f t="shared" si="44"/>
        <v>4.0670000000000002</v>
      </c>
      <c r="V127" s="66">
        <f t="shared" si="45"/>
        <v>4.0670000000000002</v>
      </c>
    </row>
    <row r="128" spans="1:22" s="7" customFormat="1">
      <c r="A128" s="7" t="s">
        <v>19</v>
      </c>
      <c r="B128" s="7" t="s">
        <v>497</v>
      </c>
      <c r="C128" s="106">
        <v>68.331000000000003</v>
      </c>
      <c r="D128" s="106">
        <v>96.018000000000001</v>
      </c>
      <c r="E128" s="106">
        <v>103.41</v>
      </c>
      <c r="F128" s="106">
        <v>111.069</v>
      </c>
      <c r="G128" s="106">
        <v>116.136</v>
      </c>
      <c r="H128" s="106">
        <v>116.136</v>
      </c>
      <c r="I128" s="106">
        <v>116.136</v>
      </c>
      <c r="J128" s="7">
        <v>100</v>
      </c>
      <c r="K128" s="70" t="s">
        <v>590</v>
      </c>
      <c r="M128" s="7" t="s">
        <v>15</v>
      </c>
      <c r="N128" s="10" t="s">
        <v>43</v>
      </c>
      <c r="O128" s="7">
        <v>100</v>
      </c>
      <c r="P128" s="66">
        <f t="shared" ref="P128:P129" si="66">+$O128/$J128*C128</f>
        <v>68.331000000000003</v>
      </c>
      <c r="Q128" s="66">
        <f t="shared" ref="Q128:Q129" si="67">+$O128/$J128*D128</f>
        <v>96.018000000000001</v>
      </c>
      <c r="R128" s="66">
        <f t="shared" ref="R128:R129" si="68">+$O128/$J128*E128</f>
        <v>103.41</v>
      </c>
      <c r="S128" s="66">
        <f t="shared" ref="S128:S129" si="69">+$O128/$J128*F128</f>
        <v>111.069</v>
      </c>
      <c r="T128" s="66">
        <f t="shared" ref="T128:T129" si="70">+$O128/$J128*G128</f>
        <v>116.136</v>
      </c>
      <c r="U128" s="66">
        <f t="shared" ref="U128:U129" si="71">+$O128/$J128*H128</f>
        <v>116.136</v>
      </c>
      <c r="V128" s="66">
        <f t="shared" ref="V128:V129" si="72">+$O128/$J128*I128</f>
        <v>116.136</v>
      </c>
    </row>
    <row r="129" spans="1:22" s="7" customFormat="1">
      <c r="A129" s="7" t="s">
        <v>19</v>
      </c>
      <c r="B129" s="7" t="s">
        <v>498</v>
      </c>
      <c r="C129" s="106">
        <v>4.9969999999999999</v>
      </c>
      <c r="D129" s="106">
        <v>1.4419999999999999</v>
      </c>
      <c r="E129" s="106">
        <v>0.30399999999999999</v>
      </c>
      <c r="F129" s="106">
        <v>0</v>
      </c>
      <c r="G129" s="106">
        <v>0</v>
      </c>
      <c r="H129" s="106">
        <v>0</v>
      </c>
      <c r="I129" s="106">
        <v>0</v>
      </c>
      <c r="J129" s="7">
        <v>100</v>
      </c>
      <c r="K129" s="70" t="s">
        <v>590</v>
      </c>
      <c r="M129" s="7" t="s">
        <v>15</v>
      </c>
      <c r="N129" s="10" t="s">
        <v>43</v>
      </c>
      <c r="O129" s="7">
        <v>100</v>
      </c>
      <c r="P129" s="66">
        <f t="shared" si="66"/>
        <v>4.9969999999999999</v>
      </c>
      <c r="Q129" s="66">
        <f t="shared" si="67"/>
        <v>1.4419999999999999</v>
      </c>
      <c r="R129" s="66">
        <f t="shared" si="68"/>
        <v>0.30399999999999999</v>
      </c>
      <c r="S129" s="66">
        <f t="shared" si="69"/>
        <v>0</v>
      </c>
      <c r="T129" s="66">
        <f t="shared" si="70"/>
        <v>0</v>
      </c>
      <c r="U129" s="66">
        <f t="shared" si="71"/>
        <v>0</v>
      </c>
      <c r="V129" s="66">
        <f t="shared" si="72"/>
        <v>0</v>
      </c>
    </row>
    <row r="130" spans="1:22" s="7" customFormat="1">
      <c r="A130" s="7" t="s">
        <v>20</v>
      </c>
      <c r="B130" s="7" t="s">
        <v>50</v>
      </c>
      <c r="C130" s="106">
        <v>3.8370000000000002</v>
      </c>
      <c r="D130" s="106">
        <v>3.3319999999999999</v>
      </c>
      <c r="E130" s="106">
        <v>3.3130000000000002</v>
      </c>
      <c r="F130" s="106">
        <v>3.3130000000000002</v>
      </c>
      <c r="G130" s="106">
        <v>3.3130000000000002</v>
      </c>
      <c r="H130" s="106">
        <v>3.3130000000000002</v>
      </c>
      <c r="I130" s="106">
        <v>3.3130000000000002</v>
      </c>
      <c r="J130" s="7">
        <v>100</v>
      </c>
      <c r="K130" s="7">
        <v>4</v>
      </c>
      <c r="L130" s="125" t="s">
        <v>361</v>
      </c>
      <c r="M130" s="7" t="s">
        <v>7</v>
      </c>
      <c r="N130" s="7" t="s">
        <v>42</v>
      </c>
      <c r="O130" s="7">
        <v>100</v>
      </c>
      <c r="P130" s="66">
        <f t="shared" si="39"/>
        <v>3.8370000000000002</v>
      </c>
      <c r="Q130" s="66">
        <f t="shared" si="40"/>
        <v>3.3319999999999999</v>
      </c>
      <c r="R130" s="66">
        <f t="shared" si="41"/>
        <v>3.3130000000000002</v>
      </c>
      <c r="S130" s="66">
        <f t="shared" si="42"/>
        <v>3.3130000000000002</v>
      </c>
      <c r="T130" s="66">
        <f t="shared" si="43"/>
        <v>3.3130000000000002</v>
      </c>
      <c r="U130" s="66">
        <f t="shared" si="44"/>
        <v>3.3130000000000002</v>
      </c>
      <c r="V130" s="66">
        <f t="shared" si="45"/>
        <v>3.3130000000000002</v>
      </c>
    </row>
    <row r="131" spans="1:22" s="7" customFormat="1">
      <c r="A131" s="7" t="s">
        <v>20</v>
      </c>
      <c r="B131" s="7" t="s">
        <v>51</v>
      </c>
      <c r="C131" s="106">
        <v>10.553000000000001</v>
      </c>
      <c r="D131" s="106">
        <v>9.57</v>
      </c>
      <c r="E131" s="106">
        <v>9.5150000000000006</v>
      </c>
      <c r="F131" s="106">
        <v>9.5150000000000006</v>
      </c>
      <c r="G131" s="106">
        <v>9.5150000000000006</v>
      </c>
      <c r="H131" s="106">
        <v>9.5150000000000006</v>
      </c>
      <c r="I131" s="106">
        <v>9.5150000000000006</v>
      </c>
      <c r="J131" s="7">
        <v>100</v>
      </c>
      <c r="K131" s="7">
        <v>4</v>
      </c>
      <c r="L131" s="125" t="s">
        <v>361</v>
      </c>
      <c r="M131" s="7" t="s">
        <v>7</v>
      </c>
      <c r="N131" s="7" t="s">
        <v>42</v>
      </c>
      <c r="O131" s="7">
        <v>100</v>
      </c>
      <c r="P131" s="66">
        <f t="shared" si="39"/>
        <v>10.553000000000001</v>
      </c>
      <c r="Q131" s="66">
        <f t="shared" si="40"/>
        <v>9.57</v>
      </c>
      <c r="R131" s="66">
        <f t="shared" si="41"/>
        <v>9.5150000000000006</v>
      </c>
      <c r="S131" s="66">
        <f t="shared" si="42"/>
        <v>9.5150000000000006</v>
      </c>
      <c r="T131" s="66">
        <f t="shared" si="43"/>
        <v>9.5150000000000006</v>
      </c>
      <c r="U131" s="66">
        <f t="shared" si="44"/>
        <v>9.5150000000000006</v>
      </c>
      <c r="V131" s="66">
        <f t="shared" si="45"/>
        <v>9.5150000000000006</v>
      </c>
    </row>
    <row r="132" spans="1:22" s="7" customFormat="1">
      <c r="A132" s="7" t="s">
        <v>20</v>
      </c>
      <c r="B132" s="7" t="s">
        <v>52</v>
      </c>
      <c r="C132" s="106">
        <v>20.201000000000001</v>
      </c>
      <c r="D132" s="106">
        <v>19.446000000000002</v>
      </c>
      <c r="E132" s="106">
        <v>18.587</v>
      </c>
      <c r="F132" s="106">
        <v>18.587</v>
      </c>
      <c r="G132" s="106">
        <v>18.587</v>
      </c>
      <c r="H132" s="106">
        <v>18.587</v>
      </c>
      <c r="I132" s="106">
        <v>18.587</v>
      </c>
      <c r="J132" s="7">
        <v>100</v>
      </c>
      <c r="K132" s="7">
        <v>3</v>
      </c>
      <c r="L132" s="7" t="s">
        <v>103</v>
      </c>
      <c r="M132" s="7" t="s">
        <v>7</v>
      </c>
      <c r="N132" s="10" t="s">
        <v>42</v>
      </c>
      <c r="O132" s="7">
        <v>100</v>
      </c>
      <c r="P132" s="66">
        <f t="shared" si="39"/>
        <v>20.201000000000001</v>
      </c>
      <c r="Q132" s="66">
        <f t="shared" si="40"/>
        <v>19.446000000000002</v>
      </c>
      <c r="R132" s="66">
        <f t="shared" si="41"/>
        <v>18.587</v>
      </c>
      <c r="S132" s="66">
        <f t="shared" si="42"/>
        <v>18.587</v>
      </c>
      <c r="T132" s="66">
        <f t="shared" si="43"/>
        <v>18.587</v>
      </c>
      <c r="U132" s="66">
        <f t="shared" si="44"/>
        <v>18.587</v>
      </c>
      <c r="V132" s="66">
        <f t="shared" si="45"/>
        <v>18.587</v>
      </c>
    </row>
    <row r="133" spans="1:22" s="7" customFormat="1">
      <c r="A133" s="7" t="s">
        <v>20</v>
      </c>
      <c r="B133" s="7" t="s">
        <v>499</v>
      </c>
      <c r="C133" s="106">
        <v>22.405999999999999</v>
      </c>
      <c r="D133" s="106">
        <v>19.408999999999999</v>
      </c>
      <c r="E133" s="106">
        <v>24.969000000000001</v>
      </c>
      <c r="F133" s="106">
        <v>23.378</v>
      </c>
      <c r="G133" s="106">
        <v>23.786000000000001</v>
      </c>
      <c r="H133" s="106">
        <v>24.498999999999999</v>
      </c>
      <c r="I133" s="106">
        <v>24.498999999999999</v>
      </c>
      <c r="J133" s="7">
        <v>100</v>
      </c>
      <c r="K133" s="7">
        <v>6</v>
      </c>
      <c r="L133" s="10" t="s">
        <v>186</v>
      </c>
      <c r="M133" s="7" t="s">
        <v>22</v>
      </c>
      <c r="N133" s="10" t="s">
        <v>42</v>
      </c>
      <c r="O133" s="7">
        <v>100</v>
      </c>
      <c r="P133" s="66">
        <f t="shared" ref="P133:P136" si="73">+$O133/$J133*C133</f>
        <v>22.405999999999999</v>
      </c>
      <c r="Q133" s="66">
        <f t="shared" ref="Q133:Q136" si="74">+$O133/$J133*D133</f>
        <v>19.408999999999999</v>
      </c>
      <c r="R133" s="66">
        <f t="shared" ref="R133:R136" si="75">+$O133/$J133*E133</f>
        <v>24.969000000000001</v>
      </c>
      <c r="S133" s="66">
        <f t="shared" ref="S133:S136" si="76">+$O133/$J133*F133</f>
        <v>23.378</v>
      </c>
      <c r="T133" s="66">
        <f t="shared" ref="T133:T136" si="77">+$O133/$J133*G133</f>
        <v>23.786000000000001</v>
      </c>
      <c r="U133" s="66">
        <f t="shared" ref="U133:U136" si="78">+$O133/$J133*H133</f>
        <v>24.498999999999999</v>
      </c>
      <c r="V133" s="66">
        <f t="shared" ref="V133:V136" si="79">+$O133/$J133*I133</f>
        <v>24.498999999999999</v>
      </c>
    </row>
    <row r="134" spans="1:22" s="7" customFormat="1">
      <c r="A134" s="7" t="s">
        <v>20</v>
      </c>
      <c r="B134" s="7" t="s">
        <v>507</v>
      </c>
      <c r="C134" s="106">
        <v>0</v>
      </c>
      <c r="D134" s="106">
        <v>0.13600000000000001</v>
      </c>
      <c r="E134" s="106">
        <v>0</v>
      </c>
      <c r="F134" s="106">
        <v>1E-3</v>
      </c>
      <c r="G134" s="106">
        <v>8.0000000000000002E-3</v>
      </c>
      <c r="H134" s="106">
        <v>8.0000000000000002E-3</v>
      </c>
      <c r="I134" s="106">
        <v>8.0000000000000002E-3</v>
      </c>
      <c r="J134" s="7">
        <v>100</v>
      </c>
      <c r="K134" s="7">
        <v>6.13</v>
      </c>
      <c r="L134" s="125" t="s">
        <v>361</v>
      </c>
      <c r="M134" s="7" t="s">
        <v>23</v>
      </c>
      <c r="N134" s="7" t="s">
        <v>42</v>
      </c>
      <c r="O134" s="7">
        <v>100</v>
      </c>
      <c r="P134" s="66">
        <f t="shared" si="73"/>
        <v>0</v>
      </c>
      <c r="Q134" s="66">
        <f t="shared" si="74"/>
        <v>0.13600000000000001</v>
      </c>
      <c r="R134" s="66">
        <f t="shared" si="75"/>
        <v>0</v>
      </c>
      <c r="S134" s="66">
        <f t="shared" si="76"/>
        <v>1E-3</v>
      </c>
      <c r="T134" s="66">
        <f t="shared" si="77"/>
        <v>8.0000000000000002E-3</v>
      </c>
      <c r="U134" s="66">
        <f t="shared" si="78"/>
        <v>8.0000000000000002E-3</v>
      </c>
      <c r="V134" s="66">
        <f t="shared" si="79"/>
        <v>8.0000000000000002E-3</v>
      </c>
    </row>
    <row r="135" spans="1:22" s="7" customFormat="1">
      <c r="A135" s="7" t="s">
        <v>20</v>
      </c>
      <c r="B135" s="7" t="s">
        <v>500</v>
      </c>
      <c r="C135" s="106">
        <v>3.2000000000000001E-2</v>
      </c>
      <c r="D135" s="106">
        <v>0</v>
      </c>
      <c r="E135" s="106">
        <v>0</v>
      </c>
      <c r="F135" s="106">
        <v>0</v>
      </c>
      <c r="G135" s="106">
        <v>0</v>
      </c>
      <c r="H135" s="106">
        <v>0</v>
      </c>
      <c r="I135" s="106">
        <v>0</v>
      </c>
      <c r="J135" s="7">
        <v>100</v>
      </c>
      <c r="K135" s="7">
        <v>6</v>
      </c>
      <c r="L135" s="10" t="s">
        <v>186</v>
      </c>
      <c r="M135" s="7" t="s">
        <v>25</v>
      </c>
      <c r="N135" s="10" t="s">
        <v>43</v>
      </c>
      <c r="O135" s="7">
        <v>100</v>
      </c>
      <c r="P135" s="66">
        <f t="shared" si="73"/>
        <v>3.2000000000000001E-2</v>
      </c>
      <c r="Q135" s="66">
        <f t="shared" si="74"/>
        <v>0</v>
      </c>
      <c r="R135" s="66">
        <f t="shared" si="75"/>
        <v>0</v>
      </c>
      <c r="S135" s="66">
        <f t="shared" si="76"/>
        <v>0</v>
      </c>
      <c r="T135" s="66">
        <f t="shared" si="77"/>
        <v>0</v>
      </c>
      <c r="U135" s="66">
        <f t="shared" si="78"/>
        <v>0</v>
      </c>
      <c r="V135" s="66">
        <f t="shared" si="79"/>
        <v>0</v>
      </c>
    </row>
    <row r="136" spans="1:22" s="7" customFormat="1">
      <c r="A136" s="7" t="s">
        <v>20</v>
      </c>
      <c r="B136" s="7" t="s">
        <v>501</v>
      </c>
      <c r="C136" s="106">
        <v>2.1749999999999998</v>
      </c>
      <c r="D136" s="106">
        <v>0</v>
      </c>
      <c r="E136" s="106">
        <v>0</v>
      </c>
      <c r="F136" s="106">
        <v>0</v>
      </c>
      <c r="G136" s="106">
        <v>0</v>
      </c>
      <c r="H136" s="106">
        <v>0</v>
      </c>
      <c r="I136" s="106">
        <v>0</v>
      </c>
      <c r="J136" s="7">
        <v>100</v>
      </c>
      <c r="K136" s="7">
        <v>6</v>
      </c>
      <c r="L136" s="10" t="s">
        <v>186</v>
      </c>
      <c r="M136" s="7" t="s">
        <v>7</v>
      </c>
      <c r="N136" s="10" t="s">
        <v>42</v>
      </c>
      <c r="O136" s="7">
        <v>100</v>
      </c>
      <c r="P136" s="66">
        <f t="shared" si="73"/>
        <v>2.1749999999999998</v>
      </c>
      <c r="Q136" s="66">
        <f t="shared" si="74"/>
        <v>0</v>
      </c>
      <c r="R136" s="66">
        <f t="shared" si="75"/>
        <v>0</v>
      </c>
      <c r="S136" s="66">
        <f t="shared" si="76"/>
        <v>0</v>
      </c>
      <c r="T136" s="66">
        <f t="shared" si="77"/>
        <v>0</v>
      </c>
      <c r="U136" s="66">
        <f t="shared" si="78"/>
        <v>0</v>
      </c>
      <c r="V136" s="66">
        <f t="shared" si="79"/>
        <v>0</v>
      </c>
    </row>
    <row r="137" spans="1:22" s="7" customFormat="1">
      <c r="A137" s="7" t="s">
        <v>20</v>
      </c>
      <c r="B137" s="7" t="s">
        <v>502</v>
      </c>
      <c r="C137" s="106">
        <v>0.51200000000000001</v>
      </c>
      <c r="D137" s="106">
        <v>7.3999999999999996E-2</v>
      </c>
      <c r="E137" s="106">
        <v>0</v>
      </c>
      <c r="F137" s="106">
        <v>0</v>
      </c>
      <c r="G137" s="106">
        <v>0</v>
      </c>
      <c r="H137" s="106">
        <v>0</v>
      </c>
      <c r="I137" s="106">
        <v>0</v>
      </c>
      <c r="J137" s="7">
        <v>100</v>
      </c>
      <c r="K137" s="7">
        <v>6</v>
      </c>
      <c r="L137" s="10" t="s">
        <v>186</v>
      </c>
      <c r="M137" s="7" t="s">
        <v>12</v>
      </c>
      <c r="N137" s="10" t="s">
        <v>43</v>
      </c>
      <c r="O137" s="7">
        <v>100</v>
      </c>
      <c r="P137" s="66">
        <f t="shared" ref="P137:P141" si="80">+$O137/$J137*C137</f>
        <v>0.51200000000000001</v>
      </c>
      <c r="Q137" s="66">
        <f t="shared" ref="Q137:Q141" si="81">+$O137/$J137*D137</f>
        <v>7.3999999999999996E-2</v>
      </c>
      <c r="R137" s="66">
        <f t="shared" ref="R137:R141" si="82">+$O137/$J137*E137</f>
        <v>0</v>
      </c>
      <c r="S137" s="66">
        <f t="shared" ref="S137:S141" si="83">+$O137/$J137*F137</f>
        <v>0</v>
      </c>
      <c r="T137" s="66">
        <f t="shared" ref="T137:T141" si="84">+$O137/$J137*G137</f>
        <v>0</v>
      </c>
      <c r="U137" s="66">
        <f t="shared" ref="U137:U141" si="85">+$O137/$J137*H137</f>
        <v>0</v>
      </c>
      <c r="V137" s="66">
        <f t="shared" ref="V137:V141" si="86">+$O137/$J137*I137</f>
        <v>0</v>
      </c>
    </row>
    <row r="138" spans="1:22" s="7" customFormat="1">
      <c r="A138" s="7" t="s">
        <v>20</v>
      </c>
      <c r="B138" s="7" t="s">
        <v>503</v>
      </c>
      <c r="C138" s="106">
        <v>0.21299999999999999</v>
      </c>
      <c r="D138" s="106">
        <v>0</v>
      </c>
      <c r="E138" s="106">
        <v>0</v>
      </c>
      <c r="F138" s="106">
        <v>0</v>
      </c>
      <c r="G138" s="106">
        <v>0</v>
      </c>
      <c r="H138" s="106">
        <v>0</v>
      </c>
      <c r="I138" s="106">
        <v>0</v>
      </c>
      <c r="J138" s="7">
        <v>100</v>
      </c>
      <c r="K138" s="7">
        <v>6</v>
      </c>
      <c r="L138" s="10" t="s">
        <v>186</v>
      </c>
      <c r="M138" s="7" t="s">
        <v>7</v>
      </c>
      <c r="N138" s="10" t="s">
        <v>43</v>
      </c>
      <c r="O138" s="7">
        <v>100</v>
      </c>
      <c r="P138" s="66">
        <f t="shared" si="80"/>
        <v>0.21299999999999999</v>
      </c>
      <c r="Q138" s="66">
        <f t="shared" si="81"/>
        <v>0</v>
      </c>
      <c r="R138" s="66">
        <f t="shared" si="82"/>
        <v>0</v>
      </c>
      <c r="S138" s="66">
        <f t="shared" si="83"/>
        <v>0</v>
      </c>
      <c r="T138" s="66">
        <f t="shared" si="84"/>
        <v>0</v>
      </c>
      <c r="U138" s="66">
        <f t="shared" si="85"/>
        <v>0</v>
      </c>
      <c r="V138" s="66">
        <f t="shared" si="86"/>
        <v>0</v>
      </c>
    </row>
    <row r="139" spans="1:22" s="7" customFormat="1">
      <c r="A139" s="7" t="s">
        <v>20</v>
      </c>
      <c r="B139" s="7" t="s">
        <v>504</v>
      </c>
      <c r="C139" s="106">
        <v>4.41</v>
      </c>
      <c r="D139" s="106">
        <v>12.49</v>
      </c>
      <c r="E139" s="106">
        <v>3.5999999999999997E-2</v>
      </c>
      <c r="F139" s="106">
        <v>0.14099999999999999</v>
      </c>
      <c r="G139" s="106">
        <v>0.16600000000000001</v>
      </c>
      <c r="H139" s="106">
        <v>6.4000000000000001E-2</v>
      </c>
      <c r="I139" s="106">
        <v>6.4000000000000001E-2</v>
      </c>
      <c r="J139" s="7">
        <v>100</v>
      </c>
      <c r="K139" s="7">
        <v>6</v>
      </c>
      <c r="L139" s="10" t="s">
        <v>186</v>
      </c>
      <c r="M139" s="7" t="s">
        <v>508</v>
      </c>
      <c r="N139" s="10" t="s">
        <v>43</v>
      </c>
      <c r="O139" s="7">
        <v>100</v>
      </c>
      <c r="P139" s="66">
        <f t="shared" si="80"/>
        <v>4.41</v>
      </c>
      <c r="Q139" s="66">
        <f t="shared" si="81"/>
        <v>12.49</v>
      </c>
      <c r="R139" s="66">
        <f t="shared" si="82"/>
        <v>3.5999999999999997E-2</v>
      </c>
      <c r="S139" s="66">
        <f t="shared" si="83"/>
        <v>0.14099999999999999</v>
      </c>
      <c r="T139" s="66">
        <f t="shared" si="84"/>
        <v>0.16600000000000001</v>
      </c>
      <c r="U139" s="66">
        <f t="shared" si="85"/>
        <v>6.4000000000000001E-2</v>
      </c>
      <c r="V139" s="66">
        <f t="shared" si="86"/>
        <v>6.4000000000000001E-2</v>
      </c>
    </row>
    <row r="140" spans="1:22" s="7" customFormat="1">
      <c r="A140" s="7" t="s">
        <v>20</v>
      </c>
      <c r="B140" s="7" t="s">
        <v>505</v>
      </c>
      <c r="C140" s="106">
        <v>1.236</v>
      </c>
      <c r="D140" s="106">
        <v>4.3529999999999998</v>
      </c>
      <c r="E140" s="106">
        <v>0</v>
      </c>
      <c r="F140" s="106">
        <v>0</v>
      </c>
      <c r="G140" s="106">
        <v>0</v>
      </c>
      <c r="H140" s="106">
        <v>0</v>
      </c>
      <c r="I140" s="106">
        <v>0</v>
      </c>
      <c r="J140" s="7">
        <v>100</v>
      </c>
      <c r="K140" s="7">
        <v>6</v>
      </c>
      <c r="L140" s="10" t="s">
        <v>186</v>
      </c>
      <c r="M140" s="7" t="s">
        <v>508</v>
      </c>
      <c r="N140" s="10" t="s">
        <v>43</v>
      </c>
      <c r="O140" s="7">
        <v>101</v>
      </c>
      <c r="P140" s="66">
        <f t="shared" si="80"/>
        <v>1.2483599999999999</v>
      </c>
      <c r="Q140" s="66">
        <f t="shared" si="81"/>
        <v>4.3965299999999994</v>
      </c>
      <c r="R140" s="66">
        <f t="shared" si="82"/>
        <v>0</v>
      </c>
      <c r="S140" s="66">
        <f t="shared" si="83"/>
        <v>0</v>
      </c>
      <c r="T140" s="66">
        <f t="shared" si="84"/>
        <v>0</v>
      </c>
      <c r="U140" s="66">
        <f t="shared" si="85"/>
        <v>0</v>
      </c>
      <c r="V140" s="66">
        <f t="shared" si="86"/>
        <v>0</v>
      </c>
    </row>
    <row r="141" spans="1:22" s="7" customFormat="1">
      <c r="A141" s="7" t="s">
        <v>20</v>
      </c>
      <c r="B141" s="7" t="s">
        <v>506</v>
      </c>
      <c r="C141" s="106">
        <v>0.9</v>
      </c>
      <c r="D141" s="106">
        <v>1.3859999999999999</v>
      </c>
      <c r="E141" s="106">
        <v>0</v>
      </c>
      <c r="F141" s="106">
        <v>1.75</v>
      </c>
      <c r="G141" s="106">
        <v>0</v>
      </c>
      <c r="H141" s="106">
        <v>0</v>
      </c>
      <c r="I141" s="106">
        <v>0</v>
      </c>
      <c r="J141" s="7">
        <v>100</v>
      </c>
      <c r="K141" s="7">
        <v>6</v>
      </c>
      <c r="L141" s="10" t="s">
        <v>186</v>
      </c>
      <c r="M141" s="7" t="s">
        <v>7</v>
      </c>
      <c r="N141" s="10" t="s">
        <v>43</v>
      </c>
      <c r="O141" s="7">
        <v>100</v>
      </c>
      <c r="P141" s="66">
        <f t="shared" si="80"/>
        <v>0.9</v>
      </c>
      <c r="Q141" s="66">
        <f t="shared" si="81"/>
        <v>1.3859999999999999</v>
      </c>
      <c r="R141" s="66">
        <f t="shared" si="82"/>
        <v>0</v>
      </c>
      <c r="S141" s="66">
        <f t="shared" si="83"/>
        <v>1.75</v>
      </c>
      <c r="T141" s="66">
        <f t="shared" si="84"/>
        <v>0</v>
      </c>
      <c r="U141" s="66">
        <f t="shared" si="85"/>
        <v>0</v>
      </c>
      <c r="V141" s="66">
        <f t="shared" si="86"/>
        <v>0</v>
      </c>
    </row>
    <row r="142" spans="1:22" s="7" customFormat="1">
      <c r="A142" s="7" t="s">
        <v>21</v>
      </c>
      <c r="B142" s="7" t="s">
        <v>509</v>
      </c>
      <c r="C142" s="106">
        <v>12.202</v>
      </c>
      <c r="D142" s="106">
        <v>6.2949999999999999</v>
      </c>
      <c r="E142" s="106">
        <v>0</v>
      </c>
      <c r="F142" s="106">
        <v>0</v>
      </c>
      <c r="G142" s="106">
        <v>0</v>
      </c>
      <c r="H142" s="106">
        <v>0</v>
      </c>
      <c r="I142" s="106">
        <v>0</v>
      </c>
      <c r="J142" s="7">
        <v>100</v>
      </c>
      <c r="K142" s="7">
        <v>6</v>
      </c>
      <c r="L142" s="10" t="s">
        <v>186</v>
      </c>
      <c r="M142" s="7" t="s">
        <v>514</v>
      </c>
      <c r="N142" s="10" t="s">
        <v>43</v>
      </c>
      <c r="O142" s="7">
        <v>100</v>
      </c>
      <c r="P142" s="66">
        <f t="shared" si="39"/>
        <v>12.202</v>
      </c>
      <c r="Q142" s="66">
        <f t="shared" si="40"/>
        <v>6.2949999999999999</v>
      </c>
      <c r="R142" s="66">
        <f t="shared" si="41"/>
        <v>0</v>
      </c>
      <c r="S142" s="66">
        <f t="shared" si="42"/>
        <v>0</v>
      </c>
      <c r="T142" s="66">
        <f t="shared" si="43"/>
        <v>0</v>
      </c>
      <c r="U142" s="66">
        <f t="shared" si="44"/>
        <v>0</v>
      </c>
      <c r="V142" s="66">
        <f t="shared" si="45"/>
        <v>0</v>
      </c>
    </row>
    <row r="143" spans="1:22" s="7" customFormat="1">
      <c r="A143" s="7" t="s">
        <v>21</v>
      </c>
      <c r="B143" s="7" t="s">
        <v>510</v>
      </c>
      <c r="C143" s="106">
        <v>0.54700000000000004</v>
      </c>
      <c r="D143" s="106">
        <v>0</v>
      </c>
      <c r="E143" s="106">
        <v>0</v>
      </c>
      <c r="F143" s="106">
        <v>0</v>
      </c>
      <c r="G143" s="106">
        <v>0</v>
      </c>
      <c r="H143" s="106">
        <v>0</v>
      </c>
      <c r="I143" s="106">
        <v>0</v>
      </c>
      <c r="J143" s="7">
        <v>100</v>
      </c>
      <c r="K143" s="7">
        <v>6</v>
      </c>
      <c r="L143" s="10" t="s">
        <v>186</v>
      </c>
      <c r="M143" s="7" t="s">
        <v>514</v>
      </c>
      <c r="N143" s="10" t="s">
        <v>43</v>
      </c>
      <c r="O143" s="7">
        <v>100</v>
      </c>
      <c r="P143" s="66">
        <f t="shared" si="39"/>
        <v>0.54700000000000004</v>
      </c>
      <c r="Q143" s="66">
        <f t="shared" si="40"/>
        <v>0</v>
      </c>
      <c r="R143" s="66">
        <f t="shared" si="41"/>
        <v>0</v>
      </c>
      <c r="S143" s="66">
        <f t="shared" si="42"/>
        <v>0</v>
      </c>
      <c r="T143" s="66">
        <f t="shared" si="43"/>
        <v>0</v>
      </c>
      <c r="U143" s="66">
        <f t="shared" si="44"/>
        <v>0</v>
      </c>
      <c r="V143" s="66">
        <f t="shared" si="45"/>
        <v>0</v>
      </c>
    </row>
    <row r="144" spans="1:22" s="7" customFormat="1">
      <c r="A144" s="7" t="s">
        <v>21</v>
      </c>
      <c r="B144" s="7" t="s">
        <v>511</v>
      </c>
      <c r="C144" s="106">
        <v>7.3040000000000003</v>
      </c>
      <c r="D144" s="106">
        <v>2.3E-2</v>
      </c>
      <c r="E144" s="106">
        <v>8.9999999999999993E-3</v>
      </c>
      <c r="F144" s="106">
        <v>0.01</v>
      </c>
      <c r="G144" s="106">
        <v>0.01</v>
      </c>
      <c r="H144" s="106">
        <v>0.01</v>
      </c>
      <c r="I144" s="106">
        <v>0.01</v>
      </c>
      <c r="J144" s="7">
        <v>100</v>
      </c>
      <c r="K144" s="7">
        <v>6</v>
      </c>
      <c r="L144" s="10" t="s">
        <v>186</v>
      </c>
      <c r="M144" s="7" t="s">
        <v>515</v>
      </c>
      <c r="N144" s="10" t="s">
        <v>43</v>
      </c>
      <c r="O144" s="7">
        <v>100</v>
      </c>
      <c r="P144" s="66">
        <f t="shared" si="39"/>
        <v>7.3040000000000003</v>
      </c>
      <c r="Q144" s="66">
        <f t="shared" si="40"/>
        <v>2.3E-2</v>
      </c>
      <c r="R144" s="66">
        <f t="shared" si="41"/>
        <v>8.9999999999999993E-3</v>
      </c>
      <c r="S144" s="66">
        <f t="shared" si="42"/>
        <v>0.01</v>
      </c>
      <c r="T144" s="66">
        <f t="shared" si="43"/>
        <v>0.01</v>
      </c>
      <c r="U144" s="66">
        <f t="shared" si="44"/>
        <v>0.01</v>
      </c>
      <c r="V144" s="66">
        <f t="shared" si="45"/>
        <v>0.01</v>
      </c>
    </row>
    <row r="145" spans="1:22" s="7" customFormat="1">
      <c r="A145" s="7" t="s">
        <v>21</v>
      </c>
      <c r="B145" s="7" t="s">
        <v>512</v>
      </c>
      <c r="C145" s="106">
        <v>1.712</v>
      </c>
      <c r="D145" s="106">
        <v>0.94799999999999995</v>
      </c>
      <c r="E145" s="106">
        <v>0</v>
      </c>
      <c r="F145" s="106">
        <v>0</v>
      </c>
      <c r="G145" s="106">
        <v>0</v>
      </c>
      <c r="H145" s="106">
        <v>0</v>
      </c>
      <c r="I145" s="106">
        <v>0</v>
      </c>
      <c r="J145" s="7">
        <v>100</v>
      </c>
      <c r="K145" s="7">
        <v>4</v>
      </c>
      <c r="L145" s="125" t="s">
        <v>361</v>
      </c>
      <c r="M145" s="7" t="s">
        <v>7</v>
      </c>
      <c r="N145" s="10" t="s">
        <v>43</v>
      </c>
      <c r="O145" s="7">
        <v>100</v>
      </c>
      <c r="P145" s="66">
        <f t="shared" si="39"/>
        <v>1.712</v>
      </c>
      <c r="Q145" s="66">
        <f t="shared" si="40"/>
        <v>0.94799999999999995</v>
      </c>
      <c r="R145" s="66">
        <f t="shared" si="41"/>
        <v>0</v>
      </c>
      <c r="S145" s="66">
        <f t="shared" si="42"/>
        <v>0</v>
      </c>
      <c r="T145" s="66">
        <f t="shared" si="43"/>
        <v>0</v>
      </c>
      <c r="U145" s="66">
        <f t="shared" si="44"/>
        <v>0</v>
      </c>
      <c r="V145" s="66">
        <f t="shared" si="45"/>
        <v>0</v>
      </c>
    </row>
    <row r="146" spans="1:22" s="7" customFormat="1">
      <c r="A146" s="7" t="s">
        <v>21</v>
      </c>
      <c r="B146" s="7" t="s">
        <v>516</v>
      </c>
      <c r="C146" s="106">
        <v>0.74</v>
      </c>
      <c r="D146" s="106">
        <v>8.6999999999999994E-2</v>
      </c>
      <c r="E146" s="106">
        <v>0</v>
      </c>
      <c r="F146" s="106">
        <v>0</v>
      </c>
      <c r="G146" s="106">
        <v>0</v>
      </c>
      <c r="H146" s="106">
        <v>0</v>
      </c>
      <c r="I146" s="106">
        <v>0</v>
      </c>
      <c r="J146" s="7">
        <v>100</v>
      </c>
      <c r="K146" s="7">
        <v>6</v>
      </c>
      <c r="L146" s="10" t="s">
        <v>186</v>
      </c>
      <c r="M146" s="7" t="s">
        <v>7</v>
      </c>
      <c r="N146" s="10" t="s">
        <v>43</v>
      </c>
      <c r="O146" s="7">
        <v>100</v>
      </c>
      <c r="P146" s="66">
        <f t="shared" si="39"/>
        <v>0.74</v>
      </c>
      <c r="Q146" s="66">
        <f t="shared" si="40"/>
        <v>8.6999999999999994E-2</v>
      </c>
      <c r="R146" s="66">
        <f t="shared" si="41"/>
        <v>0</v>
      </c>
      <c r="S146" s="66">
        <f t="shared" si="42"/>
        <v>0</v>
      </c>
      <c r="T146" s="66">
        <f t="shared" si="43"/>
        <v>0</v>
      </c>
      <c r="U146" s="66">
        <f t="shared" si="44"/>
        <v>0</v>
      </c>
      <c r="V146" s="66">
        <f t="shared" si="45"/>
        <v>0</v>
      </c>
    </row>
    <row r="147" spans="1:22" s="7" customFormat="1">
      <c r="A147" s="7" t="s">
        <v>21</v>
      </c>
      <c r="B147" s="7" t="s">
        <v>328</v>
      </c>
      <c r="C147" s="106">
        <v>2.278</v>
      </c>
      <c r="D147" s="106">
        <v>1.8109999999999999</v>
      </c>
      <c r="E147" s="106">
        <v>1.863</v>
      </c>
      <c r="F147" s="106">
        <v>1.393</v>
      </c>
      <c r="G147" s="106">
        <v>0.77100000000000002</v>
      </c>
      <c r="H147" s="106">
        <v>0.49</v>
      </c>
      <c r="I147" s="106">
        <v>0.49</v>
      </c>
      <c r="J147" s="7">
        <v>100</v>
      </c>
      <c r="K147" s="7" t="s">
        <v>329</v>
      </c>
      <c r="L147" s="125"/>
      <c r="M147" s="7" t="s">
        <v>22</v>
      </c>
      <c r="N147" s="10" t="s">
        <v>43</v>
      </c>
      <c r="O147" s="70">
        <v>100</v>
      </c>
      <c r="P147" s="66">
        <f t="shared" si="39"/>
        <v>2.278</v>
      </c>
      <c r="Q147" s="66">
        <f t="shared" si="40"/>
        <v>1.8109999999999999</v>
      </c>
      <c r="R147" s="66">
        <f t="shared" si="41"/>
        <v>1.863</v>
      </c>
      <c r="S147" s="66">
        <f t="shared" si="42"/>
        <v>1.393</v>
      </c>
      <c r="T147" s="66">
        <f t="shared" si="43"/>
        <v>0.77100000000000002</v>
      </c>
      <c r="U147" s="66">
        <f t="shared" si="44"/>
        <v>0.49</v>
      </c>
      <c r="V147" s="66">
        <f t="shared" si="45"/>
        <v>0.49</v>
      </c>
    </row>
    <row r="148" spans="1:22" s="7" customFormat="1">
      <c r="A148" s="7" t="s">
        <v>21</v>
      </c>
      <c r="B148" s="7" t="s">
        <v>513</v>
      </c>
      <c r="C148" s="106">
        <v>5.5E-2</v>
      </c>
      <c r="D148" s="106">
        <v>4.9000000000000002E-2</v>
      </c>
      <c r="E148" s="106">
        <v>0</v>
      </c>
      <c r="F148" s="106">
        <v>0</v>
      </c>
      <c r="G148" s="106">
        <v>0</v>
      </c>
      <c r="H148" s="106">
        <v>0</v>
      </c>
      <c r="I148" s="106">
        <v>0</v>
      </c>
      <c r="J148" s="7">
        <v>20</v>
      </c>
      <c r="K148" s="70">
        <v>10</v>
      </c>
      <c r="L148" s="125" t="s">
        <v>71</v>
      </c>
      <c r="M148" s="7" t="s">
        <v>514</v>
      </c>
      <c r="N148" s="10" t="s">
        <v>43</v>
      </c>
      <c r="O148" s="70">
        <v>20</v>
      </c>
      <c r="P148" s="66">
        <f t="shared" si="39"/>
        <v>5.5E-2</v>
      </c>
      <c r="Q148" s="66">
        <f t="shared" ref="Q148:Q149" si="87">+$O148/$J148*D148</f>
        <v>4.9000000000000002E-2</v>
      </c>
      <c r="R148" s="66">
        <f t="shared" ref="R148:R149" si="88">+$O148/$J148*E148</f>
        <v>0</v>
      </c>
      <c r="S148" s="66">
        <f t="shared" ref="S148:S149" si="89">+$O148/$J148*F148</f>
        <v>0</v>
      </c>
      <c r="T148" s="66">
        <f t="shared" ref="T148:T149" si="90">+$O148/$J148*G148</f>
        <v>0</v>
      </c>
      <c r="U148" s="66">
        <f t="shared" ref="U148:U149" si="91">+$O148/$J148*H148</f>
        <v>0</v>
      </c>
      <c r="V148" s="66">
        <f t="shared" ref="V148:V149" si="92">+$O148/$J148*I148</f>
        <v>0</v>
      </c>
    </row>
    <row r="149" spans="1:22" s="7" customFormat="1">
      <c r="A149" s="7" t="s">
        <v>517</v>
      </c>
      <c r="B149" s="7" t="s">
        <v>574</v>
      </c>
      <c r="C149" s="106">
        <v>4.2999999999999997E-2</v>
      </c>
      <c r="D149" s="106">
        <v>1E-3</v>
      </c>
      <c r="E149" s="106">
        <v>12.743</v>
      </c>
      <c r="F149" s="106">
        <v>13.247999999999999</v>
      </c>
      <c r="G149" s="106">
        <v>42.655999999999999</v>
      </c>
      <c r="H149" s="106">
        <v>42.655999999999999</v>
      </c>
      <c r="I149" s="106">
        <v>42.655999999999999</v>
      </c>
      <c r="J149" s="7">
        <v>100</v>
      </c>
      <c r="K149" s="7">
        <v>3</v>
      </c>
      <c r="L149" s="7" t="s">
        <v>103</v>
      </c>
      <c r="M149" s="7" t="s">
        <v>11</v>
      </c>
      <c r="N149" s="10" t="s">
        <v>43</v>
      </c>
      <c r="O149" s="70">
        <v>50</v>
      </c>
      <c r="P149" s="66">
        <f t="shared" si="39"/>
        <v>2.1499999999999998E-2</v>
      </c>
      <c r="Q149" s="66">
        <f t="shared" si="87"/>
        <v>5.0000000000000001E-4</v>
      </c>
      <c r="R149" s="66">
        <f t="shared" si="88"/>
        <v>6.3715000000000002</v>
      </c>
      <c r="S149" s="66">
        <f t="shared" si="89"/>
        <v>6.6239999999999997</v>
      </c>
      <c r="T149" s="66">
        <f t="shared" si="90"/>
        <v>21.327999999999999</v>
      </c>
      <c r="U149" s="66">
        <f t="shared" si="91"/>
        <v>21.327999999999999</v>
      </c>
      <c r="V149" s="66">
        <f t="shared" si="92"/>
        <v>21.327999999999999</v>
      </c>
    </row>
    <row r="150" spans="1:22" s="7" customFormat="1">
      <c r="A150" s="7" t="s">
        <v>517</v>
      </c>
      <c r="B150" s="7" t="s">
        <v>575</v>
      </c>
      <c r="C150" s="106">
        <v>9.3829999999999991</v>
      </c>
      <c r="D150" s="106">
        <v>4.5430000000000001</v>
      </c>
      <c r="E150" s="106">
        <v>2.4279999999999999</v>
      </c>
      <c r="F150" s="106">
        <v>0.34599999999999997</v>
      </c>
      <c r="G150" s="106">
        <v>0.34499999999999997</v>
      </c>
      <c r="H150" s="106">
        <v>5.0000000000000001E-3</v>
      </c>
      <c r="I150" s="106">
        <v>5.0000000000000001E-3</v>
      </c>
      <c r="J150" s="7">
        <v>100</v>
      </c>
      <c r="K150" s="7">
        <v>3</v>
      </c>
      <c r="L150" s="7" t="s">
        <v>103</v>
      </c>
      <c r="M150" s="7" t="s">
        <v>11</v>
      </c>
      <c r="N150" s="10" t="s">
        <v>43</v>
      </c>
      <c r="O150" s="70">
        <v>50</v>
      </c>
      <c r="P150" s="66">
        <f t="shared" ref="P150" si="93">+$O150/$J150*C150</f>
        <v>4.6914999999999996</v>
      </c>
      <c r="Q150" s="66">
        <f t="shared" ref="Q150" si="94">+$O150/$J150*D150</f>
        <v>2.2715000000000001</v>
      </c>
      <c r="R150" s="66">
        <f t="shared" ref="R150" si="95">+$O150/$J150*E150</f>
        <v>1.214</v>
      </c>
      <c r="S150" s="66">
        <f t="shared" ref="S150" si="96">+$O150/$J150*F150</f>
        <v>0.17299999999999999</v>
      </c>
      <c r="T150" s="66">
        <f t="shared" ref="T150" si="97">+$O150/$J150*G150</f>
        <v>0.17249999999999999</v>
      </c>
      <c r="U150" s="66">
        <f t="shared" ref="U150" si="98">+$O150/$J150*H150</f>
        <v>2.5000000000000001E-3</v>
      </c>
      <c r="V150" s="66">
        <f t="shared" ref="V150" si="99">+$O150/$J150*I150</f>
        <v>2.5000000000000001E-3</v>
      </c>
    </row>
    <row r="151" spans="1:22" s="7" customFormat="1">
      <c r="A151" s="7" t="s">
        <v>517</v>
      </c>
      <c r="B151" s="7" t="s">
        <v>576</v>
      </c>
      <c r="C151" s="106">
        <v>81.861000000000004</v>
      </c>
      <c r="D151" s="106">
        <v>48.238999999999997</v>
      </c>
      <c r="E151" s="106">
        <v>51.89</v>
      </c>
      <c r="F151" s="106">
        <v>53.966999999999999</v>
      </c>
      <c r="G151" s="106">
        <v>24.707000000000001</v>
      </c>
      <c r="H151" s="106">
        <v>24.707000000000001</v>
      </c>
      <c r="I151" s="106">
        <v>24.707000000000001</v>
      </c>
      <c r="J151" s="7">
        <v>100</v>
      </c>
      <c r="K151" s="7">
        <v>3</v>
      </c>
      <c r="L151" s="7" t="s">
        <v>103</v>
      </c>
      <c r="M151" s="7" t="s">
        <v>11</v>
      </c>
      <c r="N151" s="10" t="s">
        <v>43</v>
      </c>
      <c r="O151" s="70">
        <v>50</v>
      </c>
      <c r="P151" s="66">
        <f t="shared" ref="P151" si="100">+$O151/$J151*C151</f>
        <v>40.930500000000002</v>
      </c>
      <c r="Q151" s="66">
        <f t="shared" ref="Q151" si="101">+$O151/$J151*D151</f>
        <v>24.119499999999999</v>
      </c>
      <c r="R151" s="66">
        <f t="shared" ref="R151" si="102">+$O151/$J151*E151</f>
        <v>25.945</v>
      </c>
      <c r="S151" s="66">
        <f t="shared" ref="S151" si="103">+$O151/$J151*F151</f>
        <v>26.983499999999999</v>
      </c>
      <c r="T151" s="66">
        <f t="shared" ref="T151" si="104">+$O151/$J151*G151</f>
        <v>12.3535</v>
      </c>
      <c r="U151" s="66">
        <f t="shared" ref="U151" si="105">+$O151/$J151*H151</f>
        <v>12.3535</v>
      </c>
      <c r="V151" s="66">
        <f t="shared" ref="V151" si="106">+$O151/$J151*I151</f>
        <v>12.3535</v>
      </c>
    </row>
    <row r="152" spans="1:22" s="7" customFormat="1">
      <c r="A152" s="7" t="s">
        <v>375</v>
      </c>
      <c r="B152" s="7" t="s">
        <v>578</v>
      </c>
      <c r="C152" s="106">
        <v>1.069</v>
      </c>
      <c r="D152" s="106">
        <v>1.423</v>
      </c>
      <c r="E152" s="106">
        <v>2.839</v>
      </c>
      <c r="F152" s="106">
        <v>1.8120000000000001</v>
      </c>
      <c r="G152" s="106">
        <v>1.8120000000000001</v>
      </c>
      <c r="H152" s="106">
        <v>1.8120000000000001</v>
      </c>
      <c r="I152" s="106">
        <v>1.8120000000000001</v>
      </c>
      <c r="J152" s="7">
        <v>100</v>
      </c>
      <c r="K152" s="7">
        <v>6</v>
      </c>
      <c r="L152" s="10" t="s">
        <v>186</v>
      </c>
      <c r="M152" s="7" t="s">
        <v>374</v>
      </c>
      <c r="N152" s="10" t="s">
        <v>43</v>
      </c>
      <c r="O152" s="70">
        <v>0</v>
      </c>
      <c r="P152" s="66"/>
      <c r="Q152" s="66"/>
      <c r="R152" s="66"/>
      <c r="S152" s="66"/>
      <c r="T152" s="66"/>
      <c r="U152" s="66"/>
      <c r="V152" s="66"/>
    </row>
    <row r="153" spans="1:22" s="7" customFormat="1">
      <c r="A153" s="7" t="s">
        <v>375</v>
      </c>
      <c r="B153" s="7" t="s">
        <v>579</v>
      </c>
      <c r="C153" s="106">
        <v>0.38300000000000001</v>
      </c>
      <c r="D153" s="106">
        <v>0.29299999999999998</v>
      </c>
      <c r="E153" s="106">
        <v>0.59499999999999997</v>
      </c>
      <c r="F153" s="106">
        <v>0.56200000000000006</v>
      </c>
      <c r="G153" s="106">
        <v>0.56200000000000006</v>
      </c>
      <c r="H153" s="106">
        <v>0.56200000000000006</v>
      </c>
      <c r="I153" s="106">
        <v>0.56200000000000006</v>
      </c>
      <c r="J153" s="7">
        <v>100</v>
      </c>
      <c r="K153" s="7">
        <v>6</v>
      </c>
      <c r="L153" s="10" t="s">
        <v>186</v>
      </c>
      <c r="M153" s="7" t="s">
        <v>374</v>
      </c>
      <c r="N153" s="10" t="s">
        <v>43</v>
      </c>
      <c r="O153" s="70">
        <v>0</v>
      </c>
      <c r="P153" s="66"/>
      <c r="Q153" s="66"/>
      <c r="R153" s="66"/>
      <c r="S153" s="66"/>
      <c r="T153" s="66"/>
      <c r="U153" s="66"/>
      <c r="V153" s="66"/>
    </row>
    <row r="154" spans="1:22" s="7" customFormat="1">
      <c r="A154" s="7" t="s">
        <v>577</v>
      </c>
      <c r="B154" s="7" t="s">
        <v>580</v>
      </c>
      <c r="C154" s="106">
        <v>1.2210000000000001</v>
      </c>
      <c r="D154" s="106">
        <v>0.77500000000000002</v>
      </c>
      <c r="E154" s="106">
        <v>0</v>
      </c>
      <c r="F154" s="106">
        <v>0</v>
      </c>
      <c r="G154" s="106">
        <v>0</v>
      </c>
      <c r="H154" s="106">
        <v>0</v>
      </c>
      <c r="I154" s="106">
        <v>0</v>
      </c>
      <c r="J154" s="7">
        <v>100</v>
      </c>
      <c r="K154" s="7">
        <v>6</v>
      </c>
      <c r="L154" s="10" t="s">
        <v>186</v>
      </c>
      <c r="M154" s="7" t="s">
        <v>374</v>
      </c>
      <c r="N154" s="10" t="s">
        <v>43</v>
      </c>
      <c r="O154" s="70">
        <v>0</v>
      </c>
      <c r="P154" s="66"/>
      <c r="Q154" s="66"/>
      <c r="R154" s="66"/>
      <c r="S154" s="66"/>
      <c r="T154" s="66"/>
      <c r="U154" s="66"/>
      <c r="V154" s="66"/>
    </row>
    <row r="155" spans="1:22" s="7" customFormat="1">
      <c r="A155" s="7" t="s">
        <v>577</v>
      </c>
      <c r="B155" s="7" t="s">
        <v>579</v>
      </c>
      <c r="C155" s="106">
        <v>0.13</v>
      </c>
      <c r="D155" s="106">
        <v>0.26200000000000001</v>
      </c>
      <c r="E155" s="106">
        <v>0</v>
      </c>
      <c r="F155" s="106">
        <v>0</v>
      </c>
      <c r="G155" s="106">
        <v>0</v>
      </c>
      <c r="H155" s="106">
        <v>0</v>
      </c>
      <c r="I155" s="106">
        <v>0</v>
      </c>
      <c r="J155" s="7">
        <v>100</v>
      </c>
      <c r="K155" s="7">
        <v>6</v>
      </c>
      <c r="L155" s="10" t="s">
        <v>186</v>
      </c>
      <c r="M155" s="7" t="s">
        <v>374</v>
      </c>
      <c r="N155" s="10" t="s">
        <v>43</v>
      </c>
      <c r="O155" s="70">
        <v>0</v>
      </c>
      <c r="P155" s="66"/>
      <c r="Q155" s="66"/>
      <c r="R155" s="66"/>
      <c r="S155" s="66"/>
      <c r="T155" s="66"/>
      <c r="U155" s="66"/>
      <c r="V155" s="66"/>
    </row>
    <row r="156" spans="1:22" s="7" customFormat="1">
      <c r="A156" s="7" t="s">
        <v>282</v>
      </c>
      <c r="B156" s="7" t="s">
        <v>581</v>
      </c>
      <c r="C156" s="106">
        <v>9.6000000000000002E-2</v>
      </c>
      <c r="D156" s="106">
        <v>0.498</v>
      </c>
      <c r="E156" s="106">
        <v>0</v>
      </c>
      <c r="F156" s="106">
        <v>0</v>
      </c>
      <c r="G156" s="106">
        <v>0</v>
      </c>
      <c r="H156" s="106">
        <v>0</v>
      </c>
      <c r="I156" s="106">
        <v>0</v>
      </c>
      <c r="J156" s="7">
        <v>100</v>
      </c>
      <c r="K156" s="7">
        <v>6</v>
      </c>
      <c r="L156" s="10" t="s">
        <v>186</v>
      </c>
      <c r="M156" s="7" t="s">
        <v>374</v>
      </c>
      <c r="N156" s="10" t="s">
        <v>43</v>
      </c>
      <c r="O156" s="70">
        <v>0</v>
      </c>
      <c r="P156" s="66"/>
      <c r="Q156" s="66"/>
      <c r="R156" s="66"/>
      <c r="S156" s="66"/>
      <c r="T156" s="66"/>
      <c r="U156" s="66"/>
      <c r="V156" s="66"/>
    </row>
    <row r="157" spans="1:22" s="7" customFormat="1">
      <c r="A157" s="7" t="s">
        <v>375</v>
      </c>
      <c r="B157" s="7" t="s">
        <v>376</v>
      </c>
      <c r="C157" s="106">
        <v>1.0009999999999999</v>
      </c>
      <c r="D157" s="106">
        <v>1.716</v>
      </c>
      <c r="E157" s="106">
        <v>0.71599999999999997</v>
      </c>
      <c r="F157" s="106">
        <v>0</v>
      </c>
      <c r="G157" s="106">
        <v>0</v>
      </c>
      <c r="H157" s="106">
        <v>0</v>
      </c>
      <c r="I157" s="106">
        <v>0</v>
      </c>
      <c r="J157" s="7">
        <v>100</v>
      </c>
      <c r="K157" s="7">
        <v>1.6</v>
      </c>
      <c r="L157" s="125"/>
      <c r="M157" s="7" t="s">
        <v>12</v>
      </c>
      <c r="N157" s="10" t="s">
        <v>43</v>
      </c>
      <c r="O157" s="70">
        <v>50</v>
      </c>
      <c r="P157" s="66">
        <f t="shared" ref="P157" si="107">+$O157/$J157*C157</f>
        <v>0.50049999999999994</v>
      </c>
      <c r="Q157" s="66">
        <f t="shared" ref="Q157" si="108">+$O157/$J157*D157</f>
        <v>0.85799999999999998</v>
      </c>
      <c r="R157" s="66">
        <f t="shared" ref="R157" si="109">+$O157/$J157*E157</f>
        <v>0.35799999999999998</v>
      </c>
      <c r="S157" s="66">
        <f t="shared" ref="S157" si="110">+$O157/$J157*F157</f>
        <v>0</v>
      </c>
      <c r="T157" s="66">
        <f t="shared" ref="T157" si="111">+$O157/$J157*G157</f>
        <v>0</v>
      </c>
      <c r="U157" s="66">
        <f t="shared" ref="U157" si="112">+$O157/$J157*H157</f>
        <v>0</v>
      </c>
      <c r="V157" s="66">
        <f t="shared" ref="V157" si="113">+$O157/$J157*I157</f>
        <v>0</v>
      </c>
    </row>
    <row r="158" spans="1:22" s="7" customFormat="1">
      <c r="A158" s="7" t="s">
        <v>330</v>
      </c>
      <c r="B158" s="7" t="s">
        <v>518</v>
      </c>
      <c r="C158" s="106">
        <v>1.5129999999999999</v>
      </c>
      <c r="D158" s="106">
        <v>0</v>
      </c>
      <c r="E158" s="106">
        <v>0</v>
      </c>
      <c r="F158" s="106">
        <v>0</v>
      </c>
      <c r="G158" s="106">
        <v>0</v>
      </c>
      <c r="H158" s="106">
        <v>0</v>
      </c>
      <c r="I158" s="106">
        <v>0</v>
      </c>
      <c r="J158" s="7">
        <v>70</v>
      </c>
      <c r="K158" s="7">
        <v>4</v>
      </c>
      <c r="L158" s="125" t="s">
        <v>361</v>
      </c>
      <c r="M158" s="7" t="s">
        <v>4</v>
      </c>
      <c r="N158" s="10" t="s">
        <v>43</v>
      </c>
      <c r="O158" s="70">
        <v>50</v>
      </c>
      <c r="P158" s="66">
        <f t="shared" ref="P158:T161" si="114">+$O158/$J158*C158</f>
        <v>1.0807142857142857</v>
      </c>
      <c r="Q158" s="66">
        <f t="shared" si="114"/>
        <v>0</v>
      </c>
      <c r="R158" s="66">
        <f t="shared" si="114"/>
        <v>0</v>
      </c>
      <c r="S158" s="66">
        <f t="shared" si="114"/>
        <v>0</v>
      </c>
      <c r="T158" s="66">
        <f t="shared" si="114"/>
        <v>0</v>
      </c>
      <c r="U158" s="66">
        <f t="shared" ref="U158:U161" si="115">+$O158/$J158*H158</f>
        <v>0</v>
      </c>
      <c r="V158" s="66">
        <f t="shared" ref="V158:V161" si="116">+$O158/$J158*I158</f>
        <v>0</v>
      </c>
    </row>
    <row r="159" spans="1:22" s="7" customFormat="1">
      <c r="A159" s="7" t="s">
        <v>330</v>
      </c>
      <c r="B159" s="7" t="s">
        <v>519</v>
      </c>
      <c r="C159" s="106">
        <v>4.8470000000000004</v>
      </c>
      <c r="D159" s="106">
        <v>5.2549999999999999</v>
      </c>
      <c r="E159" s="106">
        <v>5.9210000000000003</v>
      </c>
      <c r="F159" s="106">
        <v>5.16</v>
      </c>
      <c r="G159" s="106">
        <v>5.56</v>
      </c>
      <c r="H159" s="106">
        <v>5.56</v>
      </c>
      <c r="I159" s="106">
        <v>5.56</v>
      </c>
      <c r="J159" s="7">
        <v>30</v>
      </c>
      <c r="K159" s="7">
        <v>4</v>
      </c>
      <c r="L159" s="125" t="s">
        <v>361</v>
      </c>
      <c r="M159" s="7" t="s">
        <v>25</v>
      </c>
      <c r="N159" s="10" t="s">
        <v>43</v>
      </c>
      <c r="O159" s="70">
        <v>30</v>
      </c>
      <c r="P159" s="66">
        <f t="shared" si="114"/>
        <v>4.8470000000000004</v>
      </c>
      <c r="Q159" s="66">
        <f t="shared" si="114"/>
        <v>5.2549999999999999</v>
      </c>
      <c r="R159" s="66">
        <f t="shared" si="114"/>
        <v>5.9210000000000003</v>
      </c>
      <c r="S159" s="66">
        <f t="shared" si="114"/>
        <v>5.16</v>
      </c>
      <c r="T159" s="66">
        <f t="shared" si="114"/>
        <v>5.56</v>
      </c>
      <c r="U159" s="66">
        <f t="shared" si="115"/>
        <v>5.56</v>
      </c>
      <c r="V159" s="66">
        <f t="shared" si="116"/>
        <v>5.56</v>
      </c>
    </row>
    <row r="160" spans="1:22" s="7" customFormat="1">
      <c r="A160" s="127" t="s">
        <v>282</v>
      </c>
      <c r="B160" s="154" t="s">
        <v>283</v>
      </c>
      <c r="C160" s="155">
        <v>4.617</v>
      </c>
      <c r="D160" s="155">
        <v>12.365</v>
      </c>
      <c r="E160" s="155">
        <v>9.4120000000000008</v>
      </c>
      <c r="F160" s="155">
        <v>8.2129999999999992</v>
      </c>
      <c r="G160" s="155">
        <v>7.2409999999999997</v>
      </c>
      <c r="H160" s="155">
        <v>7.7030000000000003</v>
      </c>
      <c r="I160" s="155">
        <v>7.7030000000000003</v>
      </c>
      <c r="J160" s="156">
        <v>30</v>
      </c>
      <c r="K160" s="11">
        <v>5</v>
      </c>
      <c r="L160" s="7" t="s">
        <v>185</v>
      </c>
      <c r="M160" s="127" t="s">
        <v>12</v>
      </c>
      <c r="N160" s="7" t="s">
        <v>43</v>
      </c>
      <c r="O160" s="11">
        <v>30</v>
      </c>
      <c r="P160" s="66">
        <f t="shared" si="114"/>
        <v>4.617</v>
      </c>
      <c r="Q160" s="66">
        <f t="shared" si="114"/>
        <v>12.365</v>
      </c>
      <c r="R160" s="66">
        <f t="shared" si="114"/>
        <v>9.4120000000000008</v>
      </c>
      <c r="S160" s="66">
        <f t="shared" si="114"/>
        <v>8.2129999999999992</v>
      </c>
      <c r="T160" s="66">
        <f t="shared" si="114"/>
        <v>7.2409999999999997</v>
      </c>
      <c r="U160" s="66">
        <f t="shared" si="115"/>
        <v>7.7030000000000003</v>
      </c>
      <c r="V160" s="66">
        <f t="shared" si="116"/>
        <v>7.7030000000000003</v>
      </c>
    </row>
    <row r="161" spans="1:22" s="7" customFormat="1">
      <c r="A161" s="127" t="s">
        <v>282</v>
      </c>
      <c r="B161" s="10" t="s">
        <v>258</v>
      </c>
      <c r="C161" s="155">
        <v>1.645</v>
      </c>
      <c r="D161" s="155">
        <v>0</v>
      </c>
      <c r="E161" s="155">
        <v>0</v>
      </c>
      <c r="F161" s="155">
        <v>0</v>
      </c>
      <c r="G161" s="155">
        <v>0</v>
      </c>
      <c r="H161" s="155">
        <v>0</v>
      </c>
      <c r="I161" s="155">
        <v>0</v>
      </c>
      <c r="J161" s="156">
        <v>35</v>
      </c>
      <c r="K161" s="11">
        <v>6</v>
      </c>
      <c r="L161" s="10" t="s">
        <v>186</v>
      </c>
      <c r="M161" s="127" t="s">
        <v>25</v>
      </c>
      <c r="N161" s="7" t="s">
        <v>43</v>
      </c>
      <c r="O161" s="11">
        <v>35</v>
      </c>
      <c r="P161" s="66">
        <f t="shared" si="114"/>
        <v>1.645</v>
      </c>
      <c r="Q161" s="66">
        <f t="shared" si="114"/>
        <v>0</v>
      </c>
      <c r="R161" s="66">
        <f t="shared" si="114"/>
        <v>0</v>
      </c>
      <c r="S161" s="66">
        <f t="shared" si="114"/>
        <v>0</v>
      </c>
      <c r="T161" s="66">
        <f t="shared" si="114"/>
        <v>0</v>
      </c>
      <c r="U161" s="66">
        <f t="shared" si="115"/>
        <v>0</v>
      </c>
      <c r="V161" s="66">
        <f t="shared" si="116"/>
        <v>0</v>
      </c>
    </row>
    <row r="162" spans="1:22" s="82" customFormat="1" ht="15">
      <c r="A162" s="82" t="s">
        <v>379</v>
      </c>
      <c r="B162" s="131" t="s">
        <v>381</v>
      </c>
      <c r="C162" s="132"/>
      <c r="D162" s="132"/>
      <c r="E162" s="132"/>
      <c r="F162" s="132"/>
      <c r="G162" s="132"/>
      <c r="H162" s="132"/>
      <c r="I162" s="132"/>
      <c r="L162" s="23"/>
      <c r="O162" s="133"/>
      <c r="P162" s="153">
        <f>+SUM(P163:P173)</f>
        <v>77.888999999999996</v>
      </c>
      <c r="Q162" s="153">
        <f t="shared" ref="Q162:V162" si="117">+SUM(Q163:Q173)</f>
        <v>139.14190000000002</v>
      </c>
      <c r="R162" s="153">
        <f t="shared" si="117"/>
        <v>121.44489999999999</v>
      </c>
      <c r="S162" s="153">
        <f t="shared" si="117"/>
        <v>121.00389999999999</v>
      </c>
      <c r="T162" s="153">
        <f t="shared" si="117"/>
        <v>118.79289999999997</v>
      </c>
      <c r="U162" s="153">
        <f t="shared" si="117"/>
        <v>116.6909</v>
      </c>
      <c r="V162" s="153">
        <f t="shared" si="117"/>
        <v>105.73750000000001</v>
      </c>
    </row>
    <row r="163" spans="1:22" s="7" customFormat="1">
      <c r="A163" s="7" t="s">
        <v>39</v>
      </c>
      <c r="B163" s="7" t="s">
        <v>521</v>
      </c>
      <c r="C163" s="106">
        <v>25.87</v>
      </c>
      <c r="D163" s="106">
        <v>28.196000000000002</v>
      </c>
      <c r="E163" s="106">
        <v>29.067</v>
      </c>
      <c r="F163" s="106">
        <v>30.77</v>
      </c>
      <c r="G163" s="106">
        <v>29.472999999999999</v>
      </c>
      <c r="H163" s="106">
        <v>27.56</v>
      </c>
      <c r="I163" s="106">
        <v>21.521000000000001</v>
      </c>
      <c r="J163" s="7">
        <v>100</v>
      </c>
      <c r="K163" s="7" t="s">
        <v>591</v>
      </c>
      <c r="L163" s="10" t="s">
        <v>186</v>
      </c>
      <c r="M163" s="7" t="s">
        <v>12</v>
      </c>
      <c r="N163" s="10" t="s">
        <v>43</v>
      </c>
      <c r="O163" s="70">
        <v>100</v>
      </c>
      <c r="P163" s="66">
        <f t="shared" ref="P163:P173" si="118">+$O163/$J163*C163</f>
        <v>25.87</v>
      </c>
      <c r="Q163" s="66">
        <f t="shared" ref="Q163:Q173" si="119">+$O163/$J163*D163</f>
        <v>28.196000000000002</v>
      </c>
      <c r="R163" s="66">
        <f t="shared" ref="R163:R173" si="120">+$O163/$J163*E163</f>
        <v>29.067</v>
      </c>
      <c r="S163" s="66">
        <f t="shared" ref="S163:S173" si="121">+$O163/$J163*F163</f>
        <v>30.77</v>
      </c>
      <c r="T163" s="66">
        <f t="shared" ref="T163:T173" si="122">+$O163/$J163*G163</f>
        <v>29.472999999999999</v>
      </c>
      <c r="U163" s="66">
        <f t="shared" ref="U163:U173" si="123">+$O163/$J163*H163</f>
        <v>27.56</v>
      </c>
      <c r="V163" s="66">
        <f t="shared" ref="V163:V173" si="124">+$O163/$J163*I163</f>
        <v>21.521000000000001</v>
      </c>
    </row>
    <row r="164" spans="1:22" s="7" customFormat="1">
      <c r="A164" s="7" t="s">
        <v>39</v>
      </c>
      <c r="B164" s="7" t="s">
        <v>522</v>
      </c>
      <c r="C164" s="106">
        <v>14.04</v>
      </c>
      <c r="D164" s="106">
        <v>26.658999999999999</v>
      </c>
      <c r="E164" s="106">
        <v>18.486000000000001</v>
      </c>
      <c r="F164" s="106">
        <v>17.777999999999999</v>
      </c>
      <c r="G164" s="106">
        <v>19.489000000000001</v>
      </c>
      <c r="H164" s="106">
        <v>20.294</v>
      </c>
      <c r="I164" s="106">
        <v>16.972000000000001</v>
      </c>
      <c r="J164" s="7">
        <v>100</v>
      </c>
      <c r="K164" s="7" t="s">
        <v>591</v>
      </c>
      <c r="L164" s="10" t="s">
        <v>186</v>
      </c>
      <c r="M164" s="7" t="s">
        <v>12</v>
      </c>
      <c r="N164" s="10" t="s">
        <v>43</v>
      </c>
      <c r="O164" s="70">
        <v>100</v>
      </c>
      <c r="P164" s="66">
        <f t="shared" si="118"/>
        <v>14.04</v>
      </c>
      <c r="Q164" s="66">
        <f t="shared" si="119"/>
        <v>26.658999999999999</v>
      </c>
      <c r="R164" s="66">
        <f t="shared" si="120"/>
        <v>18.486000000000001</v>
      </c>
      <c r="S164" s="66">
        <f t="shared" si="121"/>
        <v>17.777999999999999</v>
      </c>
      <c r="T164" s="66">
        <f t="shared" si="122"/>
        <v>19.489000000000001</v>
      </c>
      <c r="U164" s="66">
        <f t="shared" si="123"/>
        <v>20.294</v>
      </c>
      <c r="V164" s="66">
        <f t="shared" si="124"/>
        <v>16.972000000000001</v>
      </c>
    </row>
    <row r="165" spans="1:22" s="7" customFormat="1">
      <c r="A165" s="7" t="s">
        <v>40</v>
      </c>
      <c r="B165" s="7" t="s">
        <v>284</v>
      </c>
      <c r="C165" s="106">
        <v>11.577</v>
      </c>
      <c r="D165" s="106">
        <v>33.603000000000002</v>
      </c>
      <c r="E165" s="106">
        <v>28.207999999999998</v>
      </c>
      <c r="F165" s="106">
        <v>32.554000000000002</v>
      </c>
      <c r="G165" s="106">
        <v>32.417999999999999</v>
      </c>
      <c r="H165" s="106">
        <v>33.402000000000001</v>
      </c>
      <c r="I165" s="106">
        <v>20.452000000000002</v>
      </c>
      <c r="J165" s="7">
        <v>70</v>
      </c>
      <c r="K165" s="7" t="s">
        <v>591</v>
      </c>
      <c r="L165" s="10" t="s">
        <v>186</v>
      </c>
      <c r="M165" s="7" t="s">
        <v>12</v>
      </c>
      <c r="N165" s="10" t="s">
        <v>43</v>
      </c>
      <c r="O165" s="70">
        <v>70</v>
      </c>
      <c r="P165" s="66">
        <f t="shared" si="118"/>
        <v>11.577</v>
      </c>
      <c r="Q165" s="66">
        <f t="shared" si="119"/>
        <v>33.603000000000002</v>
      </c>
      <c r="R165" s="66">
        <f t="shared" si="120"/>
        <v>28.207999999999998</v>
      </c>
      <c r="S165" s="66">
        <f t="shared" si="121"/>
        <v>32.554000000000002</v>
      </c>
      <c r="T165" s="66">
        <f t="shared" si="122"/>
        <v>32.417999999999999</v>
      </c>
      <c r="U165" s="66">
        <f t="shared" si="123"/>
        <v>33.402000000000001</v>
      </c>
      <c r="V165" s="66">
        <f t="shared" si="124"/>
        <v>20.452000000000002</v>
      </c>
    </row>
    <row r="166" spans="1:22" s="7" customFormat="1">
      <c r="A166" s="7" t="s">
        <v>382</v>
      </c>
      <c r="B166" s="7" t="s">
        <v>383</v>
      </c>
      <c r="C166" s="106">
        <v>0</v>
      </c>
      <c r="D166" s="106">
        <v>0.1239</v>
      </c>
      <c r="E166" s="106">
        <v>1.5239</v>
      </c>
      <c r="F166" s="106">
        <v>4.3239000000000001</v>
      </c>
      <c r="G166" s="106">
        <v>7.8239000000000001</v>
      </c>
      <c r="H166" s="106">
        <v>6.4169</v>
      </c>
      <c r="I166" s="106">
        <v>16.194500000000001</v>
      </c>
      <c r="J166" s="7">
        <v>70</v>
      </c>
      <c r="K166" s="7" t="s">
        <v>591</v>
      </c>
      <c r="L166" s="10" t="s">
        <v>186</v>
      </c>
      <c r="M166" s="7" t="s">
        <v>12</v>
      </c>
      <c r="N166" s="10" t="s">
        <v>43</v>
      </c>
      <c r="O166" s="70">
        <v>70</v>
      </c>
      <c r="P166" s="66">
        <f t="shared" si="118"/>
        <v>0</v>
      </c>
      <c r="Q166" s="66">
        <f t="shared" si="119"/>
        <v>0.1239</v>
      </c>
      <c r="R166" s="66">
        <f t="shared" si="120"/>
        <v>1.5239</v>
      </c>
      <c r="S166" s="66">
        <f t="shared" si="121"/>
        <v>4.3239000000000001</v>
      </c>
      <c r="T166" s="66">
        <f t="shared" si="122"/>
        <v>7.8239000000000001</v>
      </c>
      <c r="U166" s="66">
        <f t="shared" si="123"/>
        <v>6.4169</v>
      </c>
      <c r="V166" s="66">
        <f t="shared" si="124"/>
        <v>16.194500000000001</v>
      </c>
    </row>
    <row r="167" spans="1:22" s="7" customFormat="1">
      <c r="A167" s="7" t="s">
        <v>13</v>
      </c>
      <c r="B167" s="154" t="s">
        <v>286</v>
      </c>
      <c r="C167" s="106">
        <v>13</v>
      </c>
      <c r="D167" s="106">
        <v>18.001000000000001</v>
      </c>
      <c r="E167" s="106">
        <v>15.396000000000001</v>
      </c>
      <c r="F167" s="106">
        <v>10.526</v>
      </c>
      <c r="G167" s="106">
        <v>12.567</v>
      </c>
      <c r="H167" s="106">
        <v>12.996</v>
      </c>
      <c r="I167" s="106">
        <v>19.795999999999999</v>
      </c>
      <c r="J167" s="7">
        <v>50</v>
      </c>
      <c r="K167" s="7" t="s">
        <v>591</v>
      </c>
      <c r="L167" s="10" t="s">
        <v>186</v>
      </c>
      <c r="M167" s="7" t="s">
        <v>12</v>
      </c>
      <c r="N167" s="10" t="s">
        <v>43</v>
      </c>
      <c r="O167" s="70">
        <v>50</v>
      </c>
      <c r="P167" s="66">
        <f t="shared" si="118"/>
        <v>13</v>
      </c>
      <c r="Q167" s="66">
        <f t="shared" si="119"/>
        <v>18.001000000000001</v>
      </c>
      <c r="R167" s="66">
        <f t="shared" si="120"/>
        <v>15.396000000000001</v>
      </c>
      <c r="S167" s="66">
        <f t="shared" si="121"/>
        <v>10.526</v>
      </c>
      <c r="T167" s="66">
        <f t="shared" si="122"/>
        <v>12.567</v>
      </c>
      <c r="U167" s="66">
        <f t="shared" si="123"/>
        <v>12.996</v>
      </c>
      <c r="V167" s="66">
        <f t="shared" si="124"/>
        <v>19.795999999999999</v>
      </c>
    </row>
    <row r="168" spans="1:22" s="7" customFormat="1" ht="25.5">
      <c r="A168" s="127">
        <v>19</v>
      </c>
      <c r="B168" s="154" t="s">
        <v>360</v>
      </c>
      <c r="C168" s="155">
        <v>0</v>
      </c>
      <c r="D168" s="155">
        <v>7.1239999999999997</v>
      </c>
      <c r="E168" s="155">
        <v>5</v>
      </c>
      <c r="F168" s="155">
        <v>5</v>
      </c>
      <c r="G168" s="155">
        <v>5</v>
      </c>
      <c r="H168" s="155">
        <v>5</v>
      </c>
      <c r="I168" s="155">
        <v>5</v>
      </c>
      <c r="J168" s="156">
        <v>100</v>
      </c>
      <c r="K168" s="11" t="s">
        <v>17</v>
      </c>
      <c r="M168" s="127" t="s">
        <v>523</v>
      </c>
      <c r="N168" s="7" t="s">
        <v>331</v>
      </c>
      <c r="O168" s="11">
        <v>100</v>
      </c>
      <c r="P168" s="66">
        <f t="shared" si="118"/>
        <v>0</v>
      </c>
      <c r="Q168" s="66">
        <f t="shared" si="119"/>
        <v>7.1239999999999997</v>
      </c>
      <c r="R168" s="66">
        <f t="shared" si="120"/>
        <v>5</v>
      </c>
      <c r="S168" s="66">
        <f t="shared" si="121"/>
        <v>5</v>
      </c>
      <c r="T168" s="66">
        <f t="shared" si="122"/>
        <v>5</v>
      </c>
      <c r="U168" s="66">
        <f t="shared" si="123"/>
        <v>5</v>
      </c>
      <c r="V168" s="66">
        <f t="shared" si="124"/>
        <v>5</v>
      </c>
    </row>
    <row r="169" spans="1:22" s="7" customFormat="1" ht="25.5">
      <c r="A169" s="127">
        <v>19</v>
      </c>
      <c r="B169" s="154" t="s">
        <v>360</v>
      </c>
      <c r="C169" s="155">
        <v>10.423999999999999</v>
      </c>
      <c r="D169" s="155">
        <v>18.576000000000001</v>
      </c>
      <c r="E169" s="155">
        <v>15</v>
      </c>
      <c r="F169" s="155">
        <v>11</v>
      </c>
      <c r="G169" s="155">
        <v>3</v>
      </c>
      <c r="H169" s="155">
        <v>2</v>
      </c>
      <c r="I169" s="155">
        <v>0</v>
      </c>
      <c r="J169" s="156">
        <v>100</v>
      </c>
      <c r="K169" s="11" t="s">
        <v>17</v>
      </c>
      <c r="M169" s="127" t="s">
        <v>384</v>
      </c>
      <c r="N169" s="7" t="s">
        <v>331</v>
      </c>
      <c r="O169" s="11">
        <v>100</v>
      </c>
      <c r="P169" s="66">
        <f t="shared" ref="P169:P170" si="125">+$O169/$J169*C169</f>
        <v>10.423999999999999</v>
      </c>
      <c r="Q169" s="66">
        <f t="shared" ref="Q169:Q170" si="126">+$O169/$J169*D169</f>
        <v>18.576000000000001</v>
      </c>
      <c r="R169" s="66">
        <f t="shared" ref="R169:R170" si="127">+$O169/$J169*E169</f>
        <v>15</v>
      </c>
      <c r="S169" s="66">
        <f t="shared" ref="S169:S170" si="128">+$O169/$J169*F169</f>
        <v>11</v>
      </c>
      <c r="T169" s="66">
        <f t="shared" ref="T169:T170" si="129">+$O169/$J169*G169</f>
        <v>3</v>
      </c>
      <c r="U169" s="66">
        <f t="shared" ref="U169:U170" si="130">+$O169/$J169*H169</f>
        <v>2</v>
      </c>
      <c r="V169" s="66">
        <f t="shared" ref="V169:V170" si="131">+$O169/$J169*I169</f>
        <v>0</v>
      </c>
    </row>
    <row r="170" spans="1:22" s="7" customFormat="1" ht="25.5">
      <c r="A170" s="127">
        <v>19</v>
      </c>
      <c r="B170" s="154" t="s">
        <v>525</v>
      </c>
      <c r="C170" s="155">
        <v>0</v>
      </c>
      <c r="D170" s="155">
        <v>2.5</v>
      </c>
      <c r="E170" s="155">
        <v>2.5</v>
      </c>
      <c r="F170" s="155">
        <v>2.5</v>
      </c>
      <c r="G170" s="155">
        <v>2.5</v>
      </c>
      <c r="H170" s="155">
        <v>2.5</v>
      </c>
      <c r="I170" s="155">
        <v>0</v>
      </c>
      <c r="J170" s="156">
        <v>100</v>
      </c>
      <c r="K170" s="11" t="s">
        <v>76</v>
      </c>
      <c r="L170" s="7" t="s">
        <v>597</v>
      </c>
      <c r="M170" s="127" t="s">
        <v>524</v>
      </c>
      <c r="N170" s="7" t="s">
        <v>331</v>
      </c>
      <c r="O170" s="11">
        <v>100</v>
      </c>
      <c r="P170" s="66">
        <f t="shared" si="125"/>
        <v>0</v>
      </c>
      <c r="Q170" s="66">
        <f t="shared" si="126"/>
        <v>2.5</v>
      </c>
      <c r="R170" s="66">
        <f t="shared" si="127"/>
        <v>2.5</v>
      </c>
      <c r="S170" s="66">
        <f t="shared" si="128"/>
        <v>2.5</v>
      </c>
      <c r="T170" s="66">
        <f t="shared" si="129"/>
        <v>2.5</v>
      </c>
      <c r="U170" s="66">
        <f t="shared" si="130"/>
        <v>2.5</v>
      </c>
      <c r="V170" s="66">
        <f t="shared" si="131"/>
        <v>0</v>
      </c>
    </row>
    <row r="171" spans="1:22" s="7" customFormat="1">
      <c r="A171" s="127"/>
      <c r="B171" s="154" t="s">
        <v>526</v>
      </c>
      <c r="C171" s="155">
        <v>0</v>
      </c>
      <c r="D171" s="155">
        <v>0.6</v>
      </c>
      <c r="E171" s="155">
        <v>0.6</v>
      </c>
      <c r="F171" s="155">
        <v>0.6</v>
      </c>
      <c r="G171" s="155">
        <v>0.6</v>
      </c>
      <c r="H171" s="155">
        <v>0.6</v>
      </c>
      <c r="I171" s="155">
        <v>0</v>
      </c>
      <c r="J171" s="156">
        <v>6</v>
      </c>
      <c r="K171" s="11" t="s">
        <v>592</v>
      </c>
      <c r="M171" s="127" t="s">
        <v>12</v>
      </c>
      <c r="N171" s="7" t="s">
        <v>331</v>
      </c>
      <c r="O171" s="11">
        <v>6</v>
      </c>
      <c r="P171" s="66">
        <f t="shared" ref="P171:P172" si="132">+$O171/$J171*C171</f>
        <v>0</v>
      </c>
      <c r="Q171" s="66">
        <f t="shared" ref="Q171:Q172" si="133">+$O171/$J171*D171</f>
        <v>0.6</v>
      </c>
      <c r="R171" s="66">
        <f t="shared" ref="R171:R172" si="134">+$O171/$J171*E171</f>
        <v>0.6</v>
      </c>
      <c r="S171" s="66">
        <f t="shared" ref="S171:S172" si="135">+$O171/$J171*F171</f>
        <v>0.6</v>
      </c>
      <c r="T171" s="66">
        <f t="shared" ref="T171:T172" si="136">+$O171/$J171*G171</f>
        <v>0.6</v>
      </c>
      <c r="U171" s="66">
        <f t="shared" ref="U171:U172" si="137">+$O171/$J171*H171</f>
        <v>0.6</v>
      </c>
      <c r="V171" s="66">
        <f t="shared" ref="V171:V172" si="138">+$O171/$J171*I171</f>
        <v>0</v>
      </c>
    </row>
    <row r="172" spans="1:22" s="7" customFormat="1">
      <c r="A172" s="127"/>
      <c r="B172" s="154" t="s">
        <v>527</v>
      </c>
      <c r="C172" s="155">
        <v>0</v>
      </c>
      <c r="D172" s="155">
        <v>0.06</v>
      </c>
      <c r="E172" s="155">
        <v>0.15</v>
      </c>
      <c r="F172" s="155">
        <v>0.15</v>
      </c>
      <c r="G172" s="155">
        <v>0.12</v>
      </c>
      <c r="H172" s="155">
        <v>0.12</v>
      </c>
      <c r="I172" s="155">
        <v>0</v>
      </c>
      <c r="J172" s="156">
        <v>6</v>
      </c>
      <c r="K172" s="11" t="s">
        <v>592</v>
      </c>
      <c r="M172" s="127" t="s">
        <v>12</v>
      </c>
      <c r="N172" s="7" t="s">
        <v>331</v>
      </c>
      <c r="O172" s="11">
        <v>6</v>
      </c>
      <c r="P172" s="66">
        <f t="shared" si="132"/>
        <v>0</v>
      </c>
      <c r="Q172" s="66">
        <f t="shared" si="133"/>
        <v>0.06</v>
      </c>
      <c r="R172" s="66">
        <f t="shared" si="134"/>
        <v>0.15</v>
      </c>
      <c r="S172" s="66">
        <f t="shared" si="135"/>
        <v>0.15</v>
      </c>
      <c r="T172" s="66">
        <f t="shared" si="136"/>
        <v>0.12</v>
      </c>
      <c r="U172" s="66">
        <f t="shared" si="137"/>
        <v>0.12</v>
      </c>
      <c r="V172" s="66">
        <f t="shared" si="138"/>
        <v>0</v>
      </c>
    </row>
    <row r="173" spans="1:22" s="7" customFormat="1">
      <c r="A173" s="7" t="s">
        <v>385</v>
      </c>
      <c r="B173" s="7" t="s">
        <v>528</v>
      </c>
      <c r="C173" s="106">
        <v>2.9780000000000002</v>
      </c>
      <c r="D173" s="106">
        <v>3.6989999999999998</v>
      </c>
      <c r="E173" s="106">
        <v>5.5140000000000002</v>
      </c>
      <c r="F173" s="106">
        <v>5.8019999999999996</v>
      </c>
      <c r="G173" s="106">
        <v>5.8019999999999996</v>
      </c>
      <c r="H173" s="106">
        <v>5.8019999999999996</v>
      </c>
      <c r="I173" s="106">
        <v>5.8019999999999996</v>
      </c>
      <c r="J173" s="7">
        <v>50</v>
      </c>
      <c r="K173" s="70">
        <v>6</v>
      </c>
      <c r="L173" s="10" t="s">
        <v>186</v>
      </c>
      <c r="M173" s="7" t="s">
        <v>12</v>
      </c>
      <c r="N173" s="10" t="s">
        <v>43</v>
      </c>
      <c r="O173" s="7">
        <v>50</v>
      </c>
      <c r="P173" s="66">
        <f t="shared" si="118"/>
        <v>2.9780000000000002</v>
      </c>
      <c r="Q173" s="66">
        <f t="shared" si="119"/>
        <v>3.6989999999999998</v>
      </c>
      <c r="R173" s="66">
        <f t="shared" si="120"/>
        <v>5.5140000000000002</v>
      </c>
      <c r="S173" s="66">
        <f t="shared" si="121"/>
        <v>5.8019999999999996</v>
      </c>
      <c r="T173" s="66">
        <f t="shared" si="122"/>
        <v>5.8019999999999996</v>
      </c>
      <c r="U173" s="66">
        <f t="shared" si="123"/>
        <v>5.8019999999999996</v>
      </c>
      <c r="V173" s="66">
        <f t="shared" si="124"/>
        <v>5.8019999999999996</v>
      </c>
    </row>
    <row r="174" spans="1:22" s="7" customFormat="1">
      <c r="A174" s="7" t="s">
        <v>385</v>
      </c>
      <c r="B174" s="7" t="s">
        <v>529</v>
      </c>
      <c r="C174" s="106">
        <v>2.2999999999999998</v>
      </c>
      <c r="D174" s="106">
        <v>2.5659999999999998</v>
      </c>
      <c r="E174" s="106">
        <v>2.827</v>
      </c>
      <c r="F174" s="106">
        <v>2.82</v>
      </c>
      <c r="G174" s="106">
        <v>2.87</v>
      </c>
      <c r="H174" s="106">
        <v>3.0179999999999998</v>
      </c>
      <c r="I174" s="106">
        <v>2.2679999999999998</v>
      </c>
      <c r="J174" s="7">
        <v>50</v>
      </c>
      <c r="K174" s="70">
        <v>6</v>
      </c>
      <c r="L174" s="10" t="s">
        <v>186</v>
      </c>
      <c r="M174" s="7" t="s">
        <v>12</v>
      </c>
      <c r="N174" s="10" t="s">
        <v>43</v>
      </c>
      <c r="O174" s="7">
        <v>50</v>
      </c>
      <c r="P174" s="66">
        <f t="shared" ref="P174" si="139">+$O174/$J174*C174</f>
        <v>2.2999999999999998</v>
      </c>
      <c r="Q174" s="66">
        <f t="shared" ref="Q174" si="140">+$O174/$J174*D174</f>
        <v>2.5659999999999998</v>
      </c>
      <c r="R174" s="66">
        <f t="shared" ref="R174" si="141">+$O174/$J174*E174</f>
        <v>2.827</v>
      </c>
      <c r="S174" s="66">
        <f t="shared" ref="S174" si="142">+$O174/$J174*F174</f>
        <v>2.82</v>
      </c>
      <c r="T174" s="66">
        <f t="shared" ref="T174" si="143">+$O174/$J174*G174</f>
        <v>2.87</v>
      </c>
      <c r="U174" s="66">
        <f t="shared" ref="U174" si="144">+$O174/$J174*H174</f>
        <v>3.0179999999999998</v>
      </c>
      <c r="V174" s="66">
        <f t="shared" ref="V174" si="145">+$O174/$J174*I174</f>
        <v>2.2679999999999998</v>
      </c>
    </row>
    <row r="175" spans="1:22" s="7" customFormat="1">
      <c r="A175" s="7" t="s">
        <v>385</v>
      </c>
      <c r="B175" s="7" t="s">
        <v>531</v>
      </c>
      <c r="C175" s="106">
        <v>0</v>
      </c>
      <c r="D175" s="106">
        <v>0.4</v>
      </c>
      <c r="E175" s="106">
        <v>0.4</v>
      </c>
      <c r="F175" s="106">
        <v>0.4</v>
      </c>
      <c r="G175" s="106">
        <v>0.4</v>
      </c>
      <c r="H175" s="106">
        <v>0.4</v>
      </c>
      <c r="I175" s="106">
        <v>0</v>
      </c>
      <c r="J175" s="7">
        <v>50</v>
      </c>
      <c r="K175" s="70">
        <v>6</v>
      </c>
      <c r="L175" s="10" t="s">
        <v>186</v>
      </c>
      <c r="M175" s="7" t="s">
        <v>12</v>
      </c>
      <c r="N175" s="10" t="s">
        <v>43</v>
      </c>
      <c r="O175" s="7">
        <v>50</v>
      </c>
      <c r="P175" s="66">
        <f t="shared" ref="P175" si="146">+$O175/$J175*C175</f>
        <v>0</v>
      </c>
      <c r="Q175" s="66">
        <f t="shared" ref="Q175" si="147">+$O175/$J175*D175</f>
        <v>0.4</v>
      </c>
      <c r="R175" s="66">
        <f t="shared" ref="R175" si="148">+$O175/$J175*E175</f>
        <v>0.4</v>
      </c>
      <c r="S175" s="66">
        <f t="shared" ref="S175" si="149">+$O175/$J175*F175</f>
        <v>0.4</v>
      </c>
      <c r="T175" s="66">
        <f t="shared" ref="T175" si="150">+$O175/$J175*G175</f>
        <v>0.4</v>
      </c>
      <c r="U175" s="66">
        <f t="shared" ref="U175" si="151">+$O175/$J175*H175</f>
        <v>0.4</v>
      </c>
      <c r="V175" s="66">
        <f t="shared" ref="V175" si="152">+$O175/$J175*I175</f>
        <v>0</v>
      </c>
    </row>
    <row r="176" spans="1:22" s="7" customFormat="1">
      <c r="B176" s="7" t="s">
        <v>532</v>
      </c>
      <c r="C176" s="106">
        <v>0</v>
      </c>
      <c r="D176" s="106">
        <v>4.8550000000000004</v>
      </c>
      <c r="E176" s="106">
        <v>0</v>
      </c>
      <c r="F176" s="106">
        <v>0</v>
      </c>
      <c r="G176" s="106">
        <v>0</v>
      </c>
      <c r="H176" s="106">
        <v>0</v>
      </c>
      <c r="I176" s="106">
        <v>0</v>
      </c>
      <c r="J176" s="7">
        <v>100</v>
      </c>
      <c r="K176" s="70">
        <v>6</v>
      </c>
      <c r="L176" s="10" t="s">
        <v>186</v>
      </c>
      <c r="M176" s="7" t="s">
        <v>12</v>
      </c>
      <c r="N176" s="10" t="s">
        <v>43</v>
      </c>
      <c r="O176" s="7">
        <v>100</v>
      </c>
      <c r="P176" s="66">
        <f t="shared" ref="P176:P177" si="153">+$O176/$J176*C176</f>
        <v>0</v>
      </c>
      <c r="Q176" s="66">
        <f t="shared" ref="Q176:Q177" si="154">+$O176/$J176*D176</f>
        <v>4.8550000000000004</v>
      </c>
      <c r="R176" s="66">
        <f t="shared" ref="R176:R177" si="155">+$O176/$J176*E176</f>
        <v>0</v>
      </c>
      <c r="S176" s="66">
        <f t="shared" ref="S176:S177" si="156">+$O176/$J176*F176</f>
        <v>0</v>
      </c>
      <c r="T176" s="66">
        <f t="shared" ref="T176:T177" si="157">+$O176/$J176*G176</f>
        <v>0</v>
      </c>
      <c r="U176" s="66">
        <f t="shared" ref="U176:U177" si="158">+$O176/$J176*H176</f>
        <v>0</v>
      </c>
      <c r="V176" s="66">
        <f t="shared" ref="V176:V177" si="159">+$O176/$J176*I176</f>
        <v>0</v>
      </c>
    </row>
    <row r="177" spans="1:22" s="7" customFormat="1">
      <c r="B177" s="7" t="s">
        <v>533</v>
      </c>
      <c r="C177" s="106">
        <v>0</v>
      </c>
      <c r="D177" s="106">
        <v>0</v>
      </c>
      <c r="E177" s="106">
        <v>5</v>
      </c>
      <c r="F177" s="106">
        <v>5</v>
      </c>
      <c r="G177" s="106">
        <v>0</v>
      </c>
      <c r="H177" s="106">
        <v>0</v>
      </c>
      <c r="I177" s="106">
        <v>0</v>
      </c>
      <c r="J177" s="7">
        <v>100</v>
      </c>
      <c r="K177" s="70">
        <v>6</v>
      </c>
      <c r="L177" s="10" t="s">
        <v>186</v>
      </c>
      <c r="M177" s="7" t="s">
        <v>12</v>
      </c>
      <c r="N177" s="10" t="s">
        <v>43</v>
      </c>
      <c r="O177" s="7">
        <v>100</v>
      </c>
      <c r="P177" s="66">
        <f t="shared" si="153"/>
        <v>0</v>
      </c>
      <c r="Q177" s="66">
        <f t="shared" si="154"/>
        <v>0</v>
      </c>
      <c r="R177" s="66">
        <f t="shared" si="155"/>
        <v>5</v>
      </c>
      <c r="S177" s="66">
        <f t="shared" si="156"/>
        <v>5</v>
      </c>
      <c r="T177" s="66">
        <f t="shared" si="157"/>
        <v>0</v>
      </c>
      <c r="U177" s="66">
        <f t="shared" si="158"/>
        <v>0</v>
      </c>
      <c r="V177" s="66">
        <f t="shared" si="159"/>
        <v>0</v>
      </c>
    </row>
    <row r="178" spans="1:22" s="7" customFormat="1" ht="15">
      <c r="A178" s="82" t="s">
        <v>386</v>
      </c>
      <c r="B178" s="131" t="s">
        <v>26</v>
      </c>
      <c r="C178" s="106"/>
      <c r="D178" s="106"/>
      <c r="E178" s="106"/>
      <c r="F178" s="106"/>
      <c r="G178" s="106"/>
      <c r="H178" s="106"/>
      <c r="I178" s="106"/>
      <c r="J178" s="106"/>
      <c r="K178" s="70"/>
      <c r="L178" s="10"/>
      <c r="N178" s="10"/>
      <c r="P178" s="153">
        <f t="shared" ref="P178:V178" si="160">SUM(P179:P200)</f>
        <v>58.325999999999993</v>
      </c>
      <c r="Q178" s="153">
        <f t="shared" si="160"/>
        <v>66.230583333333328</v>
      </c>
      <c r="R178" s="153">
        <f t="shared" si="160"/>
        <v>63.380749999999999</v>
      </c>
      <c r="S178" s="153">
        <f t="shared" si="160"/>
        <v>64.880749999999992</v>
      </c>
      <c r="T178" s="153">
        <f t="shared" si="160"/>
        <v>67.680749999999989</v>
      </c>
      <c r="U178" s="153">
        <f t="shared" si="160"/>
        <v>58.355750000000008</v>
      </c>
      <c r="V178" s="153">
        <f t="shared" si="160"/>
        <v>55.23075</v>
      </c>
    </row>
    <row r="179" spans="1:22" s="7" customFormat="1">
      <c r="A179" s="126" t="s">
        <v>387</v>
      </c>
      <c r="B179" s="7" t="s">
        <v>534</v>
      </c>
      <c r="C179" s="106">
        <v>9.7289999999999992</v>
      </c>
      <c r="D179" s="106">
        <v>8.2720000000000002</v>
      </c>
      <c r="E179" s="106">
        <v>6.6929999999999996</v>
      </c>
      <c r="F179" s="106">
        <v>7.8730000000000002</v>
      </c>
      <c r="G179" s="106">
        <v>7.8730000000000002</v>
      </c>
      <c r="H179" s="106">
        <v>7.8730000000000002</v>
      </c>
      <c r="I179" s="106">
        <v>7.8730000000000002</v>
      </c>
      <c r="J179" s="7">
        <v>25</v>
      </c>
      <c r="K179" s="7">
        <v>5</v>
      </c>
      <c r="L179" s="7" t="s">
        <v>185</v>
      </c>
      <c r="M179" s="7" t="s">
        <v>12</v>
      </c>
      <c r="N179" s="10" t="s">
        <v>43</v>
      </c>
      <c r="O179" s="70">
        <v>25</v>
      </c>
      <c r="P179" s="66">
        <f t="shared" ref="P179:P197" si="161">+$O179/$J179*C179</f>
        <v>9.7289999999999992</v>
      </c>
      <c r="Q179" s="66">
        <f t="shared" ref="Q179:Q197" si="162">+$O179/$J179*D179</f>
        <v>8.2720000000000002</v>
      </c>
      <c r="R179" s="66">
        <f t="shared" ref="R179:R197" si="163">+$O179/$J179*E179</f>
        <v>6.6929999999999996</v>
      </c>
      <c r="S179" s="66">
        <f t="shared" ref="S179:S197" si="164">+$O179/$J179*F179</f>
        <v>7.8730000000000002</v>
      </c>
      <c r="T179" s="66">
        <f t="shared" ref="T179:T197" si="165">+$O179/$J179*G179</f>
        <v>7.8730000000000002</v>
      </c>
      <c r="U179" s="66">
        <f t="shared" ref="U179:U197" si="166">+$O179/$J179*H179</f>
        <v>7.8730000000000002</v>
      </c>
      <c r="V179" s="66">
        <f t="shared" ref="V179:V197" si="167">+$O179/$J179*I179</f>
        <v>7.8730000000000002</v>
      </c>
    </row>
    <row r="180" spans="1:22" s="7" customFormat="1">
      <c r="A180" s="126" t="s">
        <v>387</v>
      </c>
      <c r="B180" s="7" t="s">
        <v>535</v>
      </c>
      <c r="C180" s="106">
        <v>7.8739999999999997</v>
      </c>
      <c r="D180" s="106">
        <v>12.15</v>
      </c>
      <c r="E180" s="106">
        <v>12.08</v>
      </c>
      <c r="F180" s="106">
        <v>12.5</v>
      </c>
      <c r="G180" s="106">
        <v>12.5</v>
      </c>
      <c r="H180" s="106">
        <v>4.375</v>
      </c>
      <c r="I180" s="106">
        <v>1.25</v>
      </c>
      <c r="J180" s="7">
        <v>25</v>
      </c>
      <c r="K180" s="7">
        <v>5</v>
      </c>
      <c r="L180" s="7" t="s">
        <v>185</v>
      </c>
      <c r="M180" s="7" t="s">
        <v>12</v>
      </c>
      <c r="N180" s="10" t="s">
        <v>43</v>
      </c>
      <c r="O180" s="70">
        <v>25</v>
      </c>
      <c r="P180" s="66">
        <f t="shared" ref="P180" si="168">+$O180/$J180*C180</f>
        <v>7.8739999999999997</v>
      </c>
      <c r="Q180" s="66">
        <f t="shared" ref="Q180" si="169">+$O180/$J180*D180</f>
        <v>12.15</v>
      </c>
      <c r="R180" s="66">
        <f t="shared" ref="R180" si="170">+$O180/$J180*E180</f>
        <v>12.08</v>
      </c>
      <c r="S180" s="66">
        <f t="shared" ref="S180" si="171">+$O180/$J180*F180</f>
        <v>12.5</v>
      </c>
      <c r="T180" s="66">
        <f t="shared" ref="T180" si="172">+$O180/$J180*G180</f>
        <v>12.5</v>
      </c>
      <c r="U180" s="66">
        <f t="shared" ref="U180" si="173">+$O180/$J180*H180</f>
        <v>4.375</v>
      </c>
      <c r="V180" s="66">
        <f t="shared" ref="V180" si="174">+$O180/$J180*I180</f>
        <v>1.25</v>
      </c>
    </row>
    <row r="181" spans="1:22" s="7" customFormat="1">
      <c r="A181" s="126" t="s">
        <v>387</v>
      </c>
      <c r="B181" s="7" t="s">
        <v>536</v>
      </c>
      <c r="C181" s="106">
        <v>5.7990000000000004</v>
      </c>
      <c r="D181" s="106">
        <v>8.625</v>
      </c>
      <c r="E181" s="106">
        <v>14.4</v>
      </c>
      <c r="F181" s="106">
        <v>15.3</v>
      </c>
      <c r="G181" s="106">
        <v>15.6</v>
      </c>
      <c r="H181" s="106">
        <v>14.4</v>
      </c>
      <c r="I181" s="106">
        <v>14.7</v>
      </c>
      <c r="J181" s="7">
        <v>30</v>
      </c>
      <c r="K181" s="7">
        <v>5</v>
      </c>
      <c r="L181" s="7" t="s">
        <v>185</v>
      </c>
      <c r="M181" s="7" t="s">
        <v>12</v>
      </c>
      <c r="N181" s="10" t="s">
        <v>43</v>
      </c>
      <c r="O181" s="70">
        <v>30</v>
      </c>
      <c r="P181" s="66">
        <f t="shared" si="161"/>
        <v>5.7990000000000004</v>
      </c>
      <c r="Q181" s="66">
        <f t="shared" si="162"/>
        <v>8.625</v>
      </c>
      <c r="R181" s="66">
        <f t="shared" si="163"/>
        <v>14.4</v>
      </c>
      <c r="S181" s="66">
        <f t="shared" si="164"/>
        <v>15.3</v>
      </c>
      <c r="T181" s="66">
        <f t="shared" si="165"/>
        <v>15.6</v>
      </c>
      <c r="U181" s="66">
        <f t="shared" si="166"/>
        <v>14.4</v>
      </c>
      <c r="V181" s="66">
        <f t="shared" si="167"/>
        <v>14.7</v>
      </c>
    </row>
    <row r="182" spans="1:22" s="7" customFormat="1">
      <c r="A182" s="126" t="s">
        <v>387</v>
      </c>
      <c r="B182" s="7" t="s">
        <v>537</v>
      </c>
      <c r="C182" s="106">
        <v>0</v>
      </c>
      <c r="D182" s="106">
        <v>7.4999999999999997E-2</v>
      </c>
      <c r="E182" s="106">
        <v>0.3</v>
      </c>
      <c r="F182" s="106">
        <v>0.3</v>
      </c>
      <c r="G182" s="106">
        <v>0.3</v>
      </c>
      <c r="H182" s="106">
        <v>0.3</v>
      </c>
      <c r="I182" s="106">
        <v>0</v>
      </c>
      <c r="J182" s="7">
        <v>30</v>
      </c>
      <c r="K182" s="7">
        <v>5</v>
      </c>
      <c r="L182" s="7" t="s">
        <v>185</v>
      </c>
      <c r="M182" s="7" t="s">
        <v>12</v>
      </c>
      <c r="N182" s="10" t="s">
        <v>43</v>
      </c>
      <c r="O182" s="70">
        <v>30</v>
      </c>
      <c r="P182" s="66">
        <f t="shared" ref="P182" si="175">+$O182/$J182*C182</f>
        <v>0</v>
      </c>
      <c r="Q182" s="66">
        <f t="shared" ref="Q182" si="176">+$O182/$J182*D182</f>
        <v>7.4999999999999997E-2</v>
      </c>
      <c r="R182" s="66">
        <f t="shared" ref="R182" si="177">+$O182/$J182*E182</f>
        <v>0.3</v>
      </c>
      <c r="S182" s="66">
        <f t="shared" ref="S182" si="178">+$O182/$J182*F182</f>
        <v>0.3</v>
      </c>
      <c r="T182" s="66">
        <f t="shared" ref="T182" si="179">+$O182/$J182*G182</f>
        <v>0.3</v>
      </c>
      <c r="U182" s="66">
        <f t="shared" ref="U182" si="180">+$O182/$J182*H182</f>
        <v>0.3</v>
      </c>
      <c r="V182" s="66">
        <f t="shared" ref="V182" si="181">+$O182/$J182*I182</f>
        <v>0</v>
      </c>
    </row>
    <row r="183" spans="1:22" s="7" customFormat="1">
      <c r="A183" s="126" t="s">
        <v>387</v>
      </c>
      <c r="B183" s="7" t="s">
        <v>538</v>
      </c>
      <c r="C183" s="106">
        <v>1.0609999999999999</v>
      </c>
      <c r="D183" s="106">
        <v>0.71699999999999997</v>
      </c>
      <c r="E183" s="106">
        <v>0.59199999999999997</v>
      </c>
      <c r="F183" s="106">
        <v>0.59199999999999997</v>
      </c>
      <c r="G183" s="106">
        <v>0.59199999999999997</v>
      </c>
      <c r="H183" s="106">
        <v>0.59199999999999997</v>
      </c>
      <c r="I183" s="106">
        <v>0.59199999999999997</v>
      </c>
      <c r="J183" s="7">
        <v>25</v>
      </c>
      <c r="K183" s="7">
        <v>5</v>
      </c>
      <c r="L183" s="7" t="s">
        <v>185</v>
      </c>
      <c r="M183" s="7" t="s">
        <v>12</v>
      </c>
      <c r="N183" s="10" t="s">
        <v>43</v>
      </c>
      <c r="O183" s="70">
        <v>25</v>
      </c>
      <c r="P183" s="66">
        <f t="shared" si="161"/>
        <v>1.0609999999999999</v>
      </c>
      <c r="Q183" s="66">
        <f t="shared" si="162"/>
        <v>0.71699999999999997</v>
      </c>
      <c r="R183" s="66">
        <f t="shared" si="163"/>
        <v>0.59199999999999997</v>
      </c>
      <c r="S183" s="66">
        <f t="shared" si="164"/>
        <v>0.59199999999999997</v>
      </c>
      <c r="T183" s="66">
        <f t="shared" si="165"/>
        <v>0.59199999999999997</v>
      </c>
      <c r="U183" s="66">
        <f t="shared" si="166"/>
        <v>0.59199999999999997</v>
      </c>
      <c r="V183" s="66">
        <f t="shared" si="167"/>
        <v>0.59199999999999997</v>
      </c>
    </row>
    <row r="184" spans="1:22" s="7" customFormat="1">
      <c r="A184" s="126" t="s">
        <v>387</v>
      </c>
      <c r="B184" s="7" t="s">
        <v>539</v>
      </c>
      <c r="C184" s="106">
        <v>0.17499999999999999</v>
      </c>
      <c r="D184" s="106">
        <v>3.7999999999999999E-2</v>
      </c>
      <c r="E184" s="106">
        <v>0</v>
      </c>
      <c r="F184" s="106">
        <v>0</v>
      </c>
      <c r="G184" s="106">
        <v>0</v>
      </c>
      <c r="H184" s="106">
        <v>0</v>
      </c>
      <c r="I184" s="106">
        <v>0</v>
      </c>
      <c r="J184" s="7">
        <v>25</v>
      </c>
      <c r="K184" s="7">
        <v>5</v>
      </c>
      <c r="L184" s="7" t="s">
        <v>185</v>
      </c>
      <c r="M184" s="7" t="s">
        <v>12</v>
      </c>
      <c r="N184" s="10" t="s">
        <v>43</v>
      </c>
      <c r="O184" s="70">
        <v>25</v>
      </c>
      <c r="P184" s="66">
        <f t="shared" ref="P184:P185" si="182">+$O184/$J184*C184</f>
        <v>0.17499999999999999</v>
      </c>
      <c r="Q184" s="66">
        <f t="shared" ref="Q184:Q185" si="183">+$O184/$J184*D184</f>
        <v>3.7999999999999999E-2</v>
      </c>
      <c r="R184" s="66">
        <f t="shared" ref="R184:R185" si="184">+$O184/$J184*E184</f>
        <v>0</v>
      </c>
      <c r="S184" s="66">
        <f t="shared" ref="S184:S185" si="185">+$O184/$J184*F184</f>
        <v>0</v>
      </c>
      <c r="T184" s="66">
        <f t="shared" ref="T184:T185" si="186">+$O184/$J184*G184</f>
        <v>0</v>
      </c>
      <c r="U184" s="66">
        <f t="shared" ref="U184:U185" si="187">+$O184/$J184*H184</f>
        <v>0</v>
      </c>
      <c r="V184" s="66">
        <f t="shared" ref="V184:V185" si="188">+$O184/$J184*I184</f>
        <v>0</v>
      </c>
    </row>
    <row r="185" spans="1:22" s="7" customFormat="1">
      <c r="A185" s="126" t="s">
        <v>387</v>
      </c>
      <c r="B185" s="7" t="s">
        <v>540</v>
      </c>
      <c r="C185" s="106">
        <v>1.2E-2</v>
      </c>
      <c r="D185" s="106">
        <v>0</v>
      </c>
      <c r="E185" s="106">
        <v>0</v>
      </c>
      <c r="F185" s="106">
        <v>0</v>
      </c>
      <c r="G185" s="106">
        <v>0</v>
      </c>
      <c r="H185" s="106">
        <v>0</v>
      </c>
      <c r="I185" s="106">
        <v>0</v>
      </c>
      <c r="J185" s="7">
        <v>25</v>
      </c>
      <c r="K185" s="7">
        <v>5</v>
      </c>
      <c r="L185" s="7" t="s">
        <v>185</v>
      </c>
      <c r="M185" s="7" t="s">
        <v>12</v>
      </c>
      <c r="N185" s="10" t="s">
        <v>43</v>
      </c>
      <c r="O185" s="70">
        <v>25</v>
      </c>
      <c r="P185" s="66">
        <f t="shared" si="182"/>
        <v>1.2E-2</v>
      </c>
      <c r="Q185" s="66">
        <f t="shared" si="183"/>
        <v>0</v>
      </c>
      <c r="R185" s="66">
        <f t="shared" si="184"/>
        <v>0</v>
      </c>
      <c r="S185" s="66">
        <f t="shared" si="185"/>
        <v>0</v>
      </c>
      <c r="T185" s="66">
        <f t="shared" si="186"/>
        <v>0</v>
      </c>
      <c r="U185" s="66">
        <f t="shared" si="187"/>
        <v>0</v>
      </c>
      <c r="V185" s="66">
        <f t="shared" si="188"/>
        <v>0</v>
      </c>
    </row>
    <row r="186" spans="1:22" s="7" customFormat="1">
      <c r="A186" s="126" t="s">
        <v>387</v>
      </c>
      <c r="B186" s="7" t="s">
        <v>541</v>
      </c>
      <c r="C186" s="106">
        <v>0.75800000000000001</v>
      </c>
      <c r="D186" s="106">
        <v>0</v>
      </c>
      <c r="E186" s="106">
        <v>0</v>
      </c>
      <c r="F186" s="106">
        <v>0</v>
      </c>
      <c r="G186" s="106">
        <v>0</v>
      </c>
      <c r="H186" s="106">
        <v>0</v>
      </c>
      <c r="I186" s="106">
        <v>0</v>
      </c>
      <c r="J186" s="7">
        <v>25</v>
      </c>
      <c r="K186" s="7">
        <v>5</v>
      </c>
      <c r="L186" s="7" t="s">
        <v>185</v>
      </c>
      <c r="M186" s="7" t="s">
        <v>12</v>
      </c>
      <c r="N186" s="10" t="s">
        <v>43</v>
      </c>
      <c r="O186" s="70">
        <v>25</v>
      </c>
      <c r="P186" s="66">
        <f t="shared" ref="P186:P187" si="189">+$O186/$J186*C186</f>
        <v>0.75800000000000001</v>
      </c>
      <c r="Q186" s="66">
        <f t="shared" ref="Q186:Q187" si="190">+$O186/$J186*D186</f>
        <v>0</v>
      </c>
      <c r="R186" s="66">
        <f t="shared" ref="R186:R187" si="191">+$O186/$J186*E186</f>
        <v>0</v>
      </c>
      <c r="S186" s="66">
        <f t="shared" ref="S186:S187" si="192">+$O186/$J186*F186</f>
        <v>0</v>
      </c>
      <c r="T186" s="66">
        <f t="shared" ref="T186:T187" si="193">+$O186/$J186*G186</f>
        <v>0</v>
      </c>
      <c r="U186" s="66">
        <f t="shared" ref="U186:U187" si="194">+$O186/$J186*H186</f>
        <v>0</v>
      </c>
      <c r="V186" s="66">
        <f t="shared" ref="V186:V187" si="195">+$O186/$J186*I186</f>
        <v>0</v>
      </c>
    </row>
    <row r="187" spans="1:22" s="7" customFormat="1">
      <c r="A187" s="126" t="s">
        <v>387</v>
      </c>
      <c r="B187" s="7" t="s">
        <v>542</v>
      </c>
      <c r="C187" s="106">
        <v>0.218</v>
      </c>
      <c r="D187" s="106">
        <v>0</v>
      </c>
      <c r="E187" s="106">
        <v>0</v>
      </c>
      <c r="F187" s="106">
        <v>0</v>
      </c>
      <c r="G187" s="106">
        <v>0</v>
      </c>
      <c r="H187" s="106">
        <v>0</v>
      </c>
      <c r="I187" s="106">
        <v>0</v>
      </c>
      <c r="J187" s="7">
        <v>25</v>
      </c>
      <c r="K187" s="7">
        <v>5</v>
      </c>
      <c r="L187" s="7" t="s">
        <v>185</v>
      </c>
      <c r="M187" s="7" t="s">
        <v>12</v>
      </c>
      <c r="N187" s="10" t="s">
        <v>43</v>
      </c>
      <c r="O187" s="70">
        <v>25</v>
      </c>
      <c r="P187" s="66">
        <f t="shared" si="189"/>
        <v>0.218</v>
      </c>
      <c r="Q187" s="66">
        <f t="shared" si="190"/>
        <v>0</v>
      </c>
      <c r="R187" s="66">
        <f t="shared" si="191"/>
        <v>0</v>
      </c>
      <c r="S187" s="66">
        <f t="shared" si="192"/>
        <v>0</v>
      </c>
      <c r="T187" s="66">
        <f t="shared" si="193"/>
        <v>0</v>
      </c>
      <c r="U187" s="66">
        <f t="shared" si="194"/>
        <v>0</v>
      </c>
      <c r="V187" s="66">
        <f t="shared" si="195"/>
        <v>0</v>
      </c>
    </row>
    <row r="188" spans="1:22" s="7" customFormat="1">
      <c r="A188" s="126" t="s">
        <v>387</v>
      </c>
      <c r="B188" s="7" t="s">
        <v>543</v>
      </c>
      <c r="C188" s="106">
        <v>1.8240000000000001</v>
      </c>
      <c r="D188" s="106">
        <v>0</v>
      </c>
      <c r="E188" s="106">
        <v>0</v>
      </c>
      <c r="F188" s="106">
        <v>0</v>
      </c>
      <c r="G188" s="106">
        <v>0</v>
      </c>
      <c r="H188" s="106">
        <v>0</v>
      </c>
      <c r="I188" s="106">
        <v>0</v>
      </c>
      <c r="J188" s="7">
        <v>25</v>
      </c>
      <c r="K188" s="7">
        <v>5</v>
      </c>
      <c r="L188" s="7" t="s">
        <v>185</v>
      </c>
      <c r="M188" s="7" t="s">
        <v>12</v>
      </c>
      <c r="N188" s="10" t="s">
        <v>43</v>
      </c>
      <c r="O188" s="70">
        <v>25</v>
      </c>
      <c r="P188" s="66">
        <f t="shared" ref="P188" si="196">+$O188/$J188*C188</f>
        <v>1.8240000000000001</v>
      </c>
      <c r="Q188" s="66">
        <f t="shared" ref="Q188" si="197">+$O188/$J188*D188</f>
        <v>0</v>
      </c>
      <c r="R188" s="66">
        <f t="shared" ref="R188" si="198">+$O188/$J188*E188</f>
        <v>0</v>
      </c>
      <c r="S188" s="66">
        <f t="shared" ref="S188" si="199">+$O188/$J188*F188</f>
        <v>0</v>
      </c>
      <c r="T188" s="66">
        <f t="shared" ref="T188" si="200">+$O188/$J188*G188</f>
        <v>0</v>
      </c>
      <c r="U188" s="66">
        <f t="shared" ref="U188" si="201">+$O188/$J188*H188</f>
        <v>0</v>
      </c>
      <c r="V188" s="66">
        <f t="shared" ref="V188" si="202">+$O188/$J188*I188</f>
        <v>0</v>
      </c>
    </row>
    <row r="189" spans="1:22" s="7" customFormat="1">
      <c r="A189" s="126" t="s">
        <v>387</v>
      </c>
      <c r="B189" s="7" t="s">
        <v>544</v>
      </c>
      <c r="C189" s="106">
        <v>0.22</v>
      </c>
      <c r="D189" s="106">
        <v>0</v>
      </c>
      <c r="E189" s="106">
        <v>0</v>
      </c>
      <c r="F189" s="106">
        <v>0</v>
      </c>
      <c r="G189" s="106">
        <v>0</v>
      </c>
      <c r="H189" s="106">
        <v>0</v>
      </c>
      <c r="I189" s="106">
        <v>0</v>
      </c>
      <c r="J189" s="7">
        <v>25</v>
      </c>
      <c r="K189" s="7">
        <v>5</v>
      </c>
      <c r="L189" s="7" t="s">
        <v>185</v>
      </c>
      <c r="M189" s="7" t="s">
        <v>12</v>
      </c>
      <c r="N189" s="10" t="s">
        <v>43</v>
      </c>
      <c r="O189" s="70">
        <v>25</v>
      </c>
      <c r="P189" s="66">
        <f t="shared" ref="P189" si="203">+$O189/$J189*C189</f>
        <v>0.22</v>
      </c>
      <c r="Q189" s="66">
        <f t="shared" ref="Q189" si="204">+$O189/$J189*D189</f>
        <v>0</v>
      </c>
      <c r="R189" s="66">
        <f t="shared" ref="R189" si="205">+$O189/$J189*E189</f>
        <v>0</v>
      </c>
      <c r="S189" s="66">
        <f t="shared" ref="S189" si="206">+$O189/$J189*F189</f>
        <v>0</v>
      </c>
      <c r="T189" s="66">
        <f t="shared" ref="T189" si="207">+$O189/$J189*G189</f>
        <v>0</v>
      </c>
      <c r="U189" s="66">
        <f t="shared" ref="U189" si="208">+$O189/$J189*H189</f>
        <v>0</v>
      </c>
      <c r="V189" s="66">
        <f t="shared" ref="V189" si="209">+$O189/$J189*I189</f>
        <v>0</v>
      </c>
    </row>
    <row r="190" spans="1:22" s="7" customFormat="1">
      <c r="A190" s="126" t="s">
        <v>387</v>
      </c>
      <c r="B190" s="7" t="s">
        <v>27</v>
      </c>
      <c r="C190" s="106">
        <v>0.17100000000000001</v>
      </c>
      <c r="D190" s="106">
        <v>4.3620000000000001</v>
      </c>
      <c r="E190" s="106">
        <v>5.08</v>
      </c>
      <c r="F190" s="106">
        <v>3.08</v>
      </c>
      <c r="G190" s="106">
        <v>8.08</v>
      </c>
      <c r="H190" s="106">
        <v>8.08</v>
      </c>
      <c r="I190" s="106">
        <v>8.08</v>
      </c>
      <c r="J190" s="7">
        <v>100</v>
      </c>
      <c r="K190" s="7">
        <v>5</v>
      </c>
      <c r="L190" s="7" t="s">
        <v>185</v>
      </c>
      <c r="M190" s="7" t="s">
        <v>12</v>
      </c>
      <c r="N190" s="10" t="s">
        <v>43</v>
      </c>
      <c r="O190" s="70">
        <v>50</v>
      </c>
      <c r="P190" s="66">
        <f t="shared" si="161"/>
        <v>8.5500000000000007E-2</v>
      </c>
      <c r="Q190" s="66">
        <f t="shared" si="162"/>
        <v>2.181</v>
      </c>
      <c r="R190" s="66">
        <f t="shared" si="163"/>
        <v>2.54</v>
      </c>
      <c r="S190" s="66">
        <f t="shared" si="164"/>
        <v>1.54</v>
      </c>
      <c r="T190" s="66">
        <f t="shared" si="165"/>
        <v>4.04</v>
      </c>
      <c r="U190" s="66">
        <f t="shared" si="166"/>
        <v>4.04</v>
      </c>
      <c r="V190" s="66">
        <f t="shared" si="167"/>
        <v>4.04</v>
      </c>
    </row>
    <row r="191" spans="1:22" s="7" customFormat="1">
      <c r="A191" s="126" t="s">
        <v>387</v>
      </c>
      <c r="B191" s="7" t="s">
        <v>305</v>
      </c>
      <c r="C191" s="106">
        <v>0</v>
      </c>
      <c r="D191" s="106">
        <v>14.951000000000001</v>
      </c>
      <c r="E191" s="106">
        <v>7.6509999999999998</v>
      </c>
      <c r="F191" s="106">
        <v>7.6509999999999998</v>
      </c>
      <c r="G191" s="106">
        <v>7.6509999999999998</v>
      </c>
      <c r="H191" s="106">
        <v>7.6509999999999998</v>
      </c>
      <c r="I191" s="106">
        <v>7.6509999999999998</v>
      </c>
      <c r="J191" s="7">
        <v>100</v>
      </c>
      <c r="K191" s="7">
        <v>5</v>
      </c>
      <c r="L191" s="7" t="s">
        <v>185</v>
      </c>
      <c r="M191" s="7" t="s">
        <v>28</v>
      </c>
      <c r="N191" s="7" t="s">
        <v>42</v>
      </c>
      <c r="O191" s="70">
        <v>25</v>
      </c>
      <c r="P191" s="66">
        <f t="shared" si="161"/>
        <v>0</v>
      </c>
      <c r="Q191" s="66">
        <f t="shared" si="162"/>
        <v>3.7377500000000001</v>
      </c>
      <c r="R191" s="66">
        <f t="shared" si="163"/>
        <v>1.91275</v>
      </c>
      <c r="S191" s="66">
        <f t="shared" si="164"/>
        <v>1.91275</v>
      </c>
      <c r="T191" s="66">
        <f t="shared" si="165"/>
        <v>1.91275</v>
      </c>
      <c r="U191" s="66">
        <f t="shared" si="166"/>
        <v>1.91275</v>
      </c>
      <c r="V191" s="66">
        <f t="shared" si="167"/>
        <v>1.91275</v>
      </c>
    </row>
    <row r="192" spans="1:22" s="7" customFormat="1">
      <c r="A192" s="126" t="s">
        <v>388</v>
      </c>
      <c r="B192" s="7" t="s">
        <v>545</v>
      </c>
      <c r="C192" s="106">
        <v>0.81299999999999994</v>
      </c>
      <c r="D192" s="106">
        <v>0.1</v>
      </c>
      <c r="E192" s="106">
        <v>0</v>
      </c>
      <c r="F192" s="106">
        <v>0</v>
      </c>
      <c r="G192" s="106">
        <v>0</v>
      </c>
      <c r="H192" s="106">
        <v>0</v>
      </c>
      <c r="I192" s="106">
        <v>0</v>
      </c>
      <c r="J192" s="7">
        <v>100</v>
      </c>
      <c r="K192" s="7">
        <v>5</v>
      </c>
      <c r="L192" s="7" t="s">
        <v>185</v>
      </c>
      <c r="M192" s="10" t="s">
        <v>43</v>
      </c>
      <c r="N192" s="7" t="s">
        <v>43</v>
      </c>
      <c r="O192" s="70">
        <v>0</v>
      </c>
      <c r="P192" s="66"/>
      <c r="Q192" s="66"/>
      <c r="R192" s="66"/>
      <c r="S192" s="66"/>
      <c r="T192" s="66"/>
      <c r="U192" s="66"/>
      <c r="V192" s="66"/>
    </row>
    <row r="193" spans="1:22" s="7" customFormat="1">
      <c r="A193" s="126" t="s">
        <v>388</v>
      </c>
      <c r="B193" s="7" t="s">
        <v>546</v>
      </c>
      <c r="C193" s="106">
        <v>1.157</v>
      </c>
      <c r="D193" s="106">
        <v>8.3559999999999999</v>
      </c>
      <c r="E193" s="106">
        <v>4.5670000000000002</v>
      </c>
      <c r="F193" s="106">
        <v>2.827</v>
      </c>
      <c r="G193" s="106">
        <v>3.827</v>
      </c>
      <c r="H193" s="106">
        <v>3.1669999999999998</v>
      </c>
      <c r="I193" s="106">
        <v>3.1669999999999998</v>
      </c>
      <c r="J193" s="7">
        <v>100</v>
      </c>
      <c r="K193" s="7">
        <v>5</v>
      </c>
      <c r="L193" s="7" t="s">
        <v>185</v>
      </c>
      <c r="M193" s="10" t="s">
        <v>43</v>
      </c>
      <c r="N193" s="7" t="s">
        <v>43</v>
      </c>
      <c r="O193" s="70">
        <v>0</v>
      </c>
      <c r="P193" s="66"/>
      <c r="Q193" s="66"/>
      <c r="R193" s="66"/>
      <c r="S193" s="66"/>
      <c r="T193" s="66"/>
      <c r="U193" s="66"/>
      <c r="V193" s="66"/>
    </row>
    <row r="194" spans="1:22" s="7" customFormat="1">
      <c r="A194" s="126" t="s">
        <v>388</v>
      </c>
      <c r="B194" s="7" t="s">
        <v>547</v>
      </c>
      <c r="C194" s="106">
        <v>0.32300000000000001</v>
      </c>
      <c r="D194" s="106">
        <v>2</v>
      </c>
      <c r="E194" s="106">
        <v>2.5</v>
      </c>
      <c r="F194" s="106">
        <v>2.5</v>
      </c>
      <c r="G194" s="106">
        <v>2.5</v>
      </c>
      <c r="H194" s="106">
        <v>2.5</v>
      </c>
      <c r="I194" s="106">
        <v>2.5</v>
      </c>
      <c r="J194" s="7">
        <v>100</v>
      </c>
      <c r="K194" s="7">
        <v>1</v>
      </c>
      <c r="L194" s="103" t="s">
        <v>117</v>
      </c>
      <c r="M194" s="10" t="s">
        <v>43</v>
      </c>
      <c r="N194" s="7" t="s">
        <v>43</v>
      </c>
      <c r="O194" s="70">
        <v>0</v>
      </c>
      <c r="P194" s="66"/>
      <c r="Q194" s="66"/>
      <c r="R194" s="66"/>
      <c r="S194" s="66"/>
      <c r="T194" s="66"/>
      <c r="U194" s="66"/>
      <c r="V194" s="66"/>
    </row>
    <row r="195" spans="1:22" s="7" customFormat="1">
      <c r="A195" s="126" t="s">
        <v>388</v>
      </c>
      <c r="B195" s="7" t="s">
        <v>548</v>
      </c>
      <c r="C195" s="106">
        <v>0.25800000000000001</v>
      </c>
      <c r="D195" s="106">
        <v>0.3</v>
      </c>
      <c r="E195" s="106">
        <v>0.1</v>
      </c>
      <c r="F195" s="106">
        <v>0.1</v>
      </c>
      <c r="G195" s="106">
        <v>0.1</v>
      </c>
      <c r="H195" s="106">
        <v>0.1</v>
      </c>
      <c r="I195" s="106">
        <v>0.1</v>
      </c>
      <c r="J195" s="7">
        <v>100</v>
      </c>
      <c r="K195" s="7">
        <v>1</v>
      </c>
      <c r="L195" s="103" t="s">
        <v>117</v>
      </c>
      <c r="M195" s="10" t="s">
        <v>43</v>
      </c>
      <c r="N195" s="7" t="s">
        <v>43</v>
      </c>
      <c r="O195" s="70">
        <v>0</v>
      </c>
      <c r="P195" s="66"/>
      <c r="Q195" s="66"/>
      <c r="R195" s="66"/>
      <c r="S195" s="66"/>
      <c r="T195" s="66"/>
      <c r="U195" s="66"/>
      <c r="V195" s="66"/>
    </row>
    <row r="196" spans="1:22" s="7" customFormat="1">
      <c r="A196" s="126" t="s">
        <v>388</v>
      </c>
      <c r="B196" s="7" t="s">
        <v>30</v>
      </c>
      <c r="C196" s="106">
        <v>0</v>
      </c>
      <c r="D196" s="106">
        <v>5.407</v>
      </c>
      <c r="E196" s="106">
        <v>0</v>
      </c>
      <c r="F196" s="106">
        <v>0</v>
      </c>
      <c r="G196" s="106">
        <v>0</v>
      </c>
      <c r="H196" s="106">
        <v>0</v>
      </c>
      <c r="I196" s="106">
        <v>0</v>
      </c>
      <c r="J196" s="7">
        <v>60</v>
      </c>
      <c r="K196" s="7">
        <v>5</v>
      </c>
      <c r="L196" s="7" t="s">
        <v>185</v>
      </c>
      <c r="M196" s="10" t="s">
        <v>43</v>
      </c>
      <c r="N196" s="10" t="s">
        <v>43</v>
      </c>
      <c r="O196" s="70">
        <v>50</v>
      </c>
      <c r="P196" s="66">
        <f t="shared" si="161"/>
        <v>0</v>
      </c>
      <c r="Q196" s="66">
        <f t="shared" si="162"/>
        <v>4.5058333333333334</v>
      </c>
      <c r="R196" s="66">
        <f t="shared" si="163"/>
        <v>0</v>
      </c>
      <c r="S196" s="66">
        <f t="shared" si="164"/>
        <v>0</v>
      </c>
      <c r="T196" s="66">
        <f t="shared" si="165"/>
        <v>0</v>
      </c>
      <c r="U196" s="66">
        <f t="shared" si="166"/>
        <v>0</v>
      </c>
      <c r="V196" s="66">
        <f t="shared" si="167"/>
        <v>0</v>
      </c>
    </row>
    <row r="197" spans="1:22" s="7" customFormat="1">
      <c r="A197" s="126" t="s">
        <v>389</v>
      </c>
      <c r="B197" s="7" t="s">
        <v>31</v>
      </c>
      <c r="C197" s="106">
        <v>27.981999999999999</v>
      </c>
      <c r="D197" s="106">
        <v>23.704000000000001</v>
      </c>
      <c r="E197" s="106">
        <v>23.373000000000001</v>
      </c>
      <c r="F197" s="106">
        <v>23.373000000000001</v>
      </c>
      <c r="G197" s="106">
        <v>23.373000000000001</v>
      </c>
      <c r="H197" s="106">
        <v>23.373000000000001</v>
      </c>
      <c r="I197" s="106">
        <v>23.373000000000001</v>
      </c>
      <c r="J197" s="7">
        <v>100</v>
      </c>
      <c r="K197" s="7">
        <v>5</v>
      </c>
      <c r="L197" s="7" t="s">
        <v>185</v>
      </c>
      <c r="M197" s="7" t="s">
        <v>32</v>
      </c>
      <c r="N197" s="7" t="s">
        <v>42</v>
      </c>
      <c r="O197" s="70">
        <v>100</v>
      </c>
      <c r="P197" s="66">
        <f t="shared" si="161"/>
        <v>27.981999999999999</v>
      </c>
      <c r="Q197" s="66">
        <f t="shared" si="162"/>
        <v>23.704000000000001</v>
      </c>
      <c r="R197" s="66">
        <f t="shared" si="163"/>
        <v>23.373000000000001</v>
      </c>
      <c r="S197" s="66">
        <f t="shared" si="164"/>
        <v>23.373000000000001</v>
      </c>
      <c r="T197" s="66">
        <f t="shared" si="165"/>
        <v>23.373000000000001</v>
      </c>
      <c r="U197" s="66">
        <f t="shared" si="166"/>
        <v>23.373000000000001</v>
      </c>
      <c r="V197" s="66">
        <f t="shared" si="167"/>
        <v>23.373000000000001</v>
      </c>
    </row>
    <row r="198" spans="1:22" s="7" customFormat="1">
      <c r="A198" s="126" t="s">
        <v>388</v>
      </c>
      <c r="B198" s="7" t="s">
        <v>549</v>
      </c>
      <c r="C198" s="106">
        <v>8.5000000000000006E-2</v>
      </c>
      <c r="D198" s="106">
        <v>8.5999999999999993E-2</v>
      </c>
      <c r="E198" s="106">
        <v>0</v>
      </c>
      <c r="F198" s="106">
        <v>0</v>
      </c>
      <c r="G198" s="106">
        <v>0</v>
      </c>
      <c r="H198" s="106">
        <v>0</v>
      </c>
      <c r="I198" s="106">
        <v>0</v>
      </c>
      <c r="J198" s="7">
        <v>100</v>
      </c>
      <c r="K198" s="7">
        <v>5</v>
      </c>
      <c r="L198" s="7" t="s">
        <v>185</v>
      </c>
      <c r="M198" s="10" t="s">
        <v>43</v>
      </c>
      <c r="N198" s="7" t="s">
        <v>43</v>
      </c>
      <c r="O198" s="70">
        <v>0</v>
      </c>
      <c r="P198" s="66">
        <f t="shared" ref="P198:P200" si="210">+$O198/$J198*C198</f>
        <v>0</v>
      </c>
      <c r="Q198" s="66">
        <f t="shared" ref="Q198:Q200" si="211">+$O198/$J198*D198</f>
        <v>0</v>
      </c>
      <c r="R198" s="66">
        <f t="shared" ref="R198:R200" si="212">+$O198/$J198*E198</f>
        <v>0</v>
      </c>
      <c r="S198" s="66">
        <f t="shared" ref="S198:S200" si="213">+$O198/$J198*F198</f>
        <v>0</v>
      </c>
      <c r="T198" s="66">
        <f t="shared" ref="T198:T200" si="214">+$O198/$J198*G198</f>
        <v>0</v>
      </c>
      <c r="U198" s="66">
        <f t="shared" ref="U198:U200" si="215">+$O198/$J198*H198</f>
        <v>0</v>
      </c>
      <c r="V198" s="66">
        <f t="shared" ref="V198:V200" si="216">+$O198/$J198*I198</f>
        <v>0</v>
      </c>
    </row>
    <row r="199" spans="1:22" s="7" customFormat="1">
      <c r="A199" s="126" t="s">
        <v>388</v>
      </c>
      <c r="B199" s="7" t="s">
        <v>550</v>
      </c>
      <c r="C199" s="106">
        <v>7.6429999999999998</v>
      </c>
      <c r="D199" s="106">
        <v>2.145</v>
      </c>
      <c r="E199" s="106">
        <v>2.0070000000000001</v>
      </c>
      <c r="F199" s="106">
        <v>2.0150000000000001</v>
      </c>
      <c r="G199" s="106">
        <v>2.0219999999999998</v>
      </c>
      <c r="H199" s="106">
        <v>2.0219999999999998</v>
      </c>
      <c r="I199" s="106">
        <v>2.0219999999999998</v>
      </c>
      <c r="J199" s="7">
        <v>100</v>
      </c>
      <c r="K199" s="7">
        <v>5</v>
      </c>
      <c r="L199" s="7" t="s">
        <v>185</v>
      </c>
      <c r="M199" s="10" t="s">
        <v>43</v>
      </c>
      <c r="N199" s="7" t="s">
        <v>43</v>
      </c>
      <c r="O199" s="70">
        <v>0</v>
      </c>
      <c r="P199" s="66">
        <f t="shared" ref="P199" si="217">+$O199/$J199*C199</f>
        <v>0</v>
      </c>
      <c r="Q199" s="66">
        <f t="shared" ref="Q199" si="218">+$O199/$J199*D199</f>
        <v>0</v>
      </c>
      <c r="R199" s="66">
        <f t="shared" ref="R199" si="219">+$O199/$J199*E199</f>
        <v>0</v>
      </c>
      <c r="S199" s="66">
        <f t="shared" ref="S199" si="220">+$O199/$J199*F199</f>
        <v>0</v>
      </c>
      <c r="T199" s="66">
        <f t="shared" ref="T199" si="221">+$O199/$J199*G199</f>
        <v>0</v>
      </c>
      <c r="U199" s="66">
        <f t="shared" ref="U199" si="222">+$O199/$J199*H199</f>
        <v>0</v>
      </c>
      <c r="V199" s="66">
        <f t="shared" ref="V199" si="223">+$O199/$J199*I199</f>
        <v>0</v>
      </c>
    </row>
    <row r="200" spans="1:22" s="7" customFormat="1">
      <c r="A200" s="126" t="s">
        <v>390</v>
      </c>
      <c r="B200" s="7" t="s">
        <v>391</v>
      </c>
      <c r="C200" s="106">
        <v>5.1769999999999996</v>
      </c>
      <c r="D200" s="106">
        <v>4.45</v>
      </c>
      <c r="E200" s="106">
        <v>2.98</v>
      </c>
      <c r="F200" s="106">
        <v>2.98</v>
      </c>
      <c r="G200" s="106">
        <v>2.98</v>
      </c>
      <c r="H200" s="106">
        <v>2.98</v>
      </c>
      <c r="I200" s="106">
        <v>2.98</v>
      </c>
      <c r="J200" s="7">
        <v>100</v>
      </c>
      <c r="K200" s="7">
        <v>5</v>
      </c>
      <c r="L200" s="7" t="s">
        <v>185</v>
      </c>
      <c r="M200" s="7" t="s">
        <v>18</v>
      </c>
      <c r="N200" s="7" t="s">
        <v>42</v>
      </c>
      <c r="O200" s="70">
        <v>50</v>
      </c>
      <c r="P200" s="66">
        <f t="shared" si="210"/>
        <v>2.5884999999999998</v>
      </c>
      <c r="Q200" s="66">
        <f t="shared" si="211"/>
        <v>2.2250000000000001</v>
      </c>
      <c r="R200" s="66">
        <f t="shared" si="212"/>
        <v>1.49</v>
      </c>
      <c r="S200" s="66">
        <f t="shared" si="213"/>
        <v>1.49</v>
      </c>
      <c r="T200" s="66">
        <f t="shared" si="214"/>
        <v>1.49</v>
      </c>
      <c r="U200" s="66">
        <f t="shared" si="215"/>
        <v>1.49</v>
      </c>
      <c r="V200" s="66">
        <f t="shared" si="216"/>
        <v>1.49</v>
      </c>
    </row>
    <row r="201" spans="1:22" s="7" customFormat="1">
      <c r="A201" s="126" t="s">
        <v>551</v>
      </c>
      <c r="B201" s="7" t="s">
        <v>552</v>
      </c>
      <c r="C201" s="106">
        <v>0</v>
      </c>
      <c r="D201" s="106">
        <v>1.36</v>
      </c>
      <c r="E201" s="106">
        <v>1.7</v>
      </c>
      <c r="F201" s="106">
        <v>1.7</v>
      </c>
      <c r="G201" s="106">
        <v>1.7</v>
      </c>
      <c r="H201" s="106">
        <v>1.7</v>
      </c>
      <c r="I201" s="106">
        <v>1.7</v>
      </c>
      <c r="J201" s="7">
        <v>100</v>
      </c>
      <c r="K201" s="7">
        <v>5</v>
      </c>
      <c r="L201" s="7" t="s">
        <v>185</v>
      </c>
      <c r="M201" s="7" t="s">
        <v>18</v>
      </c>
      <c r="N201" s="7" t="s">
        <v>42</v>
      </c>
      <c r="O201" s="70">
        <v>50</v>
      </c>
      <c r="P201" s="66">
        <f t="shared" ref="P201" si="224">+$O201/$J201*C201</f>
        <v>0</v>
      </c>
      <c r="Q201" s="66">
        <f t="shared" ref="Q201" si="225">+$O201/$J201*D201</f>
        <v>0.68</v>
      </c>
      <c r="R201" s="66">
        <f t="shared" ref="R201" si="226">+$O201/$J201*E201</f>
        <v>0.85</v>
      </c>
      <c r="S201" s="66">
        <f t="shared" ref="S201" si="227">+$O201/$J201*F201</f>
        <v>0.85</v>
      </c>
      <c r="T201" s="66">
        <f t="shared" ref="T201" si="228">+$O201/$J201*G201</f>
        <v>0.85</v>
      </c>
      <c r="U201" s="66">
        <f t="shared" ref="U201" si="229">+$O201/$J201*H201</f>
        <v>0.85</v>
      </c>
      <c r="V201" s="66">
        <f t="shared" ref="V201" si="230">+$O201/$J201*I201</f>
        <v>0.85</v>
      </c>
    </row>
    <row r="202" spans="1:22" s="7" customFormat="1" ht="15">
      <c r="A202" s="82" t="s">
        <v>393</v>
      </c>
      <c r="B202" s="131" t="s">
        <v>392</v>
      </c>
      <c r="C202" s="106"/>
      <c r="D202" s="106"/>
      <c r="E202" s="106"/>
      <c r="F202" s="106"/>
      <c r="G202" s="106"/>
      <c r="H202" s="106"/>
      <c r="I202" s="106"/>
      <c r="O202" s="70"/>
      <c r="P202" s="66"/>
      <c r="Q202" s="66"/>
      <c r="R202" s="66"/>
      <c r="S202" s="66"/>
      <c r="T202" s="66"/>
      <c r="U202" s="66"/>
      <c r="V202" s="66"/>
    </row>
    <row r="203" spans="1:22" s="7" customFormat="1">
      <c r="A203" s="126" t="s">
        <v>395</v>
      </c>
      <c r="B203" s="7" t="s">
        <v>394</v>
      </c>
      <c r="C203" s="106">
        <v>2.4039999999999999</v>
      </c>
      <c r="D203" s="106">
        <v>7</v>
      </c>
      <c r="E203" s="106">
        <v>7</v>
      </c>
      <c r="F203" s="106">
        <v>7</v>
      </c>
      <c r="G203" s="106">
        <v>7</v>
      </c>
      <c r="H203" s="106">
        <v>6</v>
      </c>
      <c r="I203" s="106">
        <v>5</v>
      </c>
      <c r="J203" s="7">
        <v>100</v>
      </c>
      <c r="K203" s="7">
        <v>5</v>
      </c>
      <c r="L203" s="7" t="s">
        <v>185</v>
      </c>
      <c r="M203" s="7" t="s">
        <v>43</v>
      </c>
      <c r="N203" s="7" t="s">
        <v>43</v>
      </c>
      <c r="O203" s="70">
        <v>0</v>
      </c>
      <c r="P203" s="66">
        <f t="shared" ref="P203" si="231">+$O203/$J203*C203</f>
        <v>0</v>
      </c>
      <c r="Q203" s="66">
        <f t="shared" ref="Q203" si="232">+$O203/$J203*D203</f>
        <v>0</v>
      </c>
      <c r="R203" s="66">
        <f t="shared" ref="R203" si="233">+$O203/$J203*E203</f>
        <v>0</v>
      </c>
      <c r="S203" s="66">
        <f t="shared" ref="S203" si="234">+$O203/$J203*F203</f>
        <v>0</v>
      </c>
      <c r="T203" s="66">
        <f t="shared" ref="T203" si="235">+$O203/$J203*G203</f>
        <v>0</v>
      </c>
      <c r="U203" s="66">
        <f t="shared" ref="U203" si="236">+$O203/$J203*H203</f>
        <v>0</v>
      </c>
      <c r="V203" s="66">
        <f t="shared" ref="V203" si="237">+$O203/$J203*I203</f>
        <v>0</v>
      </c>
    </row>
    <row r="204" spans="1:22" s="82" customFormat="1" ht="15">
      <c r="A204" s="82" t="s">
        <v>397</v>
      </c>
      <c r="B204" s="131" t="s">
        <v>33</v>
      </c>
      <c r="C204" s="132"/>
      <c r="D204" s="132"/>
      <c r="E204" s="132"/>
      <c r="F204" s="132"/>
      <c r="G204" s="132"/>
      <c r="H204" s="132"/>
      <c r="I204" s="132"/>
      <c r="L204" s="23"/>
      <c r="O204" s="133"/>
      <c r="P204" s="197">
        <f>+SUM(P205:P222)</f>
        <v>105.252</v>
      </c>
      <c r="Q204" s="197">
        <f t="shared" ref="Q204:V204" si="238">+SUM(Q205:Q222)</f>
        <v>106.3554</v>
      </c>
      <c r="R204" s="197">
        <f t="shared" si="238"/>
        <v>99.615499999999983</v>
      </c>
      <c r="S204" s="197">
        <f t="shared" si="238"/>
        <v>96.007899999999992</v>
      </c>
      <c r="T204" s="197">
        <f t="shared" si="238"/>
        <v>95.870699999999999</v>
      </c>
      <c r="U204" s="197">
        <f t="shared" si="238"/>
        <v>96.029300000000006</v>
      </c>
      <c r="V204" s="197">
        <f t="shared" si="238"/>
        <v>94.009800000000013</v>
      </c>
    </row>
    <row r="205" spans="1:22" s="7" customFormat="1">
      <c r="A205" s="127" t="s">
        <v>398</v>
      </c>
      <c r="B205" s="10" t="s">
        <v>559</v>
      </c>
      <c r="C205" s="63">
        <v>0.36599999999999999</v>
      </c>
      <c r="D205" s="63">
        <v>0.32800000000000001</v>
      </c>
      <c r="E205" s="63">
        <v>0.25800000000000001</v>
      </c>
      <c r="F205" s="63">
        <v>0.25800000000000001</v>
      </c>
      <c r="G205" s="63">
        <v>0.25800000000000001</v>
      </c>
      <c r="H205" s="63">
        <v>0.25800000000000001</v>
      </c>
      <c r="I205" s="63">
        <v>0.25800000000000001</v>
      </c>
      <c r="J205" s="10">
        <v>100</v>
      </c>
      <c r="K205" s="11">
        <v>8</v>
      </c>
      <c r="L205" s="10" t="s">
        <v>184</v>
      </c>
      <c r="M205" s="10" t="s">
        <v>7</v>
      </c>
      <c r="N205" s="10" t="s">
        <v>43</v>
      </c>
      <c r="O205" s="70">
        <v>100</v>
      </c>
      <c r="P205" s="66">
        <f t="shared" ref="P205" si="239">+$O205/100*C205</f>
        <v>0.36599999999999999</v>
      </c>
      <c r="Q205" s="66">
        <f t="shared" ref="Q205" si="240">+$O205/100*D205</f>
        <v>0.32800000000000001</v>
      </c>
      <c r="R205" s="66">
        <f t="shared" ref="R205" si="241">+$O205/100*E205</f>
        <v>0.25800000000000001</v>
      </c>
      <c r="S205" s="66">
        <f t="shared" ref="S205" si="242">+$O205/100*F205</f>
        <v>0.25800000000000001</v>
      </c>
      <c r="T205" s="66">
        <f t="shared" ref="T205" si="243">+$O205/100*G205</f>
        <v>0.25800000000000001</v>
      </c>
      <c r="U205" s="66">
        <f t="shared" ref="U205" si="244">+$O205/100*H205</f>
        <v>0.25800000000000001</v>
      </c>
      <c r="V205" s="66">
        <f t="shared" ref="V205" si="245">+$O205/100*I205</f>
        <v>0.25800000000000001</v>
      </c>
    </row>
    <row r="206" spans="1:22" s="7" customFormat="1">
      <c r="A206" s="127" t="s">
        <v>398</v>
      </c>
      <c r="B206" s="10" t="s">
        <v>560</v>
      </c>
      <c r="C206" s="63">
        <v>1.0960000000000001</v>
      </c>
      <c r="D206" s="63">
        <v>1.375</v>
      </c>
      <c r="E206" s="63">
        <v>3.093</v>
      </c>
      <c r="F206" s="63">
        <v>2.4079999999999999</v>
      </c>
      <c r="G206" s="63">
        <v>2.4079999999999999</v>
      </c>
      <c r="H206" s="63">
        <v>2.4079999999999999</v>
      </c>
      <c r="I206" s="63">
        <v>2.4079999999999999</v>
      </c>
      <c r="J206" s="10">
        <v>100</v>
      </c>
      <c r="K206" s="11">
        <v>6</v>
      </c>
      <c r="L206" s="10" t="s">
        <v>186</v>
      </c>
      <c r="M206" s="10" t="s">
        <v>7</v>
      </c>
      <c r="N206" s="10" t="s">
        <v>43</v>
      </c>
      <c r="O206" s="70">
        <v>100</v>
      </c>
      <c r="P206" s="66">
        <f t="shared" ref="P206" si="246">+$O206/100*C206</f>
        <v>1.0960000000000001</v>
      </c>
      <c r="Q206" s="66">
        <f t="shared" ref="Q206" si="247">+$O206/100*D206</f>
        <v>1.375</v>
      </c>
      <c r="R206" s="66">
        <f t="shared" ref="R206" si="248">+$O206/100*E206</f>
        <v>3.093</v>
      </c>
      <c r="S206" s="66">
        <f t="shared" ref="S206" si="249">+$O206/100*F206</f>
        <v>2.4079999999999999</v>
      </c>
      <c r="T206" s="66">
        <f t="shared" ref="T206" si="250">+$O206/100*G206</f>
        <v>2.4079999999999999</v>
      </c>
      <c r="U206" s="66">
        <f t="shared" ref="U206" si="251">+$O206/100*H206</f>
        <v>2.4079999999999999</v>
      </c>
      <c r="V206" s="66">
        <f t="shared" ref="V206" si="252">+$O206/100*I206</f>
        <v>2.4079999999999999</v>
      </c>
    </row>
    <row r="207" spans="1:22" s="7" customFormat="1">
      <c r="A207" s="127" t="s">
        <v>398</v>
      </c>
      <c r="B207" s="10" t="s">
        <v>561</v>
      </c>
      <c r="C207" s="63">
        <v>9.2999999999999999E-2</v>
      </c>
      <c r="D207" s="63">
        <v>0.11899999999999999</v>
      </c>
      <c r="E207" s="63">
        <v>0.996</v>
      </c>
      <c r="F207" s="63">
        <v>1.276</v>
      </c>
      <c r="G207" s="63">
        <v>1.3919999999999999</v>
      </c>
      <c r="H207" s="63">
        <v>1.3919999999999999</v>
      </c>
      <c r="I207" s="63">
        <v>1.3919999999999999</v>
      </c>
      <c r="J207" s="10">
        <v>100</v>
      </c>
      <c r="K207" s="10">
        <v>6</v>
      </c>
      <c r="L207" s="10" t="s">
        <v>186</v>
      </c>
      <c r="M207" s="10" t="s">
        <v>7</v>
      </c>
      <c r="N207" s="10" t="s">
        <v>43</v>
      </c>
      <c r="O207" s="70">
        <v>100</v>
      </c>
      <c r="P207" s="66">
        <f>+$O207/100*C207</f>
        <v>9.2999999999999999E-2</v>
      </c>
      <c r="Q207" s="66">
        <v>0.15</v>
      </c>
      <c r="R207" s="66">
        <v>0.94</v>
      </c>
      <c r="S207" s="66">
        <v>0.94</v>
      </c>
      <c r="T207" s="66">
        <v>0.94</v>
      </c>
      <c r="U207" s="66">
        <v>0.94</v>
      </c>
      <c r="V207" s="66">
        <v>0.94</v>
      </c>
    </row>
    <row r="208" spans="1:22" s="7" customFormat="1">
      <c r="A208" s="127" t="s">
        <v>398</v>
      </c>
      <c r="B208" s="10" t="s">
        <v>562</v>
      </c>
      <c r="C208" s="63">
        <v>0.81499999999999995</v>
      </c>
      <c r="D208" s="63">
        <v>0.43</v>
      </c>
      <c r="E208" s="63">
        <v>0.503</v>
      </c>
      <c r="F208" s="63">
        <v>0.503</v>
      </c>
      <c r="G208" s="63">
        <v>0.503</v>
      </c>
      <c r="H208" s="63">
        <v>0.503</v>
      </c>
      <c r="I208" s="63">
        <v>0.503</v>
      </c>
      <c r="J208" s="10">
        <v>100</v>
      </c>
      <c r="K208" s="10">
        <v>6</v>
      </c>
      <c r="L208" s="10" t="s">
        <v>186</v>
      </c>
      <c r="M208" s="10" t="s">
        <v>7</v>
      </c>
      <c r="N208" s="10" t="s">
        <v>43</v>
      </c>
      <c r="O208" s="70">
        <v>100</v>
      </c>
      <c r="P208" s="66">
        <f>+$O208/100*C208</f>
        <v>0.81499999999999995</v>
      </c>
      <c r="Q208" s="66">
        <v>0.15</v>
      </c>
      <c r="R208" s="66">
        <v>0.94</v>
      </c>
      <c r="S208" s="66">
        <v>0.94</v>
      </c>
      <c r="T208" s="66">
        <v>0.94</v>
      </c>
      <c r="U208" s="66">
        <v>0.94</v>
      </c>
      <c r="V208" s="66">
        <v>0.94</v>
      </c>
    </row>
    <row r="209" spans="1:22" s="161" customFormat="1">
      <c r="A209" s="94" t="s">
        <v>400</v>
      </c>
      <c r="B209" s="203" t="s">
        <v>563</v>
      </c>
      <c r="C209" s="209">
        <v>16.100000000000001</v>
      </c>
      <c r="D209" s="209">
        <v>9.6999999999999993</v>
      </c>
      <c r="E209" s="209">
        <v>9.6999999999999993</v>
      </c>
      <c r="F209" s="209">
        <v>9.6999999999999993</v>
      </c>
      <c r="G209" s="209">
        <v>9.6999999999999993</v>
      </c>
      <c r="H209" s="209">
        <v>9.6999999999999993</v>
      </c>
      <c r="I209" s="209">
        <v>4.032</v>
      </c>
      <c r="J209" s="205">
        <v>100</v>
      </c>
      <c r="K209" s="208" t="s">
        <v>399</v>
      </c>
      <c r="L209" s="205" t="s">
        <v>182</v>
      </c>
      <c r="M209" s="205" t="s">
        <v>34</v>
      </c>
      <c r="N209" s="205" t="s">
        <v>43</v>
      </c>
      <c r="O209" s="206">
        <v>50</v>
      </c>
      <c r="P209" s="207">
        <f t="shared" ref="P209:T213" si="253">+$O209/100*C209</f>
        <v>8.0500000000000007</v>
      </c>
      <c r="Q209" s="207">
        <f t="shared" si="253"/>
        <v>4.8499999999999996</v>
      </c>
      <c r="R209" s="207">
        <f t="shared" si="253"/>
        <v>4.8499999999999996</v>
      </c>
      <c r="S209" s="207">
        <f t="shared" si="253"/>
        <v>4.8499999999999996</v>
      </c>
      <c r="T209" s="207">
        <f t="shared" si="253"/>
        <v>4.8499999999999996</v>
      </c>
      <c r="U209" s="207">
        <f t="shared" ref="U209:V209" si="254">+$O209/100*H209</f>
        <v>4.8499999999999996</v>
      </c>
      <c r="V209" s="207">
        <f t="shared" si="254"/>
        <v>2.016</v>
      </c>
    </row>
    <row r="210" spans="1:22" s="161" customFormat="1">
      <c r="A210" s="94" t="s">
        <v>400</v>
      </c>
      <c r="B210" s="203" t="s">
        <v>564</v>
      </c>
      <c r="C210" s="209">
        <v>3.8889999999999998</v>
      </c>
      <c r="D210" s="209">
        <v>4.0220000000000002</v>
      </c>
      <c r="E210" s="209">
        <v>4.0220000000000002</v>
      </c>
      <c r="F210" s="209">
        <v>4.0220000000000002</v>
      </c>
      <c r="G210" s="209">
        <v>4.0220000000000002</v>
      </c>
      <c r="H210" s="209">
        <v>4.0220000000000002</v>
      </c>
      <c r="I210" s="209">
        <v>3.996</v>
      </c>
      <c r="J210" s="205">
        <v>100</v>
      </c>
      <c r="K210" s="208" t="s">
        <v>399</v>
      </c>
      <c r="L210" s="205" t="s">
        <v>182</v>
      </c>
      <c r="M210" s="205" t="s">
        <v>34</v>
      </c>
      <c r="N210" s="205" t="s">
        <v>43</v>
      </c>
      <c r="O210" s="206">
        <v>50</v>
      </c>
      <c r="P210" s="207">
        <f t="shared" ref="P210" si="255">+$O210/100*C210</f>
        <v>1.9444999999999999</v>
      </c>
      <c r="Q210" s="207">
        <f t="shared" ref="Q210" si="256">+$O210/100*D210</f>
        <v>2.0110000000000001</v>
      </c>
      <c r="R210" s="207">
        <f t="shared" ref="R210" si="257">+$O210/100*E210</f>
        <v>2.0110000000000001</v>
      </c>
      <c r="S210" s="207">
        <f t="shared" ref="S210" si="258">+$O210/100*F210</f>
        <v>2.0110000000000001</v>
      </c>
      <c r="T210" s="207">
        <f t="shared" ref="T210" si="259">+$O210/100*G210</f>
        <v>2.0110000000000001</v>
      </c>
      <c r="U210" s="207">
        <f t="shared" ref="U210" si="260">+$O210/100*H210</f>
        <v>2.0110000000000001</v>
      </c>
      <c r="V210" s="207">
        <f t="shared" ref="V210" si="261">+$O210/100*I210</f>
        <v>1.998</v>
      </c>
    </row>
    <row r="211" spans="1:22" s="161" customFormat="1">
      <c r="A211" s="94" t="s">
        <v>400</v>
      </c>
      <c r="B211" s="203" t="s">
        <v>183</v>
      </c>
      <c r="C211" s="204">
        <v>55.243000000000002</v>
      </c>
      <c r="D211" s="204">
        <v>64.372</v>
      </c>
      <c r="E211" s="204">
        <v>63.290999999999997</v>
      </c>
      <c r="F211" s="204">
        <v>60.92</v>
      </c>
      <c r="G211" s="204">
        <v>60.92</v>
      </c>
      <c r="H211" s="204">
        <v>60.92</v>
      </c>
      <c r="I211" s="204">
        <v>73.605999999999995</v>
      </c>
      <c r="J211" s="205">
        <v>100</v>
      </c>
      <c r="K211" s="208" t="s">
        <v>399</v>
      </c>
      <c r="L211" s="205" t="s">
        <v>182</v>
      </c>
      <c r="M211" s="205" t="s">
        <v>34</v>
      </c>
      <c r="N211" s="205" t="s">
        <v>43</v>
      </c>
      <c r="O211" s="206">
        <v>50</v>
      </c>
      <c r="P211" s="207">
        <f t="shared" si="253"/>
        <v>27.621500000000001</v>
      </c>
      <c r="Q211" s="207">
        <f t="shared" si="253"/>
        <v>32.186</v>
      </c>
      <c r="R211" s="207">
        <f t="shared" si="253"/>
        <v>31.645499999999998</v>
      </c>
      <c r="S211" s="207">
        <f t="shared" si="253"/>
        <v>30.46</v>
      </c>
      <c r="T211" s="207">
        <f t="shared" si="253"/>
        <v>30.46</v>
      </c>
      <c r="U211" s="207">
        <f t="shared" ref="U211:V213" si="262">+$O211/100*H211</f>
        <v>30.46</v>
      </c>
      <c r="V211" s="207">
        <f t="shared" si="262"/>
        <v>36.802999999999997</v>
      </c>
    </row>
    <row r="212" spans="1:22" s="161" customFormat="1">
      <c r="A212" s="94" t="s">
        <v>400</v>
      </c>
      <c r="B212" s="203" t="s">
        <v>565</v>
      </c>
      <c r="C212" s="204">
        <v>28.161000000000001</v>
      </c>
      <c r="D212" s="204">
        <v>21.481999999999999</v>
      </c>
      <c r="E212" s="204">
        <v>11.988</v>
      </c>
      <c r="F212" s="204">
        <v>11.315</v>
      </c>
      <c r="G212" s="204">
        <v>11.29</v>
      </c>
      <c r="H212" s="204">
        <v>11.365</v>
      </c>
      <c r="I212" s="204">
        <v>5.34</v>
      </c>
      <c r="J212" s="205">
        <v>100</v>
      </c>
      <c r="K212" s="205">
        <v>8</v>
      </c>
      <c r="L212" s="205" t="s">
        <v>184</v>
      </c>
      <c r="M212" s="205" t="s">
        <v>34</v>
      </c>
      <c r="N212" s="205" t="s">
        <v>43</v>
      </c>
      <c r="O212" s="206">
        <v>50</v>
      </c>
      <c r="P212" s="207">
        <f t="shared" si="253"/>
        <v>14.080500000000001</v>
      </c>
      <c r="Q212" s="207">
        <f t="shared" si="253"/>
        <v>10.741</v>
      </c>
      <c r="R212" s="207">
        <f t="shared" si="253"/>
        <v>5.9939999999999998</v>
      </c>
      <c r="S212" s="207">
        <f t="shared" si="253"/>
        <v>5.6574999999999998</v>
      </c>
      <c r="T212" s="207">
        <f t="shared" si="253"/>
        <v>5.6449999999999996</v>
      </c>
      <c r="U212" s="207">
        <f t="shared" si="262"/>
        <v>5.6825000000000001</v>
      </c>
      <c r="V212" s="207">
        <f t="shared" si="262"/>
        <v>2.67</v>
      </c>
    </row>
    <row r="213" spans="1:22" s="7" customFormat="1">
      <c r="A213" s="127" t="s">
        <v>400</v>
      </c>
      <c r="B213" s="9" t="s">
        <v>35</v>
      </c>
      <c r="C213" s="63">
        <v>47.68</v>
      </c>
      <c r="D213" s="63">
        <v>46.805</v>
      </c>
      <c r="E213" s="63">
        <v>41.715000000000003</v>
      </c>
      <c r="F213" s="63">
        <v>40.567999999999998</v>
      </c>
      <c r="G213" s="63">
        <v>40.570999999999998</v>
      </c>
      <c r="H213" s="63">
        <v>40.500999999999998</v>
      </c>
      <c r="I213" s="63">
        <v>39.588000000000001</v>
      </c>
      <c r="J213" s="10">
        <v>100</v>
      </c>
      <c r="K213" s="10">
        <v>8</v>
      </c>
      <c r="L213" s="10" t="s">
        <v>184</v>
      </c>
      <c r="M213" s="10" t="s">
        <v>34</v>
      </c>
      <c r="N213" s="10" t="s">
        <v>43</v>
      </c>
      <c r="O213" s="70">
        <v>100</v>
      </c>
      <c r="P213" s="66">
        <f t="shared" si="253"/>
        <v>47.68</v>
      </c>
      <c r="Q213" s="66">
        <f t="shared" si="253"/>
        <v>46.805</v>
      </c>
      <c r="R213" s="66">
        <f t="shared" si="253"/>
        <v>41.715000000000003</v>
      </c>
      <c r="S213" s="66">
        <f t="shared" si="253"/>
        <v>40.567999999999998</v>
      </c>
      <c r="T213" s="66">
        <f t="shared" si="253"/>
        <v>40.570999999999998</v>
      </c>
      <c r="U213" s="66">
        <f t="shared" si="262"/>
        <v>40.500999999999998</v>
      </c>
      <c r="V213" s="66">
        <f t="shared" si="262"/>
        <v>39.588000000000001</v>
      </c>
    </row>
    <row r="214" spans="1:22" s="7" customFormat="1">
      <c r="A214" s="127" t="s">
        <v>400</v>
      </c>
      <c r="B214" s="10" t="s">
        <v>566</v>
      </c>
      <c r="C214" s="63">
        <v>0</v>
      </c>
      <c r="D214" s="63">
        <v>4.0000000000000001E-3</v>
      </c>
      <c r="E214" s="63">
        <v>1.9319999999999999</v>
      </c>
      <c r="F214" s="63">
        <v>1.9279999999999999</v>
      </c>
      <c r="G214" s="63">
        <v>1.9279999999999999</v>
      </c>
      <c r="H214" s="63">
        <v>1.9279999999999999</v>
      </c>
      <c r="I214" s="63">
        <v>1.9279999999999999</v>
      </c>
      <c r="J214" s="10">
        <v>100</v>
      </c>
      <c r="K214" s="10">
        <v>8</v>
      </c>
      <c r="L214" s="10" t="s">
        <v>184</v>
      </c>
      <c r="M214" s="10" t="s">
        <v>36</v>
      </c>
      <c r="N214" s="10" t="s">
        <v>43</v>
      </c>
      <c r="O214" s="70">
        <v>50</v>
      </c>
      <c r="P214" s="66">
        <f>+$O214/100*C214</f>
        <v>0</v>
      </c>
      <c r="Q214" s="66">
        <f t="shared" ref="Q214:Q222" si="263">+$O214/100*D214</f>
        <v>2E-3</v>
      </c>
      <c r="R214" s="66">
        <f t="shared" ref="R214:R222" si="264">+$O214/100*E214</f>
        <v>0.96599999999999997</v>
      </c>
      <c r="S214" s="66">
        <f t="shared" ref="S214:S222" si="265">+$O214/100*F214</f>
        <v>0.96399999999999997</v>
      </c>
      <c r="T214" s="66">
        <f t="shared" ref="T214:T222" si="266">+$O214/100*G214</f>
        <v>0.96399999999999997</v>
      </c>
      <c r="U214" s="66">
        <f t="shared" ref="U214:U222" si="267">+$O214/100*H214</f>
        <v>0.96399999999999997</v>
      </c>
      <c r="V214" s="66">
        <f t="shared" ref="V214:V222" si="268">+$O214/100*I214</f>
        <v>0.96399999999999997</v>
      </c>
    </row>
    <row r="215" spans="1:22" s="7" customFormat="1">
      <c r="A215" s="127" t="s">
        <v>400</v>
      </c>
      <c r="B215" s="10" t="s">
        <v>567</v>
      </c>
      <c r="C215" s="63">
        <v>7.1280000000000001</v>
      </c>
      <c r="D215" s="63">
        <v>1.038</v>
      </c>
      <c r="E215" s="63">
        <v>1.387</v>
      </c>
      <c r="F215" s="63">
        <v>1.905</v>
      </c>
      <c r="G215" s="63">
        <v>2.044</v>
      </c>
      <c r="H215" s="63">
        <v>2.044</v>
      </c>
      <c r="I215" s="63">
        <v>2.044</v>
      </c>
      <c r="J215" s="10">
        <v>100</v>
      </c>
      <c r="K215" s="11">
        <v>8</v>
      </c>
      <c r="L215" s="10" t="s">
        <v>184</v>
      </c>
      <c r="M215" s="10" t="s">
        <v>12</v>
      </c>
      <c r="N215" s="10" t="s">
        <v>43</v>
      </c>
      <c r="O215" s="70">
        <v>30</v>
      </c>
      <c r="P215" s="66">
        <f t="shared" ref="P215:P222" si="269">+$O215/100*C215</f>
        <v>2.1383999999999999</v>
      </c>
      <c r="Q215" s="66">
        <f t="shared" si="263"/>
        <v>0.31140000000000001</v>
      </c>
      <c r="R215" s="66">
        <f t="shared" si="264"/>
        <v>0.41609999999999997</v>
      </c>
      <c r="S215" s="66">
        <f t="shared" si="265"/>
        <v>0.57150000000000001</v>
      </c>
      <c r="T215" s="66">
        <f t="shared" si="266"/>
        <v>0.61319999999999997</v>
      </c>
      <c r="U215" s="66">
        <f t="shared" si="267"/>
        <v>0.61319999999999997</v>
      </c>
      <c r="V215" s="66">
        <f t="shared" si="268"/>
        <v>0.61319999999999997</v>
      </c>
    </row>
    <row r="216" spans="1:22" s="7" customFormat="1">
      <c r="A216" s="127" t="s">
        <v>400</v>
      </c>
      <c r="B216" s="10" t="s">
        <v>568</v>
      </c>
      <c r="C216" s="63">
        <v>2.1</v>
      </c>
      <c r="D216" s="63">
        <v>2.452</v>
      </c>
      <c r="E216" s="63">
        <v>2.944</v>
      </c>
      <c r="F216" s="63">
        <v>2.944</v>
      </c>
      <c r="G216" s="63">
        <v>2.944</v>
      </c>
      <c r="H216" s="63">
        <v>2.944</v>
      </c>
      <c r="I216" s="63">
        <v>2.944</v>
      </c>
      <c r="J216" s="10">
        <v>100</v>
      </c>
      <c r="K216" s="11">
        <v>8</v>
      </c>
      <c r="L216" s="10" t="s">
        <v>184</v>
      </c>
      <c r="M216" s="10" t="s">
        <v>12</v>
      </c>
      <c r="N216" s="10" t="s">
        <v>43</v>
      </c>
      <c r="O216" s="70">
        <v>30</v>
      </c>
      <c r="P216" s="66">
        <f t="shared" si="269"/>
        <v>0.63</v>
      </c>
      <c r="Q216" s="66">
        <f t="shared" si="263"/>
        <v>0.73559999999999992</v>
      </c>
      <c r="R216" s="66">
        <f t="shared" si="264"/>
        <v>0.88319999999999999</v>
      </c>
      <c r="S216" s="66">
        <f t="shared" si="265"/>
        <v>0.88319999999999999</v>
      </c>
      <c r="T216" s="66">
        <f t="shared" si="266"/>
        <v>0.88319999999999999</v>
      </c>
      <c r="U216" s="66">
        <f t="shared" si="267"/>
        <v>0.88319999999999999</v>
      </c>
      <c r="V216" s="66">
        <f t="shared" si="268"/>
        <v>0.88319999999999999</v>
      </c>
    </row>
    <row r="217" spans="1:22" s="7" customFormat="1">
      <c r="A217" s="127" t="s">
        <v>400</v>
      </c>
      <c r="B217" s="10" t="s">
        <v>569</v>
      </c>
      <c r="C217" s="63">
        <v>0</v>
      </c>
      <c r="D217" s="63">
        <v>0.219</v>
      </c>
      <c r="E217" s="63">
        <v>1.845</v>
      </c>
      <c r="F217" s="63">
        <v>1.8460000000000001</v>
      </c>
      <c r="G217" s="63">
        <v>1.627</v>
      </c>
      <c r="H217" s="63">
        <v>1.627</v>
      </c>
      <c r="I217" s="63">
        <v>1.627</v>
      </c>
      <c r="J217" s="10">
        <v>100</v>
      </c>
      <c r="K217" s="11">
        <v>8</v>
      </c>
      <c r="L217" s="10" t="s">
        <v>184</v>
      </c>
      <c r="M217" s="10" t="s">
        <v>12</v>
      </c>
      <c r="N217" s="10" t="s">
        <v>43</v>
      </c>
      <c r="O217" s="70">
        <v>30</v>
      </c>
      <c r="P217" s="66">
        <f t="shared" si="269"/>
        <v>0</v>
      </c>
      <c r="Q217" s="66">
        <f t="shared" si="263"/>
        <v>6.5699999999999995E-2</v>
      </c>
      <c r="R217" s="66">
        <f t="shared" si="264"/>
        <v>0.55349999999999999</v>
      </c>
      <c r="S217" s="66">
        <f t="shared" si="265"/>
        <v>0.55379999999999996</v>
      </c>
      <c r="T217" s="66">
        <f t="shared" si="266"/>
        <v>0.48809999999999998</v>
      </c>
      <c r="U217" s="66">
        <f t="shared" si="267"/>
        <v>0.48809999999999998</v>
      </c>
      <c r="V217" s="66">
        <f t="shared" si="268"/>
        <v>0.48809999999999998</v>
      </c>
    </row>
    <row r="218" spans="1:22" s="7" customFormat="1">
      <c r="A218" s="127" t="s">
        <v>400</v>
      </c>
      <c r="B218" s="10" t="s">
        <v>570</v>
      </c>
      <c r="C218" s="63">
        <v>0</v>
      </c>
      <c r="D218" s="63">
        <v>0.90100000000000002</v>
      </c>
      <c r="E218" s="63">
        <v>0.20100000000000001</v>
      </c>
      <c r="F218" s="63">
        <v>0.20100000000000001</v>
      </c>
      <c r="G218" s="63">
        <v>0.20100000000000001</v>
      </c>
      <c r="H218" s="63">
        <v>0.20100000000000001</v>
      </c>
      <c r="I218" s="63">
        <v>0.20100000000000001</v>
      </c>
      <c r="J218" s="10">
        <v>100</v>
      </c>
      <c r="K218" s="11">
        <v>8</v>
      </c>
      <c r="L218" s="10" t="s">
        <v>184</v>
      </c>
      <c r="M218" s="10" t="s">
        <v>12</v>
      </c>
      <c r="N218" s="10" t="s">
        <v>43</v>
      </c>
      <c r="O218" s="70">
        <v>30</v>
      </c>
      <c r="P218" s="66">
        <f t="shared" si="269"/>
        <v>0</v>
      </c>
      <c r="Q218" s="66">
        <f t="shared" si="263"/>
        <v>0.27029999999999998</v>
      </c>
      <c r="R218" s="66">
        <f t="shared" si="264"/>
        <v>6.0299999999999999E-2</v>
      </c>
      <c r="S218" s="66">
        <f t="shared" si="265"/>
        <v>6.0299999999999999E-2</v>
      </c>
      <c r="T218" s="66">
        <f t="shared" si="266"/>
        <v>6.0299999999999999E-2</v>
      </c>
      <c r="U218" s="66">
        <f t="shared" si="267"/>
        <v>6.0299999999999999E-2</v>
      </c>
      <c r="V218" s="66">
        <f t="shared" si="268"/>
        <v>6.0299999999999999E-2</v>
      </c>
    </row>
    <row r="219" spans="1:22" s="7" customFormat="1">
      <c r="A219" s="127" t="s">
        <v>400</v>
      </c>
      <c r="B219" s="10" t="s">
        <v>571</v>
      </c>
      <c r="C219" s="63">
        <v>1.33</v>
      </c>
      <c r="D219" s="63">
        <v>2.2999999999999998</v>
      </c>
      <c r="E219" s="63">
        <v>0</v>
      </c>
      <c r="F219" s="63">
        <v>0</v>
      </c>
      <c r="G219" s="63">
        <v>0</v>
      </c>
      <c r="H219" s="63">
        <v>0</v>
      </c>
      <c r="I219" s="63">
        <v>0</v>
      </c>
      <c r="J219" s="10">
        <v>100</v>
      </c>
      <c r="K219" s="11">
        <v>8</v>
      </c>
      <c r="L219" s="10" t="s">
        <v>184</v>
      </c>
      <c r="M219" s="10" t="s">
        <v>12</v>
      </c>
      <c r="N219" s="10" t="s">
        <v>43</v>
      </c>
      <c r="O219" s="70">
        <v>30</v>
      </c>
      <c r="P219" s="66">
        <f t="shared" si="269"/>
        <v>0.39900000000000002</v>
      </c>
      <c r="Q219" s="66">
        <f t="shared" si="263"/>
        <v>0.69</v>
      </c>
      <c r="R219" s="66">
        <f t="shared" si="264"/>
        <v>0</v>
      </c>
      <c r="S219" s="66">
        <f t="shared" si="265"/>
        <v>0</v>
      </c>
      <c r="T219" s="66">
        <f t="shared" si="266"/>
        <v>0</v>
      </c>
      <c r="U219" s="66">
        <f t="shared" si="267"/>
        <v>0</v>
      </c>
      <c r="V219" s="66">
        <f t="shared" si="268"/>
        <v>0</v>
      </c>
    </row>
    <row r="220" spans="1:22" s="7" customFormat="1">
      <c r="A220" s="127" t="s">
        <v>400</v>
      </c>
      <c r="B220" s="10" t="s">
        <v>572</v>
      </c>
      <c r="C220" s="63">
        <v>0.92900000000000005</v>
      </c>
      <c r="D220" s="63">
        <v>2.0699999999999998</v>
      </c>
      <c r="E220" s="63">
        <v>1.6950000000000001</v>
      </c>
      <c r="F220" s="63">
        <v>1.6439999999999999</v>
      </c>
      <c r="G220" s="63">
        <v>1.645</v>
      </c>
      <c r="H220" s="63">
        <v>2.3919999999999999</v>
      </c>
      <c r="I220" s="63">
        <v>2.3919999999999999</v>
      </c>
      <c r="J220" s="10">
        <v>100</v>
      </c>
      <c r="K220" s="11">
        <v>8</v>
      </c>
      <c r="L220" s="10" t="s">
        <v>184</v>
      </c>
      <c r="M220" s="10" t="s">
        <v>12</v>
      </c>
      <c r="N220" s="10" t="s">
        <v>43</v>
      </c>
      <c r="O220" s="70">
        <v>30</v>
      </c>
      <c r="P220" s="66">
        <f t="shared" si="269"/>
        <v>0.2787</v>
      </c>
      <c r="Q220" s="66">
        <f t="shared" si="263"/>
        <v>0.62099999999999989</v>
      </c>
      <c r="R220" s="66">
        <f t="shared" si="264"/>
        <v>0.50849999999999995</v>
      </c>
      <c r="S220" s="66">
        <f t="shared" si="265"/>
        <v>0.49319999999999997</v>
      </c>
      <c r="T220" s="66">
        <f t="shared" si="266"/>
        <v>0.49349999999999999</v>
      </c>
      <c r="U220" s="66">
        <f t="shared" si="267"/>
        <v>0.7175999999999999</v>
      </c>
      <c r="V220" s="66">
        <f t="shared" si="268"/>
        <v>0.7175999999999999</v>
      </c>
    </row>
    <row r="221" spans="1:22" s="7" customFormat="1">
      <c r="A221" s="127" t="s">
        <v>400</v>
      </c>
      <c r="B221" s="10" t="s">
        <v>573</v>
      </c>
      <c r="C221" s="63">
        <v>0.19800000000000001</v>
      </c>
      <c r="D221" s="63">
        <v>8.0000000000000002E-3</v>
      </c>
      <c r="E221" s="63">
        <v>8.0000000000000002E-3</v>
      </c>
      <c r="F221" s="63">
        <v>8.0000000000000002E-3</v>
      </c>
      <c r="G221" s="63">
        <v>8.0000000000000002E-3</v>
      </c>
      <c r="H221" s="63">
        <v>8.0000000000000002E-3</v>
      </c>
      <c r="I221" s="63">
        <v>8.0000000000000002E-3</v>
      </c>
      <c r="J221" s="10">
        <v>100</v>
      </c>
      <c r="K221" s="11">
        <v>8</v>
      </c>
      <c r="L221" s="10" t="s">
        <v>184</v>
      </c>
      <c r="M221" s="10" t="s">
        <v>12</v>
      </c>
      <c r="N221" s="10" t="s">
        <v>43</v>
      </c>
      <c r="O221" s="70">
        <v>30</v>
      </c>
      <c r="P221" s="66">
        <f t="shared" si="269"/>
        <v>5.9400000000000001E-2</v>
      </c>
      <c r="Q221" s="66">
        <f t="shared" si="263"/>
        <v>2.3999999999999998E-3</v>
      </c>
      <c r="R221" s="66">
        <f t="shared" si="264"/>
        <v>2.3999999999999998E-3</v>
      </c>
      <c r="S221" s="66">
        <f t="shared" si="265"/>
        <v>2.3999999999999998E-3</v>
      </c>
      <c r="T221" s="66">
        <f t="shared" si="266"/>
        <v>2.3999999999999998E-3</v>
      </c>
      <c r="U221" s="66">
        <f t="shared" si="267"/>
        <v>2.3999999999999998E-3</v>
      </c>
      <c r="V221" s="66">
        <f t="shared" si="268"/>
        <v>2.3999999999999998E-3</v>
      </c>
    </row>
    <row r="222" spans="1:22" s="7" customFormat="1">
      <c r="A222" s="127" t="s">
        <v>400</v>
      </c>
      <c r="B222" s="10" t="s">
        <v>401</v>
      </c>
      <c r="C222" s="63">
        <v>0</v>
      </c>
      <c r="D222" s="63">
        <v>5.0609999999999999</v>
      </c>
      <c r="E222" s="63">
        <v>4.7789999999999999</v>
      </c>
      <c r="F222" s="63">
        <v>4.3869999999999996</v>
      </c>
      <c r="G222" s="63">
        <v>4.2830000000000004</v>
      </c>
      <c r="H222" s="63">
        <v>4.25</v>
      </c>
      <c r="I222" s="63">
        <v>2.66</v>
      </c>
      <c r="J222" s="10">
        <v>100</v>
      </c>
      <c r="K222" s="11">
        <v>8</v>
      </c>
      <c r="L222" s="10" t="s">
        <v>184</v>
      </c>
      <c r="M222" s="10" t="s">
        <v>12</v>
      </c>
      <c r="N222" s="10" t="s">
        <v>43</v>
      </c>
      <c r="O222" s="70">
        <v>100</v>
      </c>
      <c r="P222" s="66">
        <f t="shared" si="269"/>
        <v>0</v>
      </c>
      <c r="Q222" s="66">
        <f t="shared" si="263"/>
        <v>5.0609999999999999</v>
      </c>
      <c r="R222" s="66">
        <f t="shared" si="264"/>
        <v>4.7789999999999999</v>
      </c>
      <c r="S222" s="66">
        <f t="shared" si="265"/>
        <v>4.3869999999999996</v>
      </c>
      <c r="T222" s="66">
        <f t="shared" si="266"/>
        <v>4.2830000000000004</v>
      </c>
      <c r="U222" s="66">
        <f t="shared" si="267"/>
        <v>4.25</v>
      </c>
      <c r="V222" s="66">
        <f t="shared" si="268"/>
        <v>2.66</v>
      </c>
    </row>
    <row r="223" spans="1:22" s="82" customFormat="1" ht="15">
      <c r="A223" s="82" t="s">
        <v>63</v>
      </c>
      <c r="B223" s="131" t="s">
        <v>37</v>
      </c>
      <c r="C223" s="132"/>
      <c r="D223" s="132"/>
      <c r="E223" s="132"/>
      <c r="F223" s="132"/>
      <c r="G223" s="132"/>
      <c r="H223" s="132"/>
      <c r="I223" s="132"/>
      <c r="L223" s="23"/>
      <c r="O223" s="133"/>
      <c r="P223" s="153">
        <f>+P224</f>
        <v>0</v>
      </c>
      <c r="Q223" s="153">
        <f t="shared" ref="Q223:V223" si="270">+Q224</f>
        <v>0</v>
      </c>
      <c r="R223" s="153">
        <f t="shared" si="270"/>
        <v>0</v>
      </c>
      <c r="S223" s="153">
        <f t="shared" si="270"/>
        <v>0</v>
      </c>
      <c r="T223" s="153">
        <f t="shared" si="270"/>
        <v>0</v>
      </c>
      <c r="U223" s="153">
        <f t="shared" si="270"/>
        <v>0</v>
      </c>
      <c r="V223" s="153">
        <f t="shared" si="270"/>
        <v>0</v>
      </c>
    </row>
    <row r="224" spans="1:22" s="7" customFormat="1">
      <c r="A224" s="126">
        <v>40</v>
      </c>
      <c r="B224" s="7" t="s">
        <v>38</v>
      </c>
      <c r="C224" s="106">
        <v>0</v>
      </c>
      <c r="D224" s="106">
        <v>0</v>
      </c>
      <c r="E224" s="106">
        <v>0</v>
      </c>
      <c r="F224" s="106">
        <v>0</v>
      </c>
      <c r="G224" s="106">
        <v>0</v>
      </c>
      <c r="H224" s="106">
        <v>0</v>
      </c>
      <c r="I224" s="106">
        <v>0</v>
      </c>
      <c r="J224" s="7">
        <v>0</v>
      </c>
      <c r="K224" s="7">
        <v>11</v>
      </c>
      <c r="L224" s="125" t="s">
        <v>61</v>
      </c>
      <c r="M224" s="7" t="s">
        <v>9</v>
      </c>
      <c r="N224" s="10" t="s">
        <v>42</v>
      </c>
      <c r="O224" s="70">
        <v>0</v>
      </c>
      <c r="P224" s="66">
        <f>+$O224/100*C224</f>
        <v>0</v>
      </c>
      <c r="Q224" s="66">
        <f>+$O224/100*D224</f>
        <v>0</v>
      </c>
      <c r="R224" s="66">
        <f>+$O224/100*E224</f>
        <v>0</v>
      </c>
      <c r="S224" s="66">
        <f>+$O224/100*F224</f>
        <v>0</v>
      </c>
      <c r="T224" s="66">
        <f>+$O224/100*G224</f>
        <v>0</v>
      </c>
      <c r="U224" s="66">
        <f t="shared" ref="U224" si="271">+$O224/100*H224</f>
        <v>0</v>
      </c>
      <c r="V224" s="66">
        <f t="shared" ref="V224" si="272">+$O224/100*I224</f>
        <v>0</v>
      </c>
    </row>
    <row r="225" spans="1:22" s="3" customFormat="1" ht="15">
      <c r="A225" s="82"/>
      <c r="B225" s="3" t="s">
        <v>608</v>
      </c>
      <c r="C225" s="12">
        <f t="shared" ref="C225:I225" si="273">SUM(C108:C224)</f>
        <v>810.26</v>
      </c>
      <c r="D225" s="12">
        <f t="shared" si="273"/>
        <v>899.06790000000012</v>
      </c>
      <c r="E225" s="12">
        <f t="shared" si="273"/>
        <v>851.53890000000024</v>
      </c>
      <c r="F225" s="12">
        <f t="shared" si="273"/>
        <v>845.80790000000002</v>
      </c>
      <c r="G225" s="12">
        <f t="shared" si="273"/>
        <v>846.9739000000003</v>
      </c>
      <c r="H225" s="12">
        <f t="shared" si="273"/>
        <v>835.42590000000052</v>
      </c>
      <c r="I225" s="12">
        <f t="shared" si="273"/>
        <v>817.6615000000005</v>
      </c>
      <c r="L225" s="1"/>
      <c r="O225" s="69"/>
      <c r="P225" s="6">
        <f t="shared" ref="P225:V225" si="274">SUM(P107,P113,P162,P178,P204)</f>
        <v>675.28507428571436</v>
      </c>
      <c r="Q225" s="6">
        <f t="shared" si="274"/>
        <v>758.84391333333349</v>
      </c>
      <c r="R225" s="6">
        <f t="shared" si="274"/>
        <v>720.02764999999999</v>
      </c>
      <c r="S225" s="6">
        <f t="shared" si="274"/>
        <v>718.32605000000001</v>
      </c>
      <c r="T225" s="6">
        <f t="shared" si="274"/>
        <v>721.73434999999972</v>
      </c>
      <c r="U225" s="6">
        <f t="shared" si="274"/>
        <v>711.08794999999998</v>
      </c>
      <c r="V225" s="6">
        <f t="shared" si="274"/>
        <v>694.99004999999988</v>
      </c>
    </row>
    <row r="226" spans="1:22" s="149" customFormat="1">
      <c r="C226" s="171"/>
      <c r="D226" s="171"/>
      <c r="E226" s="171"/>
      <c r="F226" s="171"/>
      <c r="G226" s="171"/>
      <c r="H226" s="171"/>
      <c r="I226" s="171"/>
      <c r="M226" s="4"/>
      <c r="O226" s="150"/>
      <c r="P226" s="151"/>
      <c r="Q226" s="151"/>
      <c r="R226" s="151"/>
      <c r="S226" s="151"/>
      <c r="T226" s="151"/>
      <c r="U226" s="151"/>
      <c r="V226" s="151"/>
    </row>
    <row r="227" spans="1:22" ht="15">
      <c r="A227" s="31"/>
      <c r="B227" s="28" t="s">
        <v>85</v>
      </c>
      <c r="C227" s="62"/>
      <c r="D227" s="62"/>
      <c r="E227" s="62"/>
      <c r="F227" s="62"/>
      <c r="G227" s="62"/>
      <c r="H227" s="62"/>
      <c r="I227" s="62"/>
      <c r="J227" s="28"/>
      <c r="K227" s="30"/>
      <c r="L227" s="101"/>
      <c r="M227" s="28"/>
      <c r="N227" s="28"/>
      <c r="O227" s="28"/>
    </row>
    <row r="228" spans="1:22">
      <c r="A228" s="7">
        <v>1</v>
      </c>
      <c r="B228" s="4" t="s">
        <v>364</v>
      </c>
      <c r="C228" s="61">
        <v>3.8159999999999998</v>
      </c>
      <c r="D228" s="61">
        <v>3.831</v>
      </c>
      <c r="E228" s="61">
        <v>3.831</v>
      </c>
      <c r="F228" s="61">
        <v>7.5309999999999997</v>
      </c>
      <c r="G228" s="61">
        <v>7.5309999999999997</v>
      </c>
      <c r="H228" s="61">
        <v>7.5309999999999997</v>
      </c>
      <c r="I228" s="61">
        <v>7.5309999999999997</v>
      </c>
      <c r="J228" s="172">
        <v>100</v>
      </c>
      <c r="K228" s="4">
        <v>7</v>
      </c>
      <c r="L228" s="103" t="s">
        <v>107</v>
      </c>
      <c r="M228" s="4" t="s">
        <v>475</v>
      </c>
      <c r="N228" s="4" t="s">
        <v>42</v>
      </c>
    </row>
    <row r="229" spans="1:22">
      <c r="A229" s="7">
        <v>1</v>
      </c>
      <c r="B229" s="4" t="s">
        <v>364</v>
      </c>
      <c r="C229" s="61">
        <v>1.4690000000000001</v>
      </c>
      <c r="D229" s="61">
        <v>2.1920000000000002</v>
      </c>
      <c r="E229" s="61">
        <v>1.78</v>
      </c>
      <c r="F229" s="61">
        <v>1.95</v>
      </c>
      <c r="G229" s="61">
        <v>2.2320000000000002</v>
      </c>
      <c r="H229" s="61">
        <v>2.2320000000000002</v>
      </c>
      <c r="I229" s="61">
        <v>2.2320000000000002</v>
      </c>
      <c r="J229" s="172">
        <v>100</v>
      </c>
      <c r="K229" s="4">
        <v>11</v>
      </c>
      <c r="L229" s="103" t="s">
        <v>61</v>
      </c>
      <c r="N229" s="4" t="s">
        <v>43</v>
      </c>
      <c r="O229" s="13">
        <v>0</v>
      </c>
    </row>
    <row r="230" spans="1:22">
      <c r="A230" s="7">
        <v>1</v>
      </c>
      <c r="B230" s="4" t="s">
        <v>364</v>
      </c>
      <c r="C230" s="61">
        <v>0.42499999999999999</v>
      </c>
      <c r="D230" s="61">
        <v>0.42499999999999999</v>
      </c>
      <c r="E230" s="61">
        <v>0.42499999999999999</v>
      </c>
      <c r="F230" s="61">
        <v>0.12</v>
      </c>
      <c r="G230" s="61">
        <v>0</v>
      </c>
      <c r="H230" s="61">
        <v>0</v>
      </c>
      <c r="I230" s="61">
        <v>0</v>
      </c>
      <c r="J230" s="172">
        <v>100</v>
      </c>
      <c r="K230" s="4">
        <v>11</v>
      </c>
      <c r="L230" s="103" t="s">
        <v>61</v>
      </c>
      <c r="M230" s="4" t="s">
        <v>476</v>
      </c>
      <c r="O230" s="13">
        <v>0</v>
      </c>
    </row>
    <row r="231" spans="1:22">
      <c r="A231" s="7">
        <v>13</v>
      </c>
      <c r="B231" s="4" t="s">
        <v>365</v>
      </c>
      <c r="C231" s="61">
        <v>0.29499999999999998</v>
      </c>
      <c r="D231" s="61">
        <v>0.91</v>
      </c>
      <c r="E231" s="61">
        <v>0.66</v>
      </c>
      <c r="F231" s="61">
        <v>0.66</v>
      </c>
      <c r="G231" s="61">
        <v>0.66</v>
      </c>
      <c r="H231" s="61">
        <v>0.66</v>
      </c>
      <c r="I231" s="61">
        <v>0.66</v>
      </c>
      <c r="J231" s="74">
        <v>100</v>
      </c>
      <c r="K231" s="4">
        <v>11</v>
      </c>
      <c r="L231" s="103" t="s">
        <v>61</v>
      </c>
      <c r="N231" s="4" t="s">
        <v>43</v>
      </c>
      <c r="O231" s="13">
        <v>0</v>
      </c>
    </row>
    <row r="232" spans="1:22">
      <c r="A232" s="7">
        <v>98</v>
      </c>
      <c r="B232" s="4" t="s">
        <v>124</v>
      </c>
      <c r="C232" s="61">
        <v>1.927</v>
      </c>
      <c r="D232" s="61">
        <v>4.0359999999999996</v>
      </c>
      <c r="E232" s="61">
        <v>1.8819999999999999</v>
      </c>
      <c r="F232" s="61">
        <v>1.8819999999999999</v>
      </c>
      <c r="G232" s="61">
        <v>1.8819999999999999</v>
      </c>
      <c r="H232" s="61">
        <v>1.8819999999999999</v>
      </c>
      <c r="I232" s="61">
        <v>1.8819999999999999</v>
      </c>
      <c r="J232" s="74">
        <v>100</v>
      </c>
      <c r="K232" s="4">
        <v>11</v>
      </c>
      <c r="L232" s="103" t="s">
        <v>61</v>
      </c>
      <c r="M232" s="4" t="s">
        <v>43</v>
      </c>
      <c r="N232" s="4" t="s">
        <v>43</v>
      </c>
      <c r="O232" s="13">
        <v>0</v>
      </c>
    </row>
    <row r="233" spans="1:22" s="3" customFormat="1" ht="15">
      <c r="A233" s="82"/>
      <c r="B233" s="3" t="s">
        <v>88</v>
      </c>
      <c r="C233" s="12">
        <f>SUM(C228:C232)</f>
        <v>7.9320000000000004</v>
      </c>
      <c r="D233" s="12">
        <f t="shared" ref="D233:I233" si="275">SUM(D228:D232)</f>
        <v>11.393999999999998</v>
      </c>
      <c r="E233" s="12">
        <f t="shared" si="275"/>
        <v>8.5779999999999994</v>
      </c>
      <c r="F233" s="12">
        <f t="shared" si="275"/>
        <v>12.142999999999999</v>
      </c>
      <c r="G233" s="12">
        <f t="shared" si="275"/>
        <v>12.305</v>
      </c>
      <c r="H233" s="12">
        <f t="shared" si="275"/>
        <v>12.305</v>
      </c>
      <c r="I233" s="12">
        <f t="shared" si="275"/>
        <v>12.305</v>
      </c>
      <c r="L233" s="1"/>
      <c r="O233" s="69"/>
      <c r="P233" s="6"/>
      <c r="Q233" s="6"/>
      <c r="R233" s="6"/>
      <c r="S233" s="6"/>
      <c r="T233" s="6"/>
      <c r="U233" s="6"/>
      <c r="V233" s="6"/>
    </row>
    <row r="234" spans="1:22">
      <c r="A234" s="7"/>
      <c r="C234" s="61"/>
      <c r="D234" s="61"/>
      <c r="E234" s="61"/>
      <c r="F234" s="61"/>
      <c r="G234" s="61"/>
      <c r="H234" s="61"/>
      <c r="I234" s="61"/>
      <c r="P234" s="5" t="s">
        <v>174</v>
      </c>
    </row>
    <row r="235" spans="1:22" ht="15">
      <c r="A235" s="32"/>
      <c r="B235" s="28" t="s">
        <v>86</v>
      </c>
      <c r="C235" s="64"/>
      <c r="D235" s="64"/>
      <c r="E235" s="64"/>
      <c r="F235" s="64"/>
      <c r="G235" s="64"/>
      <c r="H235" s="64"/>
      <c r="I235" s="64"/>
      <c r="J235" s="32"/>
      <c r="K235" s="32"/>
      <c r="L235" s="102"/>
      <c r="M235" s="32"/>
      <c r="N235" s="32"/>
      <c r="O235" s="32"/>
    </row>
    <row r="236" spans="1:22" s="7" customFormat="1">
      <c r="A236" s="125" t="s">
        <v>276</v>
      </c>
      <c r="B236" s="125" t="s">
        <v>253</v>
      </c>
      <c r="C236" s="128">
        <v>22</v>
      </c>
      <c r="D236" s="128">
        <v>22</v>
      </c>
      <c r="E236" s="128">
        <v>22</v>
      </c>
      <c r="F236" s="128">
        <v>22</v>
      </c>
      <c r="G236" s="128">
        <v>22</v>
      </c>
      <c r="H236" s="128">
        <v>22</v>
      </c>
      <c r="I236" s="128">
        <v>22</v>
      </c>
      <c r="J236" s="129">
        <v>3.3</v>
      </c>
      <c r="K236" s="134" t="s">
        <v>76</v>
      </c>
      <c r="L236" s="125" t="s">
        <v>112</v>
      </c>
      <c r="M236" s="125" t="s">
        <v>212</v>
      </c>
      <c r="N236" s="125" t="s">
        <v>42</v>
      </c>
      <c r="O236" s="70">
        <v>50</v>
      </c>
      <c r="P236" s="66">
        <f>+$O236/100*C236</f>
        <v>11</v>
      </c>
      <c r="Q236" s="66">
        <f>+$O236/100*D236</f>
        <v>11</v>
      </c>
      <c r="R236" s="66">
        <f>+$O236/100*E236</f>
        <v>11</v>
      </c>
      <c r="S236" s="66">
        <f>+$O236/100*F236</f>
        <v>11</v>
      </c>
      <c r="T236" s="66">
        <f>+$O236/100*G236</f>
        <v>11</v>
      </c>
      <c r="U236" s="66">
        <f t="shared" ref="U236" si="276">+$O236/100*H236</f>
        <v>11</v>
      </c>
      <c r="V236" s="66">
        <f t="shared" ref="V236" si="277">+$O236/100*I236</f>
        <v>11</v>
      </c>
    </row>
    <row r="237" spans="1:22" s="7" customFormat="1">
      <c r="A237" s="125" t="s">
        <v>189</v>
      </c>
      <c r="B237" s="125" t="s">
        <v>277</v>
      </c>
      <c r="C237" s="128">
        <v>0.79999999999999982</v>
      </c>
      <c r="D237" s="128">
        <v>-0.70000000000000018</v>
      </c>
      <c r="E237" s="128">
        <v>-3.5</v>
      </c>
      <c r="F237" s="128">
        <v>0</v>
      </c>
      <c r="G237" s="128">
        <v>0</v>
      </c>
      <c r="H237" s="128">
        <v>0</v>
      </c>
      <c r="I237" s="128">
        <v>0</v>
      </c>
      <c r="J237" s="129">
        <v>-1.4</v>
      </c>
      <c r="K237" s="134">
        <v>7</v>
      </c>
      <c r="L237" s="125" t="s">
        <v>107</v>
      </c>
      <c r="M237" s="125" t="s">
        <v>7</v>
      </c>
      <c r="N237" s="125" t="s">
        <v>43</v>
      </c>
      <c r="O237" s="70"/>
      <c r="P237" s="66"/>
      <c r="Q237" s="66"/>
      <c r="R237" s="66"/>
      <c r="S237" s="66"/>
      <c r="T237" s="66"/>
      <c r="U237" s="66"/>
      <c r="V237" s="66"/>
    </row>
    <row r="238" spans="1:22" s="7" customFormat="1">
      <c r="A238" s="125" t="s">
        <v>189</v>
      </c>
      <c r="B238" s="125" t="s">
        <v>466</v>
      </c>
      <c r="C238" s="128">
        <v>15.4</v>
      </c>
      <c r="D238" s="128">
        <v>15.4</v>
      </c>
      <c r="E238" s="128">
        <v>15.4</v>
      </c>
      <c r="F238" s="128">
        <v>15.4</v>
      </c>
      <c r="G238" s="128">
        <v>15.4</v>
      </c>
      <c r="H238" s="128">
        <v>15.4</v>
      </c>
      <c r="I238" s="128">
        <v>15.4</v>
      </c>
      <c r="J238" s="129">
        <v>6.2</v>
      </c>
      <c r="K238" s="134" t="s">
        <v>76</v>
      </c>
      <c r="L238" s="125" t="s">
        <v>112</v>
      </c>
      <c r="M238" s="125" t="s">
        <v>29</v>
      </c>
      <c r="N238" s="125" t="s">
        <v>42</v>
      </c>
      <c r="O238" s="70">
        <v>100</v>
      </c>
      <c r="P238" s="66">
        <f>+$O238/100*C238</f>
        <v>15.4</v>
      </c>
      <c r="Q238" s="66">
        <f>+$O238/100*D238</f>
        <v>15.4</v>
      </c>
      <c r="R238" s="66">
        <f>+$O238/100*E238</f>
        <v>15.4</v>
      </c>
      <c r="S238" s="66">
        <f>+$O238/100*F238</f>
        <v>15.4</v>
      </c>
      <c r="T238" s="66">
        <f>+$O238/100*G238</f>
        <v>15.4</v>
      </c>
      <c r="U238" s="66">
        <f t="shared" ref="U238" si="278">+$O238/100*H238</f>
        <v>15.4</v>
      </c>
      <c r="V238" s="66">
        <f t="shared" ref="V238" si="279">+$O238/100*I238</f>
        <v>15.4</v>
      </c>
    </row>
    <row r="239" spans="1:22" s="7" customFormat="1">
      <c r="A239" s="125" t="s">
        <v>199</v>
      </c>
      <c r="B239" s="125" t="s">
        <v>332</v>
      </c>
      <c r="C239" s="128">
        <v>2.395</v>
      </c>
      <c r="D239" s="128">
        <v>3.2170000000000001</v>
      </c>
      <c r="E239" s="128">
        <v>2.7160000000000002</v>
      </c>
      <c r="F239" s="128">
        <v>2.6320000000000001</v>
      </c>
      <c r="G239" s="128">
        <v>2.1339999999999999</v>
      </c>
      <c r="H239" s="128">
        <v>2.1339999999999999</v>
      </c>
      <c r="I239" s="128">
        <v>2.1339999999999999</v>
      </c>
      <c r="J239" s="129">
        <v>15.6</v>
      </c>
      <c r="K239" s="134">
        <v>7</v>
      </c>
      <c r="L239" s="125" t="s">
        <v>107</v>
      </c>
      <c r="M239" s="125" t="s">
        <v>43</v>
      </c>
      <c r="N239" s="125" t="s">
        <v>43</v>
      </c>
      <c r="O239" s="70"/>
      <c r="P239" s="66"/>
      <c r="Q239" s="66"/>
      <c r="R239" s="66"/>
      <c r="S239" s="66"/>
      <c r="T239" s="66"/>
      <c r="U239" s="66"/>
      <c r="V239" s="66"/>
    </row>
    <row r="240" spans="1:22" s="7" customFormat="1">
      <c r="A240" s="125" t="s">
        <v>196</v>
      </c>
      <c r="B240" s="125" t="s">
        <v>467</v>
      </c>
      <c r="C240" s="128">
        <v>0</v>
      </c>
      <c r="D240" s="128">
        <v>2</v>
      </c>
      <c r="E240" s="128">
        <v>2</v>
      </c>
      <c r="F240" s="128">
        <v>2</v>
      </c>
      <c r="G240" s="128">
        <v>2</v>
      </c>
      <c r="H240" s="128">
        <v>2</v>
      </c>
      <c r="I240" s="128">
        <v>2</v>
      </c>
      <c r="J240" s="129">
        <v>1</v>
      </c>
      <c r="K240" s="134">
        <v>7</v>
      </c>
      <c r="L240" s="125" t="s">
        <v>107</v>
      </c>
      <c r="M240" s="125" t="s">
        <v>7</v>
      </c>
      <c r="N240" s="125" t="s">
        <v>42</v>
      </c>
      <c r="O240" s="70">
        <v>100</v>
      </c>
      <c r="P240" s="66">
        <f>+$O240/100*C240</f>
        <v>0</v>
      </c>
      <c r="Q240" s="66">
        <f>+$O240/100*D240</f>
        <v>2</v>
      </c>
      <c r="R240" s="66">
        <f>+$O240/100*E240</f>
        <v>2</v>
      </c>
      <c r="S240" s="66">
        <f>+$O240/100*F240</f>
        <v>2</v>
      </c>
      <c r="T240" s="66">
        <f>+$O240/100*G240</f>
        <v>2</v>
      </c>
      <c r="U240" s="66">
        <f t="shared" ref="U240" si="280">+$O240/100*H240</f>
        <v>2</v>
      </c>
      <c r="V240" s="66">
        <f t="shared" ref="V240" si="281">+$O240/100*I240</f>
        <v>2</v>
      </c>
    </row>
    <row r="241" spans="1:22" s="7" customFormat="1">
      <c r="A241" s="125" t="s">
        <v>196</v>
      </c>
      <c r="B241" s="125" t="s">
        <v>197</v>
      </c>
      <c r="C241" s="128">
        <v>17.331</v>
      </c>
      <c r="D241" s="128">
        <v>17.347999999999999</v>
      </c>
      <c r="E241" s="128">
        <v>17.347999999999999</v>
      </c>
      <c r="F241" s="128">
        <v>17.347999999999999</v>
      </c>
      <c r="G241" s="128">
        <v>17.347999999999999</v>
      </c>
      <c r="H241" s="128">
        <v>17.347999999999999</v>
      </c>
      <c r="I241" s="128">
        <v>17.347999999999999</v>
      </c>
      <c r="J241" s="129">
        <v>8.9</v>
      </c>
      <c r="K241" s="134">
        <v>7</v>
      </c>
      <c r="L241" s="125" t="s">
        <v>107</v>
      </c>
      <c r="M241" s="125" t="s">
        <v>198</v>
      </c>
      <c r="N241" s="125" t="s">
        <v>42</v>
      </c>
      <c r="O241" s="70"/>
      <c r="P241" s="66"/>
      <c r="Q241" s="66"/>
      <c r="R241" s="66"/>
      <c r="S241" s="66"/>
      <c r="T241" s="66"/>
      <c r="U241" s="66"/>
      <c r="V241" s="66"/>
    </row>
    <row r="242" spans="1:22" s="7" customFormat="1">
      <c r="A242" s="125" t="s">
        <v>196</v>
      </c>
      <c r="B242" s="125" t="s">
        <v>278</v>
      </c>
      <c r="C242" s="128">
        <v>3.5470000000000002</v>
      </c>
      <c r="D242" s="128">
        <v>0</v>
      </c>
      <c r="E242" s="128">
        <v>0</v>
      </c>
      <c r="F242" s="128">
        <v>0</v>
      </c>
      <c r="G242" s="128">
        <v>0</v>
      </c>
      <c r="H242" s="128">
        <v>0</v>
      </c>
      <c r="I242" s="128">
        <v>0</v>
      </c>
      <c r="J242" s="129">
        <v>0</v>
      </c>
      <c r="K242" s="134">
        <v>7</v>
      </c>
      <c r="L242" s="125" t="s">
        <v>107</v>
      </c>
      <c r="M242" s="125" t="s">
        <v>7</v>
      </c>
      <c r="N242" s="125" t="s">
        <v>43</v>
      </c>
      <c r="O242" s="70">
        <v>100</v>
      </c>
      <c r="P242" s="66">
        <f>+$O242/100*C242</f>
        <v>3.5470000000000002</v>
      </c>
      <c r="Q242" s="66">
        <f>+$O242/100*D242</f>
        <v>0</v>
      </c>
      <c r="R242" s="66">
        <f>+$O242/100*E242</f>
        <v>0</v>
      </c>
      <c r="S242" s="66">
        <f>+$O242/100*F242</f>
        <v>0</v>
      </c>
      <c r="T242" s="66">
        <f>+$O242/100*G242</f>
        <v>0</v>
      </c>
      <c r="U242" s="66">
        <f t="shared" ref="U242" si="282">+$O242/100*H242</f>
        <v>0</v>
      </c>
      <c r="V242" s="66">
        <f t="shared" ref="V242" si="283">+$O242/100*I242</f>
        <v>0</v>
      </c>
    </row>
    <row r="243" spans="1:22" s="7" customFormat="1">
      <c r="A243" s="125" t="s">
        <v>196</v>
      </c>
      <c r="B243" s="125" t="s">
        <v>279</v>
      </c>
      <c r="C243" s="128">
        <v>7.742</v>
      </c>
      <c r="D243" s="128">
        <v>1.085</v>
      </c>
      <c r="E243" s="128">
        <v>0</v>
      </c>
      <c r="F243" s="128">
        <v>0</v>
      </c>
      <c r="G243" s="128">
        <v>0</v>
      </c>
      <c r="H243" s="128">
        <v>0</v>
      </c>
      <c r="I243" s="128">
        <v>0</v>
      </c>
      <c r="J243" s="129">
        <v>0</v>
      </c>
      <c r="K243" s="134">
        <v>7</v>
      </c>
      <c r="L243" s="125" t="s">
        <v>107</v>
      </c>
      <c r="M243" s="125" t="s">
        <v>7</v>
      </c>
      <c r="N243" s="125" t="s">
        <v>43</v>
      </c>
      <c r="O243" s="70"/>
      <c r="P243" s="66"/>
      <c r="Q243" s="66"/>
      <c r="R243" s="66"/>
      <c r="S243" s="66"/>
      <c r="T243" s="66"/>
      <c r="U243" s="66"/>
      <c r="V243" s="66"/>
    </row>
    <row r="244" spans="1:22" s="7" customFormat="1">
      <c r="A244" s="125" t="s">
        <v>196</v>
      </c>
      <c r="B244" s="125" t="s">
        <v>280</v>
      </c>
      <c r="C244" s="128">
        <v>5.1130000000000004</v>
      </c>
      <c r="D244" s="128">
        <v>5.4320000000000004</v>
      </c>
      <c r="E244" s="128">
        <v>5.5</v>
      </c>
      <c r="F244" s="128">
        <v>5.5</v>
      </c>
      <c r="G244" s="128">
        <v>5.5</v>
      </c>
      <c r="H244" s="128">
        <v>5.5</v>
      </c>
      <c r="I244" s="128">
        <v>5.5</v>
      </c>
      <c r="J244" s="129">
        <v>17.8</v>
      </c>
      <c r="K244" s="134">
        <v>7</v>
      </c>
      <c r="L244" s="125" t="s">
        <v>107</v>
      </c>
      <c r="M244" s="125" t="s">
        <v>7</v>
      </c>
      <c r="N244" s="125" t="s">
        <v>42</v>
      </c>
      <c r="O244" s="70">
        <v>100</v>
      </c>
      <c r="P244" s="66">
        <f>+$O244/100*C244</f>
        <v>5.1130000000000004</v>
      </c>
      <c r="Q244" s="66">
        <f>+$O244/100*D244</f>
        <v>5.4320000000000004</v>
      </c>
      <c r="R244" s="66">
        <f>+$O244/100*E244</f>
        <v>5.5</v>
      </c>
      <c r="S244" s="66">
        <f>+$O244/100*F244</f>
        <v>5.5</v>
      </c>
      <c r="T244" s="66">
        <f>+$O244/100*G244</f>
        <v>5.5</v>
      </c>
      <c r="U244" s="66">
        <f t="shared" ref="U244" si="284">+$O244/100*H244</f>
        <v>5.5</v>
      </c>
      <c r="V244" s="66">
        <f t="shared" ref="V244" si="285">+$O244/100*I244</f>
        <v>5.5</v>
      </c>
    </row>
    <row r="245" spans="1:22" s="7" customFormat="1">
      <c r="A245" s="125" t="s">
        <v>333</v>
      </c>
      <c r="B245" s="125" t="s">
        <v>368</v>
      </c>
      <c r="C245" s="128">
        <v>5.5979999999999999</v>
      </c>
      <c r="D245" s="128">
        <v>3.621</v>
      </c>
      <c r="E245" s="128">
        <v>2.1509999999999998</v>
      </c>
      <c r="F245" s="128">
        <v>0</v>
      </c>
      <c r="G245" s="128">
        <v>0</v>
      </c>
      <c r="H245" s="128">
        <v>0</v>
      </c>
      <c r="I245" s="128">
        <v>0</v>
      </c>
      <c r="J245" s="129">
        <v>1.9</v>
      </c>
      <c r="K245" s="134">
        <v>7</v>
      </c>
      <c r="L245" s="125" t="s">
        <v>107</v>
      </c>
      <c r="M245" s="125" t="s">
        <v>7</v>
      </c>
      <c r="N245" s="125" t="s">
        <v>43</v>
      </c>
      <c r="O245" s="70"/>
      <c r="P245" s="66"/>
      <c r="Q245" s="66"/>
      <c r="R245" s="66"/>
      <c r="S245" s="66"/>
      <c r="T245" s="66"/>
      <c r="U245" s="66"/>
      <c r="V245" s="66"/>
    </row>
    <row r="246" spans="1:22" s="7" customFormat="1">
      <c r="A246" s="125" t="s">
        <v>187</v>
      </c>
      <c r="B246" s="125" t="s">
        <v>195</v>
      </c>
      <c r="C246" s="128">
        <v>104.712</v>
      </c>
      <c r="D246" s="128">
        <v>126.149</v>
      </c>
      <c r="E246" s="128">
        <v>132.97999999999999</v>
      </c>
      <c r="F246" s="128">
        <v>127.352</v>
      </c>
      <c r="G246" s="128">
        <v>120.199</v>
      </c>
      <c r="H246" s="128">
        <v>104.509</v>
      </c>
      <c r="I246" s="128">
        <v>93.888999999999996</v>
      </c>
      <c r="J246" s="129">
        <v>89.8</v>
      </c>
      <c r="K246" s="134">
        <v>7</v>
      </c>
      <c r="L246" s="125" t="s">
        <v>107</v>
      </c>
      <c r="M246" s="125" t="s">
        <v>188</v>
      </c>
      <c r="N246" s="125" t="s">
        <v>43</v>
      </c>
      <c r="O246" s="70"/>
      <c r="P246" s="66"/>
      <c r="Q246" s="66"/>
      <c r="R246" s="66"/>
      <c r="S246" s="66"/>
      <c r="T246" s="66"/>
      <c r="U246" s="66"/>
      <c r="V246" s="66"/>
    </row>
    <row r="247" spans="1:22" s="7" customFormat="1">
      <c r="A247" s="125" t="s">
        <v>187</v>
      </c>
      <c r="B247" s="125" t="s">
        <v>195</v>
      </c>
      <c r="C247" s="128">
        <v>5.71</v>
      </c>
      <c r="D247" s="128">
        <v>5.6820000000000004</v>
      </c>
      <c r="E247" s="128">
        <v>5.1219999999999999</v>
      </c>
      <c r="F247" s="128">
        <v>4.9930000000000003</v>
      </c>
      <c r="G247" s="128">
        <v>4.9930000000000003</v>
      </c>
      <c r="H247" s="128">
        <v>4.9930000000000003</v>
      </c>
      <c r="I247" s="128">
        <v>4.9930000000000003</v>
      </c>
      <c r="J247" s="129">
        <v>16.600000000000001</v>
      </c>
      <c r="K247" s="134">
        <v>7</v>
      </c>
      <c r="L247" s="125" t="s">
        <v>107</v>
      </c>
      <c r="M247" s="125" t="s">
        <v>113</v>
      </c>
      <c r="N247" s="125" t="s">
        <v>42</v>
      </c>
      <c r="O247" s="70"/>
      <c r="P247" s="66"/>
      <c r="Q247" s="66"/>
      <c r="R247" s="66"/>
      <c r="S247" s="66"/>
      <c r="T247" s="66"/>
      <c r="U247" s="66"/>
      <c r="V247" s="66"/>
    </row>
    <row r="248" spans="1:22" s="7" customFormat="1">
      <c r="A248" s="125" t="s">
        <v>187</v>
      </c>
      <c r="B248" s="125" t="s">
        <v>281</v>
      </c>
      <c r="C248" s="128">
        <v>14.385999999999999</v>
      </c>
      <c r="D248" s="128">
        <v>13.919</v>
      </c>
      <c r="E248" s="128">
        <v>15.067</v>
      </c>
      <c r="F248" s="128">
        <v>13.932</v>
      </c>
      <c r="G248" s="128">
        <v>14.199</v>
      </c>
      <c r="H248" s="128">
        <v>15.617000000000001</v>
      </c>
      <c r="I248" s="128">
        <v>15.44</v>
      </c>
      <c r="J248" s="129">
        <v>10.199999999999999</v>
      </c>
      <c r="K248" s="134">
        <v>7</v>
      </c>
      <c r="L248" s="125" t="s">
        <v>107</v>
      </c>
      <c r="M248" s="125" t="s">
        <v>188</v>
      </c>
      <c r="N248" s="125" t="s">
        <v>43</v>
      </c>
      <c r="O248" s="70">
        <v>50</v>
      </c>
      <c r="P248" s="66">
        <f>+$O248/100*C248</f>
        <v>7.1929999999999996</v>
      </c>
      <c r="Q248" s="66">
        <f>+$O248/100*D248</f>
        <v>6.9595000000000002</v>
      </c>
      <c r="R248" s="66">
        <f>+$O248/100*E248</f>
        <v>7.5335000000000001</v>
      </c>
      <c r="S248" s="66">
        <f>+$O248/100*F248</f>
        <v>6.9660000000000002</v>
      </c>
      <c r="T248" s="66">
        <f>+$O248/100*G248</f>
        <v>7.0994999999999999</v>
      </c>
      <c r="U248" s="66">
        <f t="shared" ref="U248" si="286">+$O248/100*H248</f>
        <v>7.8085000000000004</v>
      </c>
      <c r="V248" s="66">
        <f t="shared" ref="V248" si="287">+$O248/100*I248</f>
        <v>7.72</v>
      </c>
    </row>
    <row r="249" spans="1:22" s="7" customFormat="1">
      <c r="A249" s="125" t="s">
        <v>193</v>
      </c>
      <c r="B249" s="125" t="s">
        <v>194</v>
      </c>
      <c r="C249" s="128">
        <v>0</v>
      </c>
      <c r="D249" s="128">
        <v>0</v>
      </c>
      <c r="E249" s="128">
        <v>0</v>
      </c>
      <c r="F249" s="128">
        <v>0</v>
      </c>
      <c r="G249" s="128">
        <v>0</v>
      </c>
      <c r="H249" s="128">
        <v>0</v>
      </c>
      <c r="I249" s="128">
        <v>0</v>
      </c>
      <c r="J249" s="129">
        <v>0</v>
      </c>
      <c r="K249" s="134">
        <v>7</v>
      </c>
      <c r="L249" s="125" t="s">
        <v>107</v>
      </c>
      <c r="M249" s="125" t="s">
        <v>43</v>
      </c>
      <c r="N249" s="125" t="s">
        <v>43</v>
      </c>
      <c r="O249" s="70"/>
      <c r="P249" s="66"/>
      <c r="Q249" s="66"/>
      <c r="R249" s="66"/>
      <c r="S249" s="66"/>
      <c r="T249" s="66"/>
      <c r="U249" s="66"/>
      <c r="V249" s="66"/>
    </row>
    <row r="250" spans="1:22" s="7" customFormat="1">
      <c r="A250" s="125" t="s">
        <v>193</v>
      </c>
      <c r="B250" s="125" t="s">
        <v>194</v>
      </c>
      <c r="C250" s="128">
        <v>0.53600000000000003</v>
      </c>
      <c r="D250" s="128">
        <v>0</v>
      </c>
      <c r="E250" s="128">
        <v>0</v>
      </c>
      <c r="F250" s="128">
        <v>0</v>
      </c>
      <c r="G250" s="128">
        <v>0</v>
      </c>
      <c r="H250" s="128">
        <v>0</v>
      </c>
      <c r="I250" s="128">
        <v>0</v>
      </c>
      <c r="J250" s="129">
        <v>0</v>
      </c>
      <c r="K250" s="134">
        <v>7</v>
      </c>
      <c r="L250" s="125" t="s">
        <v>107</v>
      </c>
      <c r="M250" s="125" t="s">
        <v>22</v>
      </c>
      <c r="N250" s="125" t="s">
        <v>43</v>
      </c>
      <c r="O250" s="70"/>
      <c r="P250" s="66"/>
      <c r="Q250" s="66"/>
      <c r="R250" s="66"/>
      <c r="S250" s="66"/>
      <c r="T250" s="66"/>
      <c r="U250" s="66"/>
      <c r="V250" s="66"/>
    </row>
    <row r="251" spans="1:22" s="7" customFormat="1">
      <c r="A251" s="125" t="s">
        <v>251</v>
      </c>
      <c r="B251" s="125" t="s">
        <v>256</v>
      </c>
      <c r="C251" s="128">
        <v>11.9</v>
      </c>
      <c r="D251" s="128">
        <v>10.9</v>
      </c>
      <c r="E251" s="128">
        <v>10.9</v>
      </c>
      <c r="F251" s="128">
        <v>10.9</v>
      </c>
      <c r="G251" s="128">
        <v>10.9</v>
      </c>
      <c r="H251" s="128">
        <v>10.9</v>
      </c>
      <c r="I251" s="128">
        <v>10.9</v>
      </c>
      <c r="J251" s="129">
        <v>59</v>
      </c>
      <c r="K251" s="134" t="s">
        <v>76</v>
      </c>
      <c r="L251" s="125" t="s">
        <v>112</v>
      </c>
      <c r="M251" s="125" t="s">
        <v>29</v>
      </c>
      <c r="N251" s="125" t="s">
        <v>42</v>
      </c>
      <c r="O251" s="70"/>
      <c r="P251" s="66"/>
      <c r="Q251" s="66"/>
      <c r="R251" s="66"/>
      <c r="S251" s="66"/>
      <c r="T251" s="66"/>
      <c r="U251" s="66"/>
      <c r="V251" s="66"/>
    </row>
    <row r="252" spans="1:22" s="7" customFormat="1">
      <c r="A252" s="125" t="s">
        <v>369</v>
      </c>
      <c r="B252" s="125" t="s">
        <v>191</v>
      </c>
      <c r="C252" s="128">
        <v>5.6280000000000001</v>
      </c>
      <c r="D252" s="128">
        <v>5.5579999999999998</v>
      </c>
      <c r="E252" s="128">
        <v>5.7140000000000004</v>
      </c>
      <c r="F252" s="128">
        <v>5.8280000000000003</v>
      </c>
      <c r="G252" s="128">
        <v>5.9450000000000003</v>
      </c>
      <c r="H252" s="128">
        <v>6.0640000000000001</v>
      </c>
      <c r="I252" s="128">
        <v>6.1849999999999996</v>
      </c>
      <c r="J252" s="129">
        <v>25.2</v>
      </c>
      <c r="K252" s="134">
        <v>11</v>
      </c>
      <c r="L252" s="125" t="s">
        <v>61</v>
      </c>
      <c r="M252" s="125" t="s">
        <v>192</v>
      </c>
      <c r="N252" s="125" t="s">
        <v>42</v>
      </c>
      <c r="O252" s="70"/>
      <c r="P252" s="66"/>
      <c r="Q252" s="66"/>
      <c r="R252" s="66"/>
      <c r="S252" s="66"/>
      <c r="T252" s="66"/>
      <c r="U252" s="66"/>
      <c r="V252" s="66"/>
    </row>
    <row r="253" spans="1:22" s="7" customFormat="1">
      <c r="A253" s="125" t="s">
        <v>369</v>
      </c>
      <c r="B253" s="125" t="s">
        <v>190</v>
      </c>
      <c r="C253" s="128">
        <v>3.6619999999999999</v>
      </c>
      <c r="D253" s="128">
        <v>3.8809999999999998</v>
      </c>
      <c r="E253" s="128">
        <v>1.843</v>
      </c>
      <c r="F253" s="128">
        <v>0.92500000000000004</v>
      </c>
      <c r="G253" s="128">
        <v>0.92500000000000004</v>
      </c>
      <c r="H253" s="128">
        <v>0.92500000000000004</v>
      </c>
      <c r="I253" s="128">
        <v>0.92500000000000004</v>
      </c>
      <c r="J253" s="129">
        <v>8.1</v>
      </c>
      <c r="K253" s="134">
        <v>11</v>
      </c>
      <c r="L253" s="125" t="s">
        <v>61</v>
      </c>
      <c r="M253" s="125" t="s">
        <v>7</v>
      </c>
      <c r="N253" s="125" t="s">
        <v>43</v>
      </c>
      <c r="O253" s="70"/>
      <c r="P253" s="66"/>
      <c r="Q253" s="66"/>
      <c r="R253" s="66"/>
      <c r="S253" s="66"/>
      <c r="T253" s="66"/>
      <c r="U253" s="66"/>
      <c r="V253" s="66"/>
    </row>
    <row r="254" spans="1:22" s="7" customFormat="1">
      <c r="A254" s="125" t="s">
        <v>369</v>
      </c>
      <c r="B254" s="125" t="s">
        <v>190</v>
      </c>
      <c r="C254" s="128">
        <v>4.1000000000000002E-2</v>
      </c>
      <c r="D254" s="128">
        <v>4.2999999999999997E-2</v>
      </c>
      <c r="E254" s="128">
        <v>2.1000000000000001E-2</v>
      </c>
      <c r="F254" s="128">
        <v>5.0999999999999997E-2</v>
      </c>
      <c r="G254" s="128">
        <v>5.0999999999999997E-2</v>
      </c>
      <c r="H254" s="128">
        <v>5.0999999999999997E-2</v>
      </c>
      <c r="I254" s="128">
        <v>5.0999999999999997E-2</v>
      </c>
      <c r="J254" s="129">
        <v>0.1</v>
      </c>
      <c r="K254" s="134">
        <v>11</v>
      </c>
      <c r="L254" s="125" t="s">
        <v>61</v>
      </c>
      <c r="M254" s="125" t="s">
        <v>12</v>
      </c>
      <c r="N254" s="125" t="s">
        <v>43</v>
      </c>
      <c r="O254" s="70"/>
      <c r="P254" s="66"/>
      <c r="Q254" s="66"/>
      <c r="R254" s="66"/>
      <c r="S254" s="66"/>
      <c r="T254" s="66"/>
      <c r="U254" s="66"/>
      <c r="V254" s="66"/>
    </row>
    <row r="255" spans="1:22" s="7" customFormat="1">
      <c r="A255" s="125" t="s">
        <v>369</v>
      </c>
      <c r="B255" s="125" t="s">
        <v>190</v>
      </c>
      <c r="C255" s="128">
        <v>3.9E-2</v>
      </c>
      <c r="D255" s="128">
        <v>4.2999999999999997E-2</v>
      </c>
      <c r="E255" s="128">
        <v>2.1000000000000001E-2</v>
      </c>
      <c r="F255" s="128">
        <v>2.4E-2</v>
      </c>
      <c r="G255" s="128">
        <v>2.4E-2</v>
      </c>
      <c r="H255" s="128">
        <v>2.4E-2</v>
      </c>
      <c r="I255" s="128">
        <v>2.4E-2</v>
      </c>
      <c r="J255" s="129">
        <v>0.1</v>
      </c>
      <c r="K255" s="134">
        <v>11</v>
      </c>
      <c r="L255" s="125" t="s">
        <v>61</v>
      </c>
      <c r="M255" s="125" t="s">
        <v>73</v>
      </c>
      <c r="N255" s="125" t="s">
        <v>43</v>
      </c>
      <c r="O255" s="70"/>
      <c r="P255" s="66"/>
      <c r="Q255" s="66"/>
      <c r="R255" s="66"/>
      <c r="S255" s="66"/>
      <c r="T255" s="66"/>
      <c r="U255" s="66"/>
      <c r="V255" s="66"/>
    </row>
    <row r="256" spans="1:22" s="82" customFormat="1" ht="15">
      <c r="B256" s="82" t="s">
        <v>89</v>
      </c>
      <c r="C256" s="131">
        <f>SUM(C236:C255)</f>
        <v>226.54</v>
      </c>
      <c r="D256" s="131">
        <f t="shared" ref="D256:I256" si="288">SUM(D236:D255)</f>
        <v>235.578</v>
      </c>
      <c r="E256" s="131">
        <f t="shared" si="288"/>
        <v>235.28299999999996</v>
      </c>
      <c r="F256" s="131">
        <f t="shared" si="288"/>
        <v>228.88499999999999</v>
      </c>
      <c r="G256" s="131">
        <f t="shared" si="288"/>
        <v>221.61800000000002</v>
      </c>
      <c r="H256" s="131">
        <f t="shared" si="288"/>
        <v>207.465</v>
      </c>
      <c r="I256" s="131">
        <f t="shared" si="288"/>
        <v>196.78900000000002</v>
      </c>
      <c r="L256" s="23"/>
      <c r="O256" s="133"/>
      <c r="P256" s="132">
        <f t="shared" ref="P256:V256" si="289">SUM(P236:P255)</f>
        <v>42.253</v>
      </c>
      <c r="Q256" s="132">
        <f t="shared" si="289"/>
        <v>40.791499999999999</v>
      </c>
      <c r="R256" s="132">
        <f t="shared" si="289"/>
        <v>41.433499999999995</v>
      </c>
      <c r="S256" s="132">
        <f t="shared" si="289"/>
        <v>40.866</v>
      </c>
      <c r="T256" s="132">
        <f t="shared" si="289"/>
        <v>40.999499999999998</v>
      </c>
      <c r="U256" s="132">
        <f t="shared" si="289"/>
        <v>41.708500000000001</v>
      </c>
      <c r="V256" s="132">
        <f t="shared" si="289"/>
        <v>41.62</v>
      </c>
    </row>
    <row r="257" spans="1:22">
      <c r="A257" s="7"/>
      <c r="C257" s="61"/>
      <c r="D257" s="61"/>
      <c r="E257" s="61"/>
      <c r="F257" s="61"/>
      <c r="G257" s="61"/>
      <c r="H257" s="61"/>
      <c r="I257" s="61"/>
    </row>
    <row r="258" spans="1:22" s="1" customFormat="1" ht="15.75">
      <c r="A258" s="33"/>
      <c r="B258" s="34" t="s">
        <v>87</v>
      </c>
      <c r="C258" s="35">
        <f t="shared" ref="C258:I258" si="290">SUM(C8,C16,C23,C29,C63,C71,C104,C225,C233,C256)</f>
        <v>4926.0443425581889</v>
      </c>
      <c r="D258" s="35">
        <f t="shared" si="290"/>
        <v>5107.3676633122304</v>
      </c>
      <c r="E258" s="35">
        <f t="shared" si="290"/>
        <v>5066.278324040657</v>
      </c>
      <c r="F258" s="35">
        <f t="shared" si="290"/>
        <v>5048.3886432995232</v>
      </c>
      <c r="G258" s="35">
        <f t="shared" si="290"/>
        <v>5019.859451952012</v>
      </c>
      <c r="H258" s="35">
        <f t="shared" si="290"/>
        <v>5060.3068062153234</v>
      </c>
      <c r="I258" s="35">
        <f t="shared" si="290"/>
        <v>5052.0948756394573</v>
      </c>
      <c r="J258" s="14"/>
      <c r="K258" s="14"/>
      <c r="L258" s="14"/>
      <c r="M258" s="14"/>
      <c r="N258" s="14"/>
      <c r="O258" s="14"/>
      <c r="P258" s="59">
        <f t="shared" ref="P258:V258" si="291">+P8+P16+P23+P29+P63+P71+P104+P225+P233+P256</f>
        <v>1079.0355862857143</v>
      </c>
      <c r="Q258" s="59">
        <f t="shared" si="291"/>
        <v>1160.9673266133334</v>
      </c>
      <c r="R258" s="59">
        <f t="shared" si="291"/>
        <v>1121.07299704</v>
      </c>
      <c r="S258" s="59">
        <f t="shared" si="291"/>
        <v>1119.9989863200001</v>
      </c>
      <c r="T258" s="59">
        <f t="shared" si="291"/>
        <v>1123.5234735199997</v>
      </c>
      <c r="U258" s="59">
        <f t="shared" si="291"/>
        <v>1113.8173715999999</v>
      </c>
      <c r="V258" s="59">
        <f t="shared" si="291"/>
        <v>1097.6307715999997</v>
      </c>
    </row>
    <row r="259" spans="1:22">
      <c r="C259" s="187"/>
      <c r="D259" s="187"/>
      <c r="E259" s="187"/>
      <c r="F259" s="187"/>
      <c r="G259" s="187"/>
      <c r="H259" s="187"/>
      <c r="I259" s="220"/>
    </row>
    <row r="260" spans="1:22" ht="15">
      <c r="B260" s="3" t="s">
        <v>167</v>
      </c>
      <c r="O260" s="114" t="s">
        <v>307</v>
      </c>
    </row>
    <row r="261" spans="1:22">
      <c r="B261" s="23"/>
      <c r="C261" s="1">
        <f t="shared" ref="C261:I261" si="292">C4</f>
        <v>2016</v>
      </c>
      <c r="D261" s="1">
        <f t="shared" si="292"/>
        <v>2017</v>
      </c>
      <c r="E261" s="1">
        <f t="shared" si="292"/>
        <v>2018</v>
      </c>
      <c r="F261" s="1">
        <f t="shared" si="292"/>
        <v>2019</v>
      </c>
      <c r="G261" s="1">
        <f t="shared" si="292"/>
        <v>2020</v>
      </c>
      <c r="H261" s="1">
        <f t="shared" si="292"/>
        <v>2021</v>
      </c>
      <c r="I261" s="1">
        <f t="shared" si="292"/>
        <v>2022</v>
      </c>
      <c r="K261" s="1" t="s">
        <v>632</v>
      </c>
      <c r="L261" s="68" t="s">
        <v>252</v>
      </c>
      <c r="P261" s="1">
        <f>C261</f>
        <v>2016</v>
      </c>
      <c r="Q261" s="1">
        <f t="shared" ref="Q261:V261" si="293">D261</f>
        <v>2017</v>
      </c>
      <c r="R261" s="1">
        <f t="shared" si="293"/>
        <v>2018</v>
      </c>
      <c r="S261" s="1">
        <f t="shared" si="293"/>
        <v>2019</v>
      </c>
      <c r="T261" s="1">
        <f t="shared" si="293"/>
        <v>2020</v>
      </c>
      <c r="U261" s="1">
        <f t="shared" si="293"/>
        <v>2021</v>
      </c>
      <c r="V261" s="1">
        <f t="shared" si="293"/>
        <v>2022</v>
      </c>
    </row>
    <row r="262" spans="1:22">
      <c r="B262" s="7" t="s">
        <v>159</v>
      </c>
      <c r="C262" s="106">
        <f t="shared" ref="C262:I262" si="294">C8</f>
        <v>0.52</v>
      </c>
      <c r="D262" s="106">
        <f t="shared" si="294"/>
        <v>0.59399999999999997</v>
      </c>
      <c r="E262" s="106">
        <f t="shared" si="294"/>
        <v>0.59399999999999997</v>
      </c>
      <c r="F262" s="106">
        <f t="shared" si="294"/>
        <v>0.59399999999999997</v>
      </c>
      <c r="G262" s="106">
        <f t="shared" si="294"/>
        <v>0.59399999999999997</v>
      </c>
      <c r="H262" s="106">
        <f t="shared" si="294"/>
        <v>0.59399999999999997</v>
      </c>
      <c r="I262" s="106">
        <f t="shared" si="294"/>
        <v>0.59399999999999997</v>
      </c>
      <c r="K262" s="73">
        <f t="shared" ref="K262:K272" si="295">+I262-C262</f>
        <v>7.3999999999999955E-2</v>
      </c>
      <c r="L262" s="74">
        <f t="shared" ref="L262:L272" si="296">+(I262-C262)/C262*100</f>
        <v>14.230769230769221</v>
      </c>
      <c r="O262" s="13" t="s">
        <v>175</v>
      </c>
      <c r="P262" s="42">
        <f t="shared" ref="P262:V262" si="297">+P8</f>
        <v>0</v>
      </c>
      <c r="Q262" s="42">
        <f t="shared" si="297"/>
        <v>0</v>
      </c>
      <c r="R262" s="42">
        <f t="shared" si="297"/>
        <v>0</v>
      </c>
      <c r="S262" s="42">
        <f t="shared" si="297"/>
        <v>0</v>
      </c>
      <c r="T262" s="42">
        <f t="shared" si="297"/>
        <v>0</v>
      </c>
      <c r="U262" s="42">
        <f t="shared" si="297"/>
        <v>0</v>
      </c>
      <c r="V262" s="42">
        <f t="shared" si="297"/>
        <v>0</v>
      </c>
    </row>
    <row r="263" spans="1:22">
      <c r="B263" s="7" t="s">
        <v>160</v>
      </c>
      <c r="C263" s="106">
        <f t="shared" ref="C263:I263" si="298">C16</f>
        <v>36.960999999999999</v>
      </c>
      <c r="D263" s="106">
        <f t="shared" si="298"/>
        <v>39.951000000000001</v>
      </c>
      <c r="E263" s="106">
        <f t="shared" si="298"/>
        <v>39.951000000000001</v>
      </c>
      <c r="F263" s="106">
        <f t="shared" si="298"/>
        <v>39.951000000000001</v>
      </c>
      <c r="G263" s="106">
        <f t="shared" si="298"/>
        <v>39.951000000000001</v>
      </c>
      <c r="H263" s="106">
        <f t="shared" si="298"/>
        <v>39.951000000000001</v>
      </c>
      <c r="I263" s="106">
        <f t="shared" si="298"/>
        <v>39.951000000000001</v>
      </c>
      <c r="K263" s="73">
        <f t="shared" si="295"/>
        <v>2.990000000000002</v>
      </c>
      <c r="L263" s="74">
        <f t="shared" si="296"/>
        <v>8.0896079651524637</v>
      </c>
      <c r="O263" s="13" t="s">
        <v>176</v>
      </c>
      <c r="P263" s="42">
        <f t="shared" ref="P263:V263" si="299">+P16</f>
        <v>0</v>
      </c>
      <c r="Q263" s="42">
        <f t="shared" si="299"/>
        <v>0</v>
      </c>
      <c r="R263" s="42">
        <f t="shared" si="299"/>
        <v>0</v>
      </c>
      <c r="S263" s="42">
        <f t="shared" si="299"/>
        <v>0</v>
      </c>
      <c r="T263" s="42">
        <f t="shared" si="299"/>
        <v>0</v>
      </c>
      <c r="U263" s="42">
        <f t="shared" si="299"/>
        <v>0</v>
      </c>
      <c r="V263" s="42">
        <f t="shared" si="299"/>
        <v>0</v>
      </c>
    </row>
    <row r="264" spans="1:22">
      <c r="B264" s="7" t="s">
        <v>600</v>
      </c>
      <c r="C264" s="106">
        <f t="shared" ref="C264:I264" si="300">C23</f>
        <v>24.293399999999998</v>
      </c>
      <c r="D264" s="106">
        <f t="shared" si="300"/>
        <v>22.012616000000001</v>
      </c>
      <c r="E264" s="106">
        <f t="shared" si="300"/>
        <v>22.004688000000002</v>
      </c>
      <c r="F264" s="106">
        <f t="shared" si="300"/>
        <v>21.864504</v>
      </c>
      <c r="G264" s="106">
        <f t="shared" si="300"/>
        <v>21.861344000000003</v>
      </c>
      <c r="H264" s="106">
        <f t="shared" si="300"/>
        <v>21.92052</v>
      </c>
      <c r="I264" s="106">
        <f t="shared" si="300"/>
        <v>21.923520000000003</v>
      </c>
      <c r="K264" s="73">
        <f t="shared" si="295"/>
        <v>-2.3698799999999949</v>
      </c>
      <c r="L264" s="74">
        <f t="shared" si="296"/>
        <v>-9.7552421645384975</v>
      </c>
      <c r="O264" s="13" t="s">
        <v>603</v>
      </c>
      <c r="P264" s="42">
        <f t="shared" ref="P264:V264" si="301">+P23</f>
        <v>4.2756120000000006</v>
      </c>
      <c r="Q264" s="42">
        <f t="shared" si="301"/>
        <v>3.3223132800000004</v>
      </c>
      <c r="R264" s="42">
        <f t="shared" si="301"/>
        <v>3.3609470400000006</v>
      </c>
      <c r="S264" s="42">
        <f t="shared" si="301"/>
        <v>3.3592363200000008</v>
      </c>
      <c r="T264" s="42">
        <f t="shared" si="301"/>
        <v>3.3585235200000008</v>
      </c>
      <c r="U264" s="42">
        <f t="shared" si="301"/>
        <v>3.3777216000000005</v>
      </c>
      <c r="V264" s="42">
        <f t="shared" si="301"/>
        <v>3.3777216000000005</v>
      </c>
    </row>
    <row r="265" spans="1:22">
      <c r="B265" s="7" t="s">
        <v>161</v>
      </c>
      <c r="C265" s="106">
        <f t="shared" ref="C265:I265" si="302">C29</f>
        <v>10.089</v>
      </c>
      <c r="D265" s="106">
        <f t="shared" si="302"/>
        <v>10.596</v>
      </c>
      <c r="E265" s="106">
        <f t="shared" si="302"/>
        <v>10.298999999999999</v>
      </c>
      <c r="F265" s="106">
        <f t="shared" si="302"/>
        <v>8.786999999999999</v>
      </c>
      <c r="G265" s="106">
        <f t="shared" si="302"/>
        <v>8.6210000000000004</v>
      </c>
      <c r="H265" s="106">
        <f t="shared" si="302"/>
        <v>10.042</v>
      </c>
      <c r="I265" s="106">
        <f t="shared" si="302"/>
        <v>10.039999999999999</v>
      </c>
      <c r="K265" s="259">
        <f t="shared" si="295"/>
        <v>-4.9000000000001265E-2</v>
      </c>
      <c r="L265" s="74">
        <f t="shared" si="296"/>
        <v>-0.4856774705124518</v>
      </c>
      <c r="O265" s="13" t="s">
        <v>177</v>
      </c>
      <c r="P265" s="42">
        <f t="shared" ref="P265:V265" si="303">+P29</f>
        <v>1.0089000000000001</v>
      </c>
      <c r="Q265" s="42">
        <f t="shared" si="303"/>
        <v>1.0596000000000001</v>
      </c>
      <c r="R265" s="42">
        <f t="shared" si="303"/>
        <v>1.0299</v>
      </c>
      <c r="S265" s="42">
        <f t="shared" si="303"/>
        <v>0.87870000000000004</v>
      </c>
      <c r="T265" s="42">
        <f t="shared" si="303"/>
        <v>0.86210000000000009</v>
      </c>
      <c r="U265" s="42">
        <f t="shared" si="303"/>
        <v>1.0042</v>
      </c>
      <c r="V265" s="42">
        <f t="shared" si="303"/>
        <v>1.004</v>
      </c>
    </row>
    <row r="266" spans="1:22">
      <c r="B266" s="7" t="s">
        <v>162</v>
      </c>
      <c r="C266" s="106">
        <f t="shared" ref="C266:I266" si="304">C63</f>
        <v>3677.8489425581893</v>
      </c>
      <c r="D266" s="106">
        <f t="shared" si="304"/>
        <v>3749.4451473122299</v>
      </c>
      <c r="E266" s="106">
        <f t="shared" si="304"/>
        <v>3758.3217360406557</v>
      </c>
      <c r="F266" s="106">
        <f t="shared" si="304"/>
        <v>3766.7562392995228</v>
      </c>
      <c r="G266" s="106">
        <f t="shared" si="304"/>
        <v>3743.1662079520111</v>
      </c>
      <c r="H266" s="106">
        <f t="shared" si="304"/>
        <v>3806.6603862153229</v>
      </c>
      <c r="I266" s="106">
        <f t="shared" si="304"/>
        <v>3829.4578556394572</v>
      </c>
      <c r="K266" s="73">
        <f t="shared" si="295"/>
        <v>151.60891308126793</v>
      </c>
      <c r="L266" s="74">
        <f t="shared" si="296"/>
        <v>4.1222169656542178</v>
      </c>
      <c r="O266" s="13" t="s">
        <v>178</v>
      </c>
      <c r="P266" s="42">
        <f t="shared" ref="P266:V266" si="305">+P63</f>
        <v>289</v>
      </c>
      <c r="Q266" s="42">
        <f t="shared" si="305"/>
        <v>289</v>
      </c>
      <c r="R266" s="42">
        <f t="shared" si="305"/>
        <v>289</v>
      </c>
      <c r="S266" s="42">
        <f t="shared" si="305"/>
        <v>289</v>
      </c>
      <c r="T266" s="42">
        <f t="shared" si="305"/>
        <v>289</v>
      </c>
      <c r="U266" s="42">
        <f t="shared" si="305"/>
        <v>289</v>
      </c>
      <c r="V266" s="42">
        <f t="shared" si="305"/>
        <v>289</v>
      </c>
    </row>
    <row r="267" spans="1:22">
      <c r="B267" s="7" t="s">
        <v>57</v>
      </c>
      <c r="C267" s="106">
        <f t="shared" ref="C267:I267" si="306">C71</f>
        <v>61.078000000000003</v>
      </c>
      <c r="D267" s="106">
        <f t="shared" si="306"/>
        <v>62.460999999999999</v>
      </c>
      <c r="E267" s="106">
        <f t="shared" si="306"/>
        <v>61.190000000000005</v>
      </c>
      <c r="F267" s="106">
        <f t="shared" si="306"/>
        <v>61.191000000000003</v>
      </c>
      <c r="G267" s="106">
        <f t="shared" si="306"/>
        <v>61.191000000000003</v>
      </c>
      <c r="H267" s="106">
        <f t="shared" si="306"/>
        <v>61.191000000000003</v>
      </c>
      <c r="I267" s="106">
        <f t="shared" si="306"/>
        <v>61.191000000000003</v>
      </c>
      <c r="K267" s="73">
        <f t="shared" si="295"/>
        <v>0.11299999999999955</v>
      </c>
      <c r="L267" s="74">
        <f t="shared" si="296"/>
        <v>0.18500933232915212</v>
      </c>
      <c r="O267" s="13" t="s">
        <v>179</v>
      </c>
      <c r="P267" s="42">
        <f t="shared" ref="P267:V267" si="307">+P71</f>
        <v>61.078000000000003</v>
      </c>
      <c r="Q267" s="42">
        <f t="shared" si="307"/>
        <v>62.460999999999999</v>
      </c>
      <c r="R267" s="42">
        <f t="shared" si="307"/>
        <v>61.190000000000005</v>
      </c>
      <c r="S267" s="42">
        <f t="shared" si="307"/>
        <v>61.191000000000003</v>
      </c>
      <c r="T267" s="42">
        <f t="shared" si="307"/>
        <v>61.191000000000003</v>
      </c>
      <c r="U267" s="42">
        <f t="shared" si="307"/>
        <v>61.191000000000003</v>
      </c>
      <c r="V267" s="42">
        <f t="shared" si="307"/>
        <v>61.191000000000003</v>
      </c>
    </row>
    <row r="268" spans="1:22">
      <c r="B268" s="7" t="s">
        <v>601</v>
      </c>
      <c r="C268" s="106">
        <f t="shared" ref="C268:I268" si="308">C104</f>
        <v>70.521999999999991</v>
      </c>
      <c r="D268" s="106">
        <f t="shared" si="308"/>
        <v>76.268000000000001</v>
      </c>
      <c r="E268" s="106">
        <f t="shared" si="308"/>
        <v>78.518000000000001</v>
      </c>
      <c r="F268" s="106">
        <f t="shared" si="308"/>
        <v>62.408999999999992</v>
      </c>
      <c r="G268" s="106">
        <f t="shared" si="308"/>
        <v>63.577999999999989</v>
      </c>
      <c r="H268" s="106">
        <f t="shared" si="308"/>
        <v>64.751999999999995</v>
      </c>
      <c r="I268" s="106">
        <f t="shared" si="308"/>
        <v>62.182000000000002</v>
      </c>
      <c r="K268" s="73">
        <f t="shared" si="295"/>
        <v>-8.3399999999999892</v>
      </c>
      <c r="L268" s="74">
        <f t="shared" si="296"/>
        <v>-11.826096820850216</v>
      </c>
      <c r="O268" s="13" t="s">
        <v>604</v>
      </c>
      <c r="P268" s="42">
        <f t="shared" ref="P268:V268" si="309">+P104</f>
        <v>6.1349999999999998</v>
      </c>
      <c r="Q268" s="42">
        <f t="shared" si="309"/>
        <v>5.4889999999999999</v>
      </c>
      <c r="R268" s="42">
        <f t="shared" si="309"/>
        <v>5.0310000000000006</v>
      </c>
      <c r="S268" s="42">
        <f t="shared" si="309"/>
        <v>6.3780000000000001</v>
      </c>
      <c r="T268" s="42">
        <f t="shared" si="309"/>
        <v>6.3780000000000001</v>
      </c>
      <c r="U268" s="42">
        <f t="shared" si="309"/>
        <v>6.4480000000000004</v>
      </c>
      <c r="V268" s="42">
        <f t="shared" si="309"/>
        <v>6.4480000000000004</v>
      </c>
    </row>
    <row r="269" spans="1:22">
      <c r="B269" s="7" t="s">
        <v>602</v>
      </c>
      <c r="C269" s="106">
        <f t="shared" ref="C269:I269" si="310">C225</f>
        <v>810.26</v>
      </c>
      <c r="D269" s="106">
        <f t="shared" si="310"/>
        <v>899.06790000000012</v>
      </c>
      <c r="E269" s="106">
        <f t="shared" si="310"/>
        <v>851.53890000000024</v>
      </c>
      <c r="F269" s="106">
        <f t="shared" si="310"/>
        <v>845.80790000000002</v>
      </c>
      <c r="G269" s="106">
        <f t="shared" si="310"/>
        <v>846.9739000000003</v>
      </c>
      <c r="H269" s="106">
        <f t="shared" si="310"/>
        <v>835.42590000000052</v>
      </c>
      <c r="I269" s="106">
        <f t="shared" si="310"/>
        <v>817.6615000000005</v>
      </c>
      <c r="K269" s="73">
        <f t="shared" si="295"/>
        <v>7.4015000000005102</v>
      </c>
      <c r="L269" s="74">
        <f t="shared" si="296"/>
        <v>0.9134722187940304</v>
      </c>
      <c r="O269" s="13" t="s">
        <v>605</v>
      </c>
      <c r="P269" s="42">
        <f t="shared" ref="P269:V269" si="311">+P225</f>
        <v>675.28507428571436</v>
      </c>
      <c r="Q269" s="42">
        <f t="shared" si="311"/>
        <v>758.84391333333349</v>
      </c>
      <c r="R269" s="42">
        <f t="shared" si="311"/>
        <v>720.02764999999999</v>
      </c>
      <c r="S269" s="42">
        <f t="shared" si="311"/>
        <v>718.32605000000001</v>
      </c>
      <c r="T269" s="42">
        <f t="shared" si="311"/>
        <v>721.73434999999972</v>
      </c>
      <c r="U269" s="42">
        <f t="shared" si="311"/>
        <v>711.08794999999998</v>
      </c>
      <c r="V269" s="42">
        <f t="shared" si="311"/>
        <v>694.99004999999988</v>
      </c>
    </row>
    <row r="270" spans="1:22">
      <c r="B270" s="7" t="s">
        <v>163</v>
      </c>
      <c r="C270" s="106">
        <f>C233</f>
        <v>7.9320000000000004</v>
      </c>
      <c r="D270" s="106">
        <f t="shared" ref="D270:I270" si="312">D233</f>
        <v>11.393999999999998</v>
      </c>
      <c r="E270" s="106">
        <f t="shared" si="312"/>
        <v>8.5779999999999994</v>
      </c>
      <c r="F270" s="106">
        <f t="shared" si="312"/>
        <v>12.142999999999999</v>
      </c>
      <c r="G270" s="106">
        <f t="shared" si="312"/>
        <v>12.305</v>
      </c>
      <c r="H270" s="106">
        <f t="shared" si="312"/>
        <v>12.305</v>
      </c>
      <c r="I270" s="106">
        <f t="shared" si="312"/>
        <v>12.305</v>
      </c>
      <c r="K270" s="73">
        <f t="shared" si="295"/>
        <v>4.3729999999999993</v>
      </c>
      <c r="L270" s="74">
        <f t="shared" si="296"/>
        <v>55.131114473020659</v>
      </c>
      <c r="O270" s="13" t="s">
        <v>180</v>
      </c>
      <c r="P270" s="42">
        <f t="shared" ref="P270:V270" si="313">+P233</f>
        <v>0</v>
      </c>
      <c r="Q270" s="42">
        <f t="shared" si="313"/>
        <v>0</v>
      </c>
      <c r="R270" s="42">
        <f t="shared" si="313"/>
        <v>0</v>
      </c>
      <c r="S270" s="42">
        <f t="shared" si="313"/>
        <v>0</v>
      </c>
      <c r="T270" s="42">
        <f t="shared" si="313"/>
        <v>0</v>
      </c>
      <c r="U270" s="42">
        <f t="shared" si="313"/>
        <v>0</v>
      </c>
      <c r="V270" s="42">
        <f t="shared" si="313"/>
        <v>0</v>
      </c>
    </row>
    <row r="271" spans="1:22">
      <c r="B271" s="7" t="s">
        <v>164</v>
      </c>
      <c r="C271" s="106">
        <f>C256</f>
        <v>226.54</v>
      </c>
      <c r="D271" s="106">
        <f t="shared" ref="D271:I271" si="314">D256</f>
        <v>235.578</v>
      </c>
      <c r="E271" s="106">
        <f t="shared" si="314"/>
        <v>235.28299999999996</v>
      </c>
      <c r="F271" s="106">
        <f t="shared" si="314"/>
        <v>228.88499999999999</v>
      </c>
      <c r="G271" s="106">
        <f t="shared" si="314"/>
        <v>221.61800000000002</v>
      </c>
      <c r="H271" s="106">
        <f t="shared" si="314"/>
        <v>207.465</v>
      </c>
      <c r="I271" s="106">
        <f t="shared" si="314"/>
        <v>196.78900000000002</v>
      </c>
      <c r="K271" s="73">
        <f t="shared" si="295"/>
        <v>-29.750999999999976</v>
      </c>
      <c r="L271" s="74">
        <f t="shared" si="296"/>
        <v>-13.132780082987541</v>
      </c>
      <c r="O271" s="13" t="s">
        <v>181</v>
      </c>
      <c r="P271" s="42">
        <f>+P256</f>
        <v>42.253</v>
      </c>
      <c r="Q271" s="42">
        <f t="shared" ref="Q271:V271" si="315">+Q256</f>
        <v>40.791499999999999</v>
      </c>
      <c r="R271" s="42">
        <f t="shared" si="315"/>
        <v>41.433499999999995</v>
      </c>
      <c r="S271" s="42">
        <f t="shared" si="315"/>
        <v>40.866</v>
      </c>
      <c r="T271" s="42">
        <f t="shared" si="315"/>
        <v>40.999499999999998</v>
      </c>
      <c r="U271" s="42">
        <f t="shared" si="315"/>
        <v>41.708500000000001</v>
      </c>
      <c r="V271" s="42">
        <f t="shared" si="315"/>
        <v>41.62</v>
      </c>
    </row>
    <row r="272" spans="1:22">
      <c r="B272" s="23" t="s">
        <v>54</v>
      </c>
      <c r="C272" s="107">
        <f>SUM(C262:C271)</f>
        <v>4926.0443425581889</v>
      </c>
      <c r="D272" s="107">
        <f t="shared" ref="D272:I272" si="316">SUM(D262:D271)</f>
        <v>5107.3676633122304</v>
      </c>
      <c r="E272" s="107">
        <f t="shared" si="316"/>
        <v>5066.278324040657</v>
      </c>
      <c r="F272" s="107">
        <f t="shared" si="316"/>
        <v>5048.3886432995232</v>
      </c>
      <c r="G272" s="107">
        <f t="shared" si="316"/>
        <v>5019.859451952012</v>
      </c>
      <c r="H272" s="107">
        <f t="shared" si="316"/>
        <v>5060.3068062153234</v>
      </c>
      <c r="I272" s="107">
        <f t="shared" si="316"/>
        <v>5052.0948756394573</v>
      </c>
      <c r="K272" s="73">
        <f t="shared" si="295"/>
        <v>126.05053308126844</v>
      </c>
      <c r="L272" s="74">
        <f t="shared" si="296"/>
        <v>2.5588590827789424</v>
      </c>
      <c r="O272" s="13" t="s">
        <v>157</v>
      </c>
      <c r="P272" s="43">
        <f>SUM(P262:P271)</f>
        <v>1079.0355862857143</v>
      </c>
      <c r="Q272" s="43">
        <f t="shared" ref="Q272:V272" si="317">SUM(Q262:Q271)</f>
        <v>1160.9673266133334</v>
      </c>
      <c r="R272" s="43">
        <f t="shared" si="317"/>
        <v>1121.07299704</v>
      </c>
      <c r="S272" s="43">
        <f t="shared" si="317"/>
        <v>1119.9989863200001</v>
      </c>
      <c r="T272" s="43">
        <f t="shared" si="317"/>
        <v>1123.5234735199997</v>
      </c>
      <c r="U272" s="43">
        <f t="shared" si="317"/>
        <v>1113.8173715999999</v>
      </c>
      <c r="V272" s="43">
        <f t="shared" si="317"/>
        <v>1097.6307715999997</v>
      </c>
    </row>
    <row r="274" spans="1:22" s="37" customFormat="1" ht="15">
      <c r="A274" s="108" t="s">
        <v>420</v>
      </c>
      <c r="C274" s="136"/>
      <c r="K274" s="48"/>
      <c r="L274" s="18"/>
      <c r="M274" s="2"/>
      <c r="O274" s="72"/>
      <c r="P274" s="227"/>
      <c r="Q274" s="227"/>
      <c r="R274" s="227"/>
      <c r="S274" s="227"/>
      <c r="T274" s="227"/>
      <c r="U274" s="227"/>
      <c r="V274" s="227"/>
    </row>
    <row r="275" spans="1:22">
      <c r="P275" s="226"/>
      <c r="Q275" s="226"/>
      <c r="R275" s="226"/>
      <c r="S275" s="226"/>
      <c r="T275" s="226"/>
      <c r="U275" s="226"/>
      <c r="V275" s="226"/>
    </row>
    <row r="276" spans="1:22">
      <c r="C276" s="61"/>
      <c r="D276" s="61"/>
      <c r="E276" s="61"/>
      <c r="F276" s="61"/>
      <c r="G276" s="61"/>
      <c r="H276" s="61"/>
      <c r="I276" s="61"/>
    </row>
    <row r="277" spans="1:22">
      <c r="P277" s="228"/>
    </row>
    <row r="279" spans="1:22">
      <c r="B279"/>
      <c r="C279"/>
      <c r="D279"/>
      <c r="E279"/>
      <c r="F279"/>
      <c r="G279"/>
      <c r="H279"/>
      <c r="I279"/>
      <c r="O279" s="4"/>
      <c r="P279" s="4"/>
      <c r="Q279" s="4"/>
      <c r="R279" s="4"/>
      <c r="S279" s="4"/>
      <c r="T279" s="4"/>
      <c r="U279" s="4"/>
      <c r="V279" s="4"/>
    </row>
    <row r="280" spans="1:22">
      <c r="B280"/>
      <c r="C280"/>
      <c r="D280"/>
      <c r="E280"/>
      <c r="F280"/>
      <c r="G280"/>
      <c r="H280"/>
      <c r="I280"/>
    </row>
    <row r="281" spans="1:22">
      <c r="B281"/>
      <c r="C281"/>
      <c r="D281"/>
      <c r="E281"/>
      <c r="F281"/>
      <c r="G281"/>
      <c r="H281"/>
      <c r="I281"/>
    </row>
    <row r="282" spans="1:22">
      <c r="B282"/>
      <c r="C282"/>
      <c r="D282"/>
      <c r="E282"/>
      <c r="F282"/>
      <c r="G282"/>
      <c r="H282"/>
      <c r="I282"/>
    </row>
    <row r="283" spans="1:22">
      <c r="B283"/>
      <c r="C283"/>
      <c r="D283"/>
      <c r="E283"/>
      <c r="F283"/>
      <c r="G283"/>
      <c r="H283"/>
      <c r="I283"/>
    </row>
    <row r="284" spans="1:22">
      <c r="B284"/>
      <c r="C284"/>
      <c r="D284"/>
      <c r="E284"/>
      <c r="F284"/>
      <c r="G284"/>
      <c r="H284"/>
      <c r="I284"/>
    </row>
    <row r="285" spans="1:22">
      <c r="B285"/>
      <c r="C285"/>
      <c r="D285"/>
      <c r="E285"/>
      <c r="F285"/>
      <c r="G285"/>
      <c r="H285"/>
      <c r="I285"/>
    </row>
    <row r="286" spans="1:22">
      <c r="B286"/>
      <c r="C286"/>
      <c r="D286"/>
      <c r="E286"/>
      <c r="F286"/>
      <c r="G286"/>
      <c r="H286"/>
      <c r="I286"/>
    </row>
    <row r="287" spans="1:22">
      <c r="B287"/>
      <c r="C287"/>
      <c r="D287"/>
      <c r="E287"/>
      <c r="F287"/>
      <c r="G287"/>
      <c r="H287"/>
      <c r="I287"/>
    </row>
    <row r="288" spans="1:22">
      <c r="B288"/>
      <c r="C288"/>
      <c r="D288"/>
      <c r="E288"/>
      <c r="F288"/>
      <c r="G288"/>
      <c r="H288"/>
      <c r="I288"/>
    </row>
    <row r="290" spans="2:9">
      <c r="B290"/>
      <c r="C290" s="61"/>
      <c r="D290" s="61"/>
      <c r="E290" s="61"/>
      <c r="F290" s="61"/>
      <c r="G290" s="61"/>
      <c r="H290" s="61"/>
      <c r="I290" s="61"/>
    </row>
    <row r="291" spans="2:9">
      <c r="B291"/>
      <c r="C291" s="61"/>
      <c r="D291" s="61"/>
      <c r="E291" s="61"/>
      <c r="F291" s="61"/>
      <c r="G291" s="61"/>
      <c r="H291" s="61"/>
      <c r="I291" s="61"/>
    </row>
    <row r="292" spans="2:9">
      <c r="B292"/>
      <c r="C292" s="61"/>
      <c r="D292" s="61"/>
      <c r="E292" s="61"/>
      <c r="F292" s="61"/>
      <c r="G292" s="61"/>
      <c r="H292" s="61"/>
      <c r="I292" s="61"/>
    </row>
    <row r="293" spans="2:9">
      <c r="B293"/>
      <c r="C293" s="61"/>
      <c r="D293" s="61"/>
      <c r="E293" s="61"/>
      <c r="F293" s="61"/>
      <c r="G293" s="61"/>
      <c r="H293" s="61"/>
      <c r="I293" s="61"/>
    </row>
    <row r="294" spans="2:9">
      <c r="B294"/>
      <c r="C294" s="61"/>
      <c r="D294" s="61"/>
      <c r="E294" s="61"/>
      <c r="F294" s="61"/>
      <c r="G294" s="61"/>
      <c r="H294" s="61"/>
      <c r="I294" s="200"/>
    </row>
    <row r="295" spans="2:9">
      <c r="B295"/>
      <c r="C295" s="61"/>
      <c r="D295" s="61"/>
      <c r="E295" s="61"/>
      <c r="F295" s="61"/>
      <c r="G295" s="61"/>
      <c r="H295" s="61"/>
      <c r="I295" s="61"/>
    </row>
    <row r="296" spans="2:9">
      <c r="B296"/>
      <c r="C296" s="61"/>
      <c r="D296" s="61"/>
      <c r="E296" s="61"/>
      <c r="F296" s="61"/>
      <c r="G296" s="61"/>
      <c r="H296" s="61"/>
      <c r="I296" s="61"/>
    </row>
    <row r="297" spans="2:9">
      <c r="B297"/>
      <c r="C297" s="61"/>
      <c r="D297" s="61"/>
      <c r="E297" s="61"/>
      <c r="F297" s="61"/>
      <c r="G297" s="61"/>
      <c r="H297" s="61"/>
      <c r="I297" s="61"/>
    </row>
    <row r="298" spans="2:9">
      <c r="B298"/>
      <c r="C298" s="61"/>
      <c r="D298" s="61"/>
      <c r="E298" s="61"/>
      <c r="F298" s="61"/>
      <c r="G298" s="61"/>
      <c r="H298" s="61"/>
      <c r="I298" s="61"/>
    </row>
    <row r="299" spans="2:9">
      <c r="B299"/>
      <c r="C299" s="61"/>
      <c r="D299" s="61"/>
      <c r="E299" s="61"/>
      <c r="F299" s="61"/>
      <c r="G299" s="61"/>
      <c r="H299" s="61"/>
      <c r="I299" s="61"/>
    </row>
  </sheetData>
  <sortState ref="A184:N196">
    <sortCondition ref="A184:A196"/>
  </sortState>
  <pageMargins left="0.70866141732283472" right="0.70866141732283472" top="0.74803149606299213" bottom="0.74803149606299213" header="0.31496062992125984" footer="0.31496062992125984"/>
  <pageSetup paperSize="8" scale="81" orientation="landscape" r:id="rId1"/>
  <headerFooter>
    <oddFooter>&amp;L&amp;Z&amp;F
&amp;D</oddFooter>
  </headerFooter>
  <rowBreaks count="5" manualBreakCount="5">
    <brk id="63" max="21" man="1"/>
    <brk id="105" max="21" man="1"/>
    <brk id="161" max="21" man="1"/>
    <brk id="225" max="21" man="1"/>
    <brk id="277" max="21"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view="pageBreakPreview" zoomScaleNormal="100" zoomScaleSheetLayoutView="100" workbookViewId="0"/>
  </sheetViews>
  <sheetFormatPr defaultRowHeight="12.75"/>
  <cols>
    <col min="1" max="1" width="9.140625" style="8"/>
    <col min="2" max="2" width="58" style="4" bestFit="1" customWidth="1"/>
    <col min="3" max="9" width="12" style="4" customWidth="1"/>
    <col min="10" max="10" width="12.28515625" style="4" customWidth="1"/>
    <col min="11" max="11" width="15" style="4" bestFit="1" customWidth="1"/>
    <col min="12" max="12" width="41.28515625" style="4" customWidth="1"/>
    <col min="13" max="16384" width="9.140625" style="4"/>
  </cols>
  <sheetData>
    <row r="1" spans="1:15" ht="18.75">
      <c r="A1" s="95" t="s">
        <v>158</v>
      </c>
    </row>
    <row r="2" spans="1:15" ht="18.75">
      <c r="A2" s="95"/>
      <c r="C2" s="1" t="str">
        <f>'R&amp;D'!C3</f>
        <v>realisatie</v>
      </c>
      <c r="D2" s="1" t="str">
        <f>'R&amp;D'!D3</f>
        <v xml:space="preserve">stand begr. </v>
      </c>
      <c r="E2" s="1" t="str">
        <f>'R&amp;D'!E3</f>
        <v>ontwerp</v>
      </c>
      <c r="F2" s="1" t="str">
        <f>'R&amp;D'!F3</f>
        <v>meerjarencijfers</v>
      </c>
      <c r="G2" s="1"/>
      <c r="H2" s="1"/>
      <c r="I2" s="1"/>
      <c r="J2" s="1" t="s">
        <v>458</v>
      </c>
    </row>
    <row r="3" spans="1:15" s="3" customFormat="1" ht="15">
      <c r="A3" s="78"/>
      <c r="C3" s="1">
        <f>'R&amp;D'!C4</f>
        <v>2016</v>
      </c>
      <c r="D3" s="1">
        <f>'R&amp;D'!D4</f>
        <v>2017</v>
      </c>
      <c r="E3" s="1">
        <f>'R&amp;D'!E4</f>
        <v>2018</v>
      </c>
      <c r="F3" s="1">
        <f>'R&amp;D'!F4</f>
        <v>2019</v>
      </c>
      <c r="G3" s="1">
        <f>'R&amp;D'!G4</f>
        <v>2020</v>
      </c>
      <c r="H3" s="1">
        <f>'R&amp;D'!H4</f>
        <v>2021</v>
      </c>
      <c r="I3" s="1">
        <f>'R&amp;D'!I4</f>
        <v>2022</v>
      </c>
      <c r="J3" s="249" t="s">
        <v>405</v>
      </c>
      <c r="K3" s="4"/>
      <c r="L3" s="4" t="s">
        <v>633</v>
      </c>
    </row>
    <row r="4" spans="1:15" s="3" customFormat="1" ht="15">
      <c r="A4" s="178" t="s">
        <v>78</v>
      </c>
      <c r="B4" s="15" t="s">
        <v>47</v>
      </c>
      <c r="C4" s="60"/>
      <c r="D4" s="60"/>
      <c r="E4" s="60"/>
      <c r="F4" s="60"/>
      <c r="G4" s="60"/>
      <c r="H4" s="60"/>
      <c r="I4" s="60"/>
      <c r="J4" s="14"/>
      <c r="K4" s="14"/>
      <c r="L4" s="14"/>
      <c r="M4" s="23"/>
      <c r="N4" s="23"/>
      <c r="O4" s="23"/>
    </row>
    <row r="5" spans="1:15" s="7" customFormat="1">
      <c r="A5" s="164">
        <v>4</v>
      </c>
      <c r="B5" s="159" t="s">
        <v>334</v>
      </c>
      <c r="C5" s="237">
        <v>0</v>
      </c>
      <c r="D5" s="237">
        <v>0.438</v>
      </c>
      <c r="E5" s="237">
        <v>0</v>
      </c>
      <c r="F5" s="237">
        <v>0</v>
      </c>
      <c r="G5" s="237">
        <v>0</v>
      </c>
      <c r="H5" s="237">
        <v>0</v>
      </c>
      <c r="I5" s="237">
        <v>0</v>
      </c>
      <c r="J5" s="152"/>
      <c r="L5" s="7" t="s">
        <v>335</v>
      </c>
    </row>
    <row r="6" spans="1:15" s="7" customFormat="1">
      <c r="A6" s="164">
        <v>4</v>
      </c>
      <c r="B6" s="159" t="s">
        <v>336</v>
      </c>
      <c r="C6" s="237">
        <v>15.834</v>
      </c>
      <c r="D6" s="237">
        <v>23.462</v>
      </c>
      <c r="E6" s="237">
        <v>25.861000000000001</v>
      </c>
      <c r="F6" s="237">
        <v>41.155999999999999</v>
      </c>
      <c r="G6" s="237">
        <v>37.445</v>
      </c>
      <c r="H6" s="237">
        <v>31.555</v>
      </c>
      <c r="I6" s="237">
        <v>26.22</v>
      </c>
      <c r="J6" s="152"/>
      <c r="L6" s="7" t="s">
        <v>362</v>
      </c>
    </row>
    <row r="7" spans="1:15" s="7" customFormat="1">
      <c r="A7" s="164">
        <v>3</v>
      </c>
      <c r="B7" s="159" t="s">
        <v>421</v>
      </c>
      <c r="C7" s="237">
        <v>3.5</v>
      </c>
      <c r="D7" s="237">
        <v>16.399999999999999</v>
      </c>
      <c r="E7" s="237">
        <v>16.399999999999999</v>
      </c>
      <c r="F7" s="237">
        <v>16.399999999999999</v>
      </c>
      <c r="G7" s="237">
        <v>16.399999999999999</v>
      </c>
      <c r="H7" s="237">
        <v>16.399999999999999</v>
      </c>
      <c r="I7" s="237">
        <v>16.399999999999999</v>
      </c>
    </row>
    <row r="8" spans="1:15" s="7" customFormat="1">
      <c r="A8" s="164">
        <v>3</v>
      </c>
      <c r="B8" s="159" t="s">
        <v>422</v>
      </c>
      <c r="C8" s="237">
        <v>2.4</v>
      </c>
      <c r="D8" s="237">
        <v>2.4</v>
      </c>
      <c r="E8" s="237">
        <v>2.4</v>
      </c>
      <c r="F8" s="237">
        <v>2.4</v>
      </c>
      <c r="G8" s="237">
        <v>2.4</v>
      </c>
      <c r="H8" s="237">
        <v>2.4</v>
      </c>
      <c r="I8" s="237">
        <v>2.4</v>
      </c>
    </row>
    <row r="9" spans="1:15" s="7" customFormat="1">
      <c r="A9" s="164">
        <v>3</v>
      </c>
      <c r="B9" s="159" t="s">
        <v>423</v>
      </c>
      <c r="C9" s="237">
        <v>0.27400000000000002</v>
      </c>
      <c r="D9" s="237">
        <v>0.71299999999999997</v>
      </c>
      <c r="E9" s="237">
        <v>1.53</v>
      </c>
      <c r="F9" s="237">
        <v>1.53</v>
      </c>
      <c r="G9" s="237">
        <v>1.53</v>
      </c>
      <c r="H9" s="237">
        <v>1.53</v>
      </c>
      <c r="I9" s="237">
        <v>1.53</v>
      </c>
    </row>
    <row r="10" spans="1:15" s="7" customFormat="1">
      <c r="A10" s="164">
        <v>3</v>
      </c>
      <c r="B10" s="159" t="s">
        <v>424</v>
      </c>
      <c r="C10" s="237">
        <v>2.6219999999999999</v>
      </c>
      <c r="D10" s="237">
        <v>2.9159999999999999</v>
      </c>
      <c r="E10" s="237">
        <v>2.6</v>
      </c>
      <c r="F10" s="237">
        <v>2.6</v>
      </c>
      <c r="G10" s="237">
        <v>2.6</v>
      </c>
      <c r="H10" s="237">
        <v>2.6</v>
      </c>
      <c r="I10" s="237">
        <v>2.6</v>
      </c>
    </row>
    <row r="11" spans="1:15" s="7" customFormat="1">
      <c r="A11" s="164">
        <v>3</v>
      </c>
      <c r="B11" s="159" t="s">
        <v>425</v>
      </c>
      <c r="C11" s="237">
        <v>3.18</v>
      </c>
      <c r="D11" s="237">
        <v>2.4</v>
      </c>
      <c r="E11" s="237"/>
      <c r="F11" s="237"/>
      <c r="G11" s="237"/>
      <c r="H11" s="152"/>
    </row>
    <row r="12" spans="1:15" s="7" customFormat="1">
      <c r="A12" s="164">
        <v>3</v>
      </c>
      <c r="B12" s="159" t="s">
        <v>426</v>
      </c>
      <c r="C12" s="237">
        <v>0.748</v>
      </c>
      <c r="D12" s="237">
        <v>0.35399999999999998</v>
      </c>
      <c r="E12" s="237"/>
      <c r="F12" s="237"/>
      <c r="G12" s="237"/>
      <c r="H12" s="152"/>
    </row>
    <row r="13" spans="1:15" s="7" customFormat="1">
      <c r="A13" s="164">
        <v>3</v>
      </c>
      <c r="B13" s="159" t="s">
        <v>584</v>
      </c>
      <c r="C13" s="237">
        <v>0.9</v>
      </c>
      <c r="D13" s="237">
        <v>0.59</v>
      </c>
      <c r="E13" s="237">
        <v>0.59</v>
      </c>
      <c r="F13" s="237">
        <v>0.59</v>
      </c>
      <c r="G13" s="237"/>
      <c r="H13" s="152"/>
    </row>
    <row r="14" spans="1:15" s="7" customFormat="1">
      <c r="A14" s="164">
        <v>3</v>
      </c>
      <c r="B14" s="159" t="s">
        <v>585</v>
      </c>
      <c r="C14" s="237"/>
      <c r="D14" s="237">
        <v>2.5</v>
      </c>
      <c r="E14" s="237">
        <v>1.5</v>
      </c>
      <c r="F14" s="237">
        <v>1.5</v>
      </c>
      <c r="G14" s="237"/>
      <c r="H14" s="152"/>
    </row>
    <row r="15" spans="1:15" s="7" customFormat="1">
      <c r="A15" s="164">
        <v>3</v>
      </c>
      <c r="B15" s="159" t="s">
        <v>586</v>
      </c>
      <c r="C15" s="237">
        <v>0.3</v>
      </c>
      <c r="D15" s="237">
        <v>0.3</v>
      </c>
      <c r="E15" s="237">
        <v>0.3</v>
      </c>
      <c r="F15" s="237">
        <v>0.3</v>
      </c>
      <c r="G15" s="237"/>
      <c r="H15" s="152"/>
    </row>
    <row r="16" spans="1:15" s="7" customFormat="1">
      <c r="A16" s="164">
        <v>1</v>
      </c>
      <c r="B16" s="238" t="s">
        <v>427</v>
      </c>
      <c r="C16" s="237">
        <v>8.7999999999999995E-2</v>
      </c>
      <c r="D16" s="237">
        <v>0.77400000000000002</v>
      </c>
      <c r="E16" s="237">
        <v>0.77400000000000002</v>
      </c>
      <c r="F16" s="237"/>
      <c r="G16" s="237"/>
      <c r="H16" s="237"/>
      <c r="I16" s="237"/>
      <c r="J16" s="152"/>
      <c r="K16" s="239"/>
    </row>
    <row r="17" spans="1:12" s="7" customFormat="1">
      <c r="A17" s="164">
        <v>1</v>
      </c>
      <c r="B17" s="238" t="s">
        <v>428</v>
      </c>
      <c r="C17" s="237">
        <v>1.5129999999999999</v>
      </c>
      <c r="D17" s="237">
        <v>3.5</v>
      </c>
      <c r="E17" s="237">
        <v>1.5</v>
      </c>
      <c r="F17" s="237"/>
      <c r="G17" s="237"/>
      <c r="H17" s="237"/>
      <c r="I17" s="237"/>
      <c r="J17" s="152"/>
      <c r="K17" s="239"/>
    </row>
    <row r="18" spans="1:12" s="7" customFormat="1">
      <c r="A18" s="164">
        <v>1</v>
      </c>
      <c r="B18" s="238" t="s">
        <v>429</v>
      </c>
      <c r="C18" s="237">
        <v>0.4</v>
      </c>
      <c r="D18" s="237">
        <v>0.8</v>
      </c>
      <c r="E18" s="237">
        <v>5</v>
      </c>
      <c r="F18" s="237"/>
      <c r="G18" s="237"/>
      <c r="H18" s="237"/>
      <c r="I18" s="237"/>
      <c r="J18" s="152"/>
      <c r="K18" s="239"/>
    </row>
    <row r="19" spans="1:12" s="7" customFormat="1">
      <c r="A19" s="164">
        <v>1</v>
      </c>
      <c r="B19" s="238" t="s">
        <v>430</v>
      </c>
      <c r="C19" s="237">
        <v>4.5</v>
      </c>
      <c r="D19" s="237">
        <v>2.5</v>
      </c>
      <c r="E19" s="237">
        <v>1.5</v>
      </c>
      <c r="F19" s="237">
        <v>1.5</v>
      </c>
      <c r="G19" s="237"/>
      <c r="H19" s="237"/>
      <c r="I19" s="237"/>
      <c r="J19" s="152"/>
      <c r="K19" s="239"/>
    </row>
    <row r="20" spans="1:12" s="7" customFormat="1">
      <c r="A20" s="164">
        <v>1</v>
      </c>
      <c r="B20" s="238" t="s">
        <v>587</v>
      </c>
      <c r="C20" s="237">
        <v>4.2930000000000001</v>
      </c>
      <c r="D20" s="237">
        <v>4.548</v>
      </c>
      <c r="E20" s="237">
        <v>5.5</v>
      </c>
      <c r="F20" s="237">
        <v>5.6</v>
      </c>
      <c r="G20" s="237">
        <v>5.8</v>
      </c>
      <c r="H20" s="237">
        <v>5.8</v>
      </c>
      <c r="I20" s="237">
        <v>3.3</v>
      </c>
      <c r="J20" s="152"/>
      <c r="K20" s="239"/>
    </row>
    <row r="21" spans="1:12" s="7" customFormat="1">
      <c r="A21" s="164">
        <v>1</v>
      </c>
      <c r="B21" s="240" t="s">
        <v>431</v>
      </c>
      <c r="C21" s="237">
        <v>0.3</v>
      </c>
      <c r="D21" s="237">
        <v>0.3</v>
      </c>
      <c r="E21" s="237"/>
      <c r="F21" s="237"/>
      <c r="G21" s="237"/>
      <c r="H21" s="237"/>
      <c r="I21" s="237"/>
      <c r="J21" s="152"/>
      <c r="K21" s="239"/>
    </row>
    <row r="22" spans="1:12" s="7" customFormat="1">
      <c r="A22" s="164">
        <v>1</v>
      </c>
      <c r="B22" s="240" t="s">
        <v>432</v>
      </c>
      <c r="C22" s="237">
        <v>0.25</v>
      </c>
      <c r="D22" s="237">
        <v>0.25</v>
      </c>
      <c r="E22" s="237"/>
      <c r="F22" s="237"/>
      <c r="G22" s="237"/>
      <c r="H22" s="237"/>
      <c r="I22" s="237"/>
      <c r="J22" s="152"/>
      <c r="K22" s="239"/>
    </row>
    <row r="23" spans="1:12" s="7" customFormat="1">
      <c r="A23" s="164">
        <v>1</v>
      </c>
      <c r="B23" s="240" t="s">
        <v>433</v>
      </c>
      <c r="C23" s="237">
        <v>0.47</v>
      </c>
      <c r="D23" s="237">
        <v>0.45</v>
      </c>
      <c r="E23" s="237"/>
      <c r="F23" s="237"/>
      <c r="G23" s="237"/>
      <c r="H23" s="237"/>
      <c r="I23" s="237"/>
      <c r="J23" s="152"/>
      <c r="K23" s="239"/>
    </row>
    <row r="24" spans="1:12" s="7" customFormat="1">
      <c r="A24" s="164">
        <v>1</v>
      </c>
      <c r="B24" s="240" t="s">
        <v>434</v>
      </c>
      <c r="C24" s="237"/>
      <c r="D24" s="241">
        <v>0.3</v>
      </c>
      <c r="E24" s="237">
        <v>0.3</v>
      </c>
      <c r="F24" s="237">
        <v>0.3</v>
      </c>
      <c r="G24" s="237"/>
      <c r="J24" s="152"/>
      <c r="K24" s="239"/>
    </row>
    <row r="25" spans="1:12" s="7" customFormat="1">
      <c r="A25" s="164">
        <v>1</v>
      </c>
      <c r="B25" s="240" t="s">
        <v>435</v>
      </c>
      <c r="C25" s="242">
        <v>0.159</v>
      </c>
      <c r="D25" s="237"/>
      <c r="E25" s="237">
        <v>0.159</v>
      </c>
      <c r="F25" s="237"/>
      <c r="G25" s="237">
        <v>0.11899999999999999</v>
      </c>
      <c r="H25" s="237"/>
      <c r="J25" s="152"/>
      <c r="K25" s="238"/>
    </row>
    <row r="26" spans="1:12" s="7" customFormat="1">
      <c r="A26" s="164">
        <v>6</v>
      </c>
      <c r="B26" s="159" t="s">
        <v>436</v>
      </c>
      <c r="C26" s="237">
        <v>0</v>
      </c>
      <c r="D26" s="237">
        <v>0.25</v>
      </c>
      <c r="E26" s="237">
        <v>3.3</v>
      </c>
      <c r="F26" s="237">
        <v>3.3</v>
      </c>
      <c r="G26" s="237">
        <v>3.8</v>
      </c>
      <c r="H26" s="237">
        <v>6.3</v>
      </c>
      <c r="I26" s="237">
        <v>7.9</v>
      </c>
      <c r="L26" s="7" t="s">
        <v>437</v>
      </c>
    </row>
    <row r="27" spans="1:12" s="7" customFormat="1">
      <c r="A27" s="164">
        <v>7</v>
      </c>
      <c r="B27" s="159" t="s">
        <v>438</v>
      </c>
      <c r="C27" s="237">
        <v>0</v>
      </c>
      <c r="D27" s="237">
        <v>0.25</v>
      </c>
      <c r="E27" s="237">
        <v>3.3</v>
      </c>
      <c r="F27" s="237">
        <v>3.3</v>
      </c>
      <c r="G27" s="237">
        <v>3.8</v>
      </c>
      <c r="H27" s="237">
        <v>6.3</v>
      </c>
      <c r="I27" s="237">
        <v>7.9</v>
      </c>
      <c r="L27" s="7" t="s">
        <v>437</v>
      </c>
    </row>
    <row r="28" spans="1:12" s="7" customFormat="1">
      <c r="A28" s="243" t="s">
        <v>454</v>
      </c>
      <c r="B28" s="159" t="s">
        <v>439</v>
      </c>
      <c r="C28" s="237">
        <v>1.0269999999999999</v>
      </c>
      <c r="D28" s="237">
        <v>1</v>
      </c>
      <c r="E28" s="237">
        <v>2</v>
      </c>
      <c r="F28" s="237">
        <v>2</v>
      </c>
      <c r="G28" s="237">
        <v>2</v>
      </c>
      <c r="H28" s="237">
        <v>2</v>
      </c>
      <c r="I28" s="237">
        <v>2</v>
      </c>
      <c r="L28" s="7" t="s">
        <v>440</v>
      </c>
    </row>
    <row r="29" spans="1:12" s="7" customFormat="1">
      <c r="A29" s="164">
        <v>14</v>
      </c>
      <c r="B29" s="159" t="s">
        <v>442</v>
      </c>
      <c r="C29" s="244">
        <v>0.6</v>
      </c>
      <c r="D29" s="245">
        <v>0.8</v>
      </c>
      <c r="E29" s="245">
        <v>0.8</v>
      </c>
      <c r="F29" s="245">
        <v>0.8</v>
      </c>
      <c r="G29" s="245">
        <v>0.8</v>
      </c>
      <c r="H29" s="245">
        <v>0.8</v>
      </c>
      <c r="I29" s="245">
        <v>0.8</v>
      </c>
    </row>
    <row r="30" spans="1:12" s="7" customFormat="1">
      <c r="A30" s="164">
        <v>14</v>
      </c>
      <c r="B30" s="159" t="s">
        <v>588</v>
      </c>
      <c r="C30" s="244">
        <v>0.78500000000000003</v>
      </c>
      <c r="D30" s="245">
        <v>1.8049999999999999</v>
      </c>
      <c r="E30" s="245">
        <v>1.9750000000000001</v>
      </c>
      <c r="F30" s="245">
        <v>2.145</v>
      </c>
      <c r="G30" s="245">
        <v>2.3149999999999999</v>
      </c>
      <c r="H30" s="245">
        <v>2.4849999999999999</v>
      </c>
      <c r="I30" s="245">
        <v>2.6549999999999998</v>
      </c>
    </row>
    <row r="31" spans="1:12" s="7" customFormat="1">
      <c r="A31" s="164">
        <v>14</v>
      </c>
      <c r="B31" s="159" t="s">
        <v>589</v>
      </c>
      <c r="C31" s="244">
        <v>15.26</v>
      </c>
      <c r="D31" s="245">
        <v>16.231000000000002</v>
      </c>
      <c r="E31" s="245">
        <v>15.175000000000001</v>
      </c>
      <c r="F31" s="245">
        <v>14.975</v>
      </c>
      <c r="G31" s="245">
        <v>14.975</v>
      </c>
      <c r="H31" s="245">
        <v>14.975</v>
      </c>
      <c r="I31" s="245">
        <v>14.975</v>
      </c>
    </row>
    <row r="32" spans="1:12" s="7" customFormat="1">
      <c r="A32" s="164">
        <v>15</v>
      </c>
      <c r="B32" s="159" t="s">
        <v>443</v>
      </c>
      <c r="C32" s="237">
        <v>0.76600000000000001</v>
      </c>
      <c r="D32" s="237">
        <v>1.1080000000000001</v>
      </c>
      <c r="E32" s="237">
        <v>1.1080000000000001</v>
      </c>
      <c r="F32" s="237">
        <v>1.1080000000000001</v>
      </c>
      <c r="G32" s="237">
        <v>1.1080000000000001</v>
      </c>
      <c r="H32" s="237">
        <v>1.1080000000000001</v>
      </c>
      <c r="I32" s="237">
        <v>1.1080000000000001</v>
      </c>
    </row>
    <row r="33" spans="1:14" s="3" customFormat="1" ht="15">
      <c r="A33" s="164">
        <v>25</v>
      </c>
      <c r="B33" s="159" t="s">
        <v>453</v>
      </c>
      <c r="C33" s="67"/>
      <c r="D33" s="67"/>
      <c r="E33" s="67"/>
      <c r="F33" s="67"/>
      <c r="G33" s="67"/>
      <c r="H33" s="67"/>
      <c r="I33" s="67"/>
      <c r="J33" s="2"/>
      <c r="K33" s="2"/>
      <c r="L33" s="246"/>
    </row>
    <row r="34" spans="1:14" s="3" customFormat="1" ht="15">
      <c r="A34" s="78"/>
      <c r="B34" s="3" t="s">
        <v>67</v>
      </c>
      <c r="C34" s="6">
        <f t="shared" ref="C34:I34" si="0">SUM(C5:C33)</f>
        <v>60.16899999999999</v>
      </c>
      <c r="D34" s="6">
        <f t="shared" si="0"/>
        <v>87.338999999999999</v>
      </c>
      <c r="E34" s="6">
        <f t="shared" si="0"/>
        <v>93.571999999999989</v>
      </c>
      <c r="F34" s="6">
        <f t="shared" si="0"/>
        <v>101.50399999999998</v>
      </c>
      <c r="G34" s="6">
        <f t="shared" si="0"/>
        <v>95.091999999999985</v>
      </c>
      <c r="H34" s="6">
        <f t="shared" si="0"/>
        <v>94.252999999999986</v>
      </c>
      <c r="I34" s="6">
        <f t="shared" si="0"/>
        <v>89.787999999999997</v>
      </c>
    </row>
    <row r="35" spans="1:14">
      <c r="C35" s="61"/>
    </row>
    <row r="36" spans="1:14" ht="15">
      <c r="A36" s="96"/>
      <c r="B36" s="28" t="s">
        <v>468</v>
      </c>
      <c r="C36" s="15"/>
      <c r="D36" s="29"/>
      <c r="E36" s="29"/>
      <c r="F36" s="29"/>
      <c r="G36" s="29"/>
      <c r="H36" s="29"/>
      <c r="I36" s="29"/>
      <c r="J36" s="29"/>
      <c r="K36" s="28"/>
      <c r="L36" s="30"/>
      <c r="M36" s="36"/>
      <c r="N36" s="36"/>
    </row>
    <row r="37" spans="1:14" s="7" customFormat="1">
      <c r="A37" s="164" t="s">
        <v>337</v>
      </c>
      <c r="B37" s="159" t="s">
        <v>152</v>
      </c>
      <c r="C37" s="237">
        <v>0.57399999999999995</v>
      </c>
      <c r="D37" s="237">
        <v>0.54</v>
      </c>
      <c r="E37" s="237">
        <v>1.024</v>
      </c>
      <c r="F37" s="237">
        <v>0</v>
      </c>
      <c r="G37" s="237">
        <v>0</v>
      </c>
      <c r="H37" s="237">
        <v>0</v>
      </c>
      <c r="I37" s="237">
        <v>0</v>
      </c>
      <c r="J37" s="152">
        <v>0.3</v>
      </c>
    </row>
    <row r="38" spans="1:14" s="7" customFormat="1">
      <c r="A38" s="164" t="s">
        <v>154</v>
      </c>
      <c r="B38" s="159" t="s">
        <v>153</v>
      </c>
      <c r="C38" s="237">
        <v>0.57399999999999995</v>
      </c>
      <c r="D38" s="237">
        <v>0.54</v>
      </c>
      <c r="E38" s="237">
        <v>1.024</v>
      </c>
      <c r="F38" s="237">
        <v>0</v>
      </c>
      <c r="G38" s="237">
        <v>0</v>
      </c>
      <c r="H38" s="237">
        <v>0</v>
      </c>
      <c r="I38" s="237">
        <v>0</v>
      </c>
      <c r="J38" s="152">
        <v>0.6</v>
      </c>
    </row>
    <row r="39" spans="1:14" s="7" customFormat="1">
      <c r="A39" s="164" t="s">
        <v>338</v>
      </c>
      <c r="B39" s="159" t="s">
        <v>339</v>
      </c>
      <c r="C39" s="237">
        <v>0.05</v>
      </c>
      <c r="D39" s="237">
        <v>0</v>
      </c>
      <c r="E39" s="237">
        <v>0</v>
      </c>
      <c r="F39" s="237">
        <v>0</v>
      </c>
      <c r="G39" s="237">
        <v>0</v>
      </c>
      <c r="H39" s="237">
        <v>0</v>
      </c>
      <c r="I39" s="237">
        <v>0</v>
      </c>
      <c r="J39" s="152">
        <v>0</v>
      </c>
    </row>
    <row r="40" spans="1:14" s="7" customFormat="1">
      <c r="A40" s="164" t="s">
        <v>340</v>
      </c>
      <c r="B40" s="159" t="str">
        <f>[1]format!$B$96</f>
        <v>Opdrachten KDC</v>
      </c>
      <c r="C40" s="237">
        <v>0.64400000000000002</v>
      </c>
      <c r="D40" s="237">
        <v>0.71299999999999997</v>
      </c>
      <c r="E40" s="237">
        <v>0.7</v>
      </c>
      <c r="F40" s="237">
        <v>0.7</v>
      </c>
      <c r="G40" s="237">
        <v>0.7</v>
      </c>
      <c r="H40" s="237">
        <v>0.7</v>
      </c>
      <c r="I40" s="237">
        <v>0.7</v>
      </c>
      <c r="J40" s="152">
        <v>4.5999999999999996</v>
      </c>
      <c r="K40" s="7" t="s">
        <v>135</v>
      </c>
    </row>
    <row r="41" spans="1:14" s="7" customFormat="1">
      <c r="A41" s="164" t="s">
        <v>340</v>
      </c>
      <c r="B41" s="159" t="str">
        <f>[1]format!$B$98</f>
        <v>KLM Corporate Biofuel Programme</v>
      </c>
      <c r="C41" s="237">
        <v>0.2</v>
      </c>
      <c r="D41" s="237">
        <v>0.2</v>
      </c>
      <c r="E41" s="237">
        <v>0.2</v>
      </c>
      <c r="F41" s="237">
        <v>0</v>
      </c>
      <c r="G41" s="237">
        <v>0</v>
      </c>
      <c r="H41" s="237">
        <v>0</v>
      </c>
      <c r="I41" s="237">
        <v>0</v>
      </c>
      <c r="J41" s="152">
        <v>1.3</v>
      </c>
      <c r="K41" s="7" t="s">
        <v>342</v>
      </c>
    </row>
    <row r="42" spans="1:14" s="7" customFormat="1">
      <c r="A42" s="164" t="s">
        <v>341</v>
      </c>
      <c r="B42" s="159" t="str">
        <f>[1]format!$B$100</f>
        <v>topsector logistiek - opdrachten</v>
      </c>
      <c r="C42" s="237">
        <v>11.954000000000001</v>
      </c>
      <c r="D42" s="237">
        <v>15.323</v>
      </c>
      <c r="E42" s="237">
        <v>7.7050000000000001</v>
      </c>
      <c r="F42" s="237">
        <v>6.3719999999999999</v>
      </c>
      <c r="G42" s="237">
        <v>5.8339999999999996</v>
      </c>
      <c r="H42" s="237">
        <v>0</v>
      </c>
      <c r="I42" s="237">
        <v>0</v>
      </c>
      <c r="J42" s="152">
        <v>30.3</v>
      </c>
      <c r="K42" s="7" t="s">
        <v>343</v>
      </c>
      <c r="L42" s="7" t="s">
        <v>346</v>
      </c>
    </row>
    <row r="43" spans="1:14" s="7" customFormat="1">
      <c r="A43" s="164" t="s">
        <v>341</v>
      </c>
      <c r="B43" s="159" t="str">
        <f>[1]format!$B$102</f>
        <v>topsector logistiek - subsidies</v>
      </c>
      <c r="C43" s="237">
        <v>5.1020000000000003</v>
      </c>
      <c r="D43" s="237">
        <v>7.7750000000000004</v>
      </c>
      <c r="E43" s="237">
        <v>4.944</v>
      </c>
      <c r="F43" s="237">
        <v>3.177</v>
      </c>
      <c r="G43" s="237">
        <v>0.71799999999999997</v>
      </c>
      <c r="H43" s="237">
        <v>0</v>
      </c>
      <c r="I43" s="237">
        <v>0</v>
      </c>
      <c r="J43" s="152">
        <v>19.5</v>
      </c>
      <c r="K43" s="7" t="s">
        <v>344</v>
      </c>
      <c r="L43" s="7" t="s">
        <v>346</v>
      </c>
    </row>
    <row r="44" spans="1:14" s="7" customFormat="1">
      <c r="A44" s="164" t="s">
        <v>341</v>
      </c>
      <c r="B44" s="159" t="str">
        <f>[1]format!$B$104</f>
        <v>subsidieregeling innovaties duurzame binnenvaart</v>
      </c>
      <c r="C44" s="237">
        <v>0.47899999999999998</v>
      </c>
      <c r="D44" s="237">
        <v>0.25</v>
      </c>
      <c r="E44" s="237">
        <v>0.28999999999999998</v>
      </c>
      <c r="F44" s="237">
        <v>0.25</v>
      </c>
      <c r="G44" s="237">
        <v>0.25</v>
      </c>
      <c r="H44" s="237">
        <v>0.25</v>
      </c>
      <c r="I44" s="237">
        <v>0.25</v>
      </c>
      <c r="J44" s="152">
        <v>1.1000000000000001</v>
      </c>
      <c r="K44" s="7" t="s">
        <v>345</v>
      </c>
      <c r="L44" s="7" t="s">
        <v>206</v>
      </c>
    </row>
    <row r="45" spans="1:14" s="7" customFormat="1">
      <c r="A45" s="164" t="s">
        <v>470</v>
      </c>
      <c r="B45" s="159" t="s">
        <v>471</v>
      </c>
      <c r="C45" s="237">
        <v>0</v>
      </c>
      <c r="D45" s="237">
        <v>14.917999999999999</v>
      </c>
      <c r="E45" s="237">
        <v>5.8460000000000001</v>
      </c>
      <c r="F45" s="237">
        <v>4.8369999999999997</v>
      </c>
      <c r="G45" s="237">
        <v>4.5350000000000001</v>
      </c>
      <c r="H45" s="237">
        <v>0</v>
      </c>
      <c r="I45" s="237">
        <v>0</v>
      </c>
      <c r="J45" s="152">
        <v>28.4</v>
      </c>
      <c r="K45" s="7" t="s">
        <v>473</v>
      </c>
      <c r="L45" s="7" t="s">
        <v>474</v>
      </c>
    </row>
    <row r="46" spans="1:14" s="7" customFormat="1">
      <c r="A46" s="164" t="s">
        <v>470</v>
      </c>
      <c r="B46" s="159" t="s">
        <v>472</v>
      </c>
      <c r="C46" s="237">
        <v>0</v>
      </c>
      <c r="D46" s="237">
        <v>1.5</v>
      </c>
      <c r="E46" s="237">
        <v>1.5</v>
      </c>
      <c r="F46" s="237">
        <v>1.5</v>
      </c>
      <c r="G46" s="237">
        <v>1.5</v>
      </c>
      <c r="H46" s="237">
        <v>0</v>
      </c>
      <c r="I46" s="237">
        <v>0</v>
      </c>
      <c r="J46" s="152">
        <v>7.3</v>
      </c>
      <c r="L46" s="7" t="s">
        <v>474</v>
      </c>
    </row>
    <row r="47" spans="1:14" s="82" customFormat="1" ht="15">
      <c r="A47" s="135"/>
      <c r="B47" s="82" t="s">
        <v>469</v>
      </c>
      <c r="C47" s="132">
        <f>SUM(C37:C46)</f>
        <v>19.576999999999998</v>
      </c>
      <c r="D47" s="132">
        <f>SUM(D37:D46)</f>
        <v>41.759</v>
      </c>
      <c r="E47" s="132">
        <f>SUM(E37:E45)</f>
        <v>21.733000000000001</v>
      </c>
      <c r="F47" s="132">
        <f>SUM(F37:F45)</f>
        <v>15.336</v>
      </c>
      <c r="G47" s="132">
        <f>SUM(G37:G45)</f>
        <v>12.036999999999999</v>
      </c>
      <c r="H47" s="132">
        <f>SUM(H37:H45)</f>
        <v>0.95</v>
      </c>
      <c r="I47" s="132">
        <f>SUM(I37:I45)</f>
        <v>0.95</v>
      </c>
    </row>
    <row r="48" spans="1:14">
      <c r="C48" s="58"/>
      <c r="D48" s="1"/>
      <c r="E48" s="1"/>
      <c r="F48" s="1"/>
      <c r="G48" s="1"/>
      <c r="H48" s="1"/>
      <c r="I48" s="1"/>
    </row>
    <row r="49" spans="1:12" ht="15">
      <c r="A49" s="97"/>
      <c r="B49" s="15" t="s">
        <v>607</v>
      </c>
      <c r="C49" s="17"/>
      <c r="D49" s="17"/>
      <c r="E49" s="17"/>
      <c r="F49" s="17"/>
      <c r="G49" s="17"/>
      <c r="H49" s="17"/>
      <c r="I49" s="17"/>
      <c r="J49" s="17"/>
      <c r="K49" s="17"/>
      <c r="L49" s="17"/>
    </row>
    <row r="50" spans="1:12" s="7" customFormat="1">
      <c r="A50" s="159" t="s">
        <v>39</v>
      </c>
      <c r="B50" s="159" t="s">
        <v>285</v>
      </c>
      <c r="C50" s="66">
        <v>1.897</v>
      </c>
      <c r="D50" s="66">
        <v>2.944</v>
      </c>
      <c r="E50" s="66">
        <v>2.9489999999999998</v>
      </c>
      <c r="F50" s="66">
        <v>2.8620000000000001</v>
      </c>
      <c r="G50" s="66">
        <v>2.9089999999999998</v>
      </c>
      <c r="H50" s="66">
        <v>2.9089999999999998</v>
      </c>
      <c r="I50" s="66">
        <v>2.9089999999999998</v>
      </c>
      <c r="J50" s="7">
        <v>10</v>
      </c>
      <c r="K50" s="7" t="s">
        <v>15</v>
      </c>
    </row>
    <row r="51" spans="1:12" s="7" customFormat="1">
      <c r="A51" s="159" t="s">
        <v>16</v>
      </c>
      <c r="B51" s="159" t="s">
        <v>495</v>
      </c>
      <c r="C51" s="66">
        <v>0.59799999999999998</v>
      </c>
      <c r="D51" s="66">
        <v>0.69699999999999995</v>
      </c>
      <c r="E51" s="66">
        <v>0</v>
      </c>
      <c r="F51" s="66">
        <v>0</v>
      </c>
      <c r="G51" s="66">
        <v>0</v>
      </c>
      <c r="H51" s="66">
        <v>0</v>
      </c>
      <c r="I51" s="66">
        <v>0</v>
      </c>
      <c r="J51" s="7">
        <v>20</v>
      </c>
      <c r="K51" s="7" t="s">
        <v>12</v>
      </c>
    </row>
    <row r="52" spans="1:12" s="7" customFormat="1">
      <c r="A52" s="159" t="s">
        <v>21</v>
      </c>
      <c r="B52" s="159" t="s">
        <v>347</v>
      </c>
      <c r="C52" s="66">
        <v>0.22</v>
      </c>
      <c r="D52" s="66">
        <v>0.19400000000000001</v>
      </c>
      <c r="E52" s="66">
        <v>0</v>
      </c>
      <c r="F52" s="66">
        <v>0</v>
      </c>
      <c r="G52" s="66">
        <v>0</v>
      </c>
      <c r="H52" s="66">
        <v>0</v>
      </c>
      <c r="I52" s="66">
        <v>0</v>
      </c>
      <c r="J52" s="70">
        <v>80</v>
      </c>
      <c r="K52" s="7" t="s">
        <v>24</v>
      </c>
    </row>
    <row r="53" spans="1:12" s="7" customFormat="1">
      <c r="A53" s="159" t="s">
        <v>293</v>
      </c>
      <c r="B53" s="159" t="s">
        <v>348</v>
      </c>
      <c r="C53" s="66">
        <v>0.63700000000000001</v>
      </c>
      <c r="D53" s="66">
        <v>0</v>
      </c>
      <c r="E53" s="66">
        <v>0</v>
      </c>
      <c r="F53" s="66">
        <v>0</v>
      </c>
      <c r="G53" s="66">
        <v>0</v>
      </c>
      <c r="H53" s="66">
        <v>0</v>
      </c>
      <c r="I53" s="66">
        <v>0</v>
      </c>
      <c r="J53" s="7">
        <v>100</v>
      </c>
      <c r="K53" s="7" t="s">
        <v>12</v>
      </c>
    </row>
    <row r="54" spans="1:12" s="7" customFormat="1">
      <c r="A54" s="159" t="s">
        <v>293</v>
      </c>
      <c r="B54" s="159" t="s">
        <v>520</v>
      </c>
      <c r="C54" s="66">
        <v>6.4630000000000001</v>
      </c>
      <c r="D54" s="66">
        <v>7.0060000000000002</v>
      </c>
      <c r="E54" s="66">
        <v>7.8940000000000001</v>
      </c>
      <c r="F54" s="66">
        <v>6.88</v>
      </c>
      <c r="G54" s="66">
        <v>7.4130000000000003</v>
      </c>
      <c r="H54" s="66">
        <v>7.4130000000000003</v>
      </c>
      <c r="I54" s="66">
        <v>7.4130000000000003</v>
      </c>
      <c r="J54" s="7">
        <v>40</v>
      </c>
      <c r="K54" s="7" t="s">
        <v>25</v>
      </c>
    </row>
    <row r="55" spans="1:12" s="7" customFormat="1">
      <c r="A55" s="159" t="s">
        <v>41</v>
      </c>
      <c r="B55" s="159" t="s">
        <v>294</v>
      </c>
      <c r="C55" s="66">
        <v>24.843</v>
      </c>
      <c r="D55" s="66">
        <v>19.425999999999998</v>
      </c>
      <c r="E55" s="66">
        <v>21.895</v>
      </c>
      <c r="F55" s="66">
        <v>21.895</v>
      </c>
      <c r="G55" s="66">
        <v>21.895</v>
      </c>
      <c r="H55" s="66">
        <v>21.895</v>
      </c>
      <c r="I55" s="66">
        <v>21.895</v>
      </c>
      <c r="J55" s="7">
        <v>19</v>
      </c>
      <c r="K55" s="7" t="s">
        <v>9</v>
      </c>
    </row>
    <row r="56" spans="1:12" s="7" customFormat="1">
      <c r="A56" s="159" t="s">
        <v>282</v>
      </c>
      <c r="B56" s="159" t="s">
        <v>283</v>
      </c>
      <c r="C56" s="66">
        <v>6.1559999999999997</v>
      </c>
      <c r="D56" s="66">
        <v>16.486000000000001</v>
      </c>
      <c r="E56" s="66">
        <v>12.548999999999999</v>
      </c>
      <c r="F56" s="66">
        <v>10.95</v>
      </c>
      <c r="G56" s="66">
        <v>9.6539999999999999</v>
      </c>
      <c r="H56" s="66">
        <v>10.271000000000001</v>
      </c>
      <c r="I56" s="66">
        <v>10.270799999999999</v>
      </c>
      <c r="J56" s="7">
        <v>40</v>
      </c>
      <c r="K56" s="7" t="s">
        <v>12</v>
      </c>
    </row>
    <row r="57" spans="1:12" s="7" customFormat="1">
      <c r="A57" s="159" t="s">
        <v>282</v>
      </c>
      <c r="B57" s="159" t="s">
        <v>258</v>
      </c>
      <c r="C57" s="66">
        <v>0.23499999999999999</v>
      </c>
      <c r="D57" s="66">
        <v>0</v>
      </c>
      <c r="E57" s="66">
        <v>0</v>
      </c>
      <c r="F57" s="66">
        <v>0</v>
      </c>
      <c r="G57" s="66">
        <v>0</v>
      </c>
      <c r="H57" s="66">
        <v>0</v>
      </c>
      <c r="I57" s="66">
        <v>0</v>
      </c>
      <c r="J57" s="7">
        <v>5</v>
      </c>
      <c r="K57" s="7" t="s">
        <v>25</v>
      </c>
    </row>
    <row r="58" spans="1:12" s="7" customFormat="1">
      <c r="A58" s="159"/>
      <c r="B58" s="159"/>
      <c r="C58" s="66"/>
      <c r="D58" s="66"/>
      <c r="E58" s="66"/>
      <c r="F58" s="66"/>
      <c r="G58" s="66"/>
      <c r="H58" s="66"/>
      <c r="I58" s="66"/>
    </row>
    <row r="59" spans="1:12" s="7" customFormat="1">
      <c r="A59" s="159" t="s">
        <v>40</v>
      </c>
      <c r="B59" s="159" t="s">
        <v>284</v>
      </c>
      <c r="C59" s="66">
        <v>3.3079999999999998</v>
      </c>
      <c r="D59" s="66">
        <v>9.6010000000000009</v>
      </c>
      <c r="E59" s="66">
        <v>8.0589999999999993</v>
      </c>
      <c r="F59" s="66">
        <v>9.3010000000000002</v>
      </c>
      <c r="G59" s="66">
        <v>9.2620000000000005</v>
      </c>
      <c r="H59" s="66">
        <v>9.5429999999999993</v>
      </c>
      <c r="I59" s="66">
        <v>5.843</v>
      </c>
      <c r="J59" s="7">
        <v>20</v>
      </c>
      <c r="K59" s="7" t="s">
        <v>12</v>
      </c>
    </row>
    <row r="60" spans="1:12" s="7" customFormat="1">
      <c r="A60" s="159" t="s">
        <v>40</v>
      </c>
      <c r="B60" s="159" t="s">
        <v>404</v>
      </c>
      <c r="C60" s="66">
        <v>0</v>
      </c>
      <c r="D60" s="66">
        <v>3.5400000000000001E-2</v>
      </c>
      <c r="E60" s="66">
        <v>0.43540000000000001</v>
      </c>
      <c r="F60" s="66">
        <v>1.2354000000000001</v>
      </c>
      <c r="G60" s="66">
        <v>2.2353999999999998</v>
      </c>
      <c r="H60" s="66">
        <v>1.8333999999999999</v>
      </c>
      <c r="I60" s="66">
        <v>4.6269999999999998</v>
      </c>
      <c r="J60" s="7">
        <v>20</v>
      </c>
      <c r="K60" s="7" t="s">
        <v>12</v>
      </c>
    </row>
    <row r="61" spans="1:12" s="7" customFormat="1">
      <c r="A61" s="159"/>
      <c r="B61" s="154" t="s">
        <v>526</v>
      </c>
      <c r="C61" s="66">
        <v>0</v>
      </c>
      <c r="D61" s="66">
        <v>3.4</v>
      </c>
      <c r="E61" s="66">
        <v>3.4</v>
      </c>
      <c r="F61" s="66">
        <v>3.4</v>
      </c>
      <c r="G61" s="66">
        <v>3.4</v>
      </c>
      <c r="H61" s="66">
        <v>3.4</v>
      </c>
      <c r="I61" s="66">
        <v>0</v>
      </c>
      <c r="J61" s="7">
        <v>34</v>
      </c>
      <c r="K61" s="7" t="s">
        <v>12</v>
      </c>
    </row>
    <row r="62" spans="1:12" s="7" customFormat="1">
      <c r="A62" s="159"/>
      <c r="B62" s="154" t="s">
        <v>527</v>
      </c>
      <c r="C62" s="66">
        <v>0</v>
      </c>
      <c r="D62" s="66">
        <v>0.34</v>
      </c>
      <c r="E62" s="66">
        <v>0.85</v>
      </c>
      <c r="F62" s="66">
        <v>0.85</v>
      </c>
      <c r="G62" s="66">
        <v>0.68</v>
      </c>
      <c r="H62" s="66">
        <v>0.68</v>
      </c>
      <c r="I62" s="66">
        <v>0</v>
      </c>
      <c r="J62" s="7">
        <v>34</v>
      </c>
      <c r="K62" s="7" t="s">
        <v>12</v>
      </c>
    </row>
    <row r="63" spans="1:12" s="7" customFormat="1">
      <c r="A63" s="159"/>
      <c r="B63" s="154"/>
      <c r="C63" s="66"/>
      <c r="D63" s="66"/>
      <c r="E63" s="66"/>
      <c r="F63" s="66"/>
      <c r="G63" s="66"/>
      <c r="H63" s="66"/>
      <c r="I63" s="66"/>
    </row>
    <row r="64" spans="1:12" s="7" customFormat="1">
      <c r="A64" s="159" t="s">
        <v>13</v>
      </c>
      <c r="B64" s="159" t="s">
        <v>286</v>
      </c>
      <c r="C64" s="66">
        <v>5.2</v>
      </c>
      <c r="D64" s="66">
        <v>7.2</v>
      </c>
      <c r="E64" s="66">
        <v>6.1580000000000004</v>
      </c>
      <c r="F64" s="66">
        <v>4.21</v>
      </c>
      <c r="G64" s="66">
        <v>5.0270000000000001</v>
      </c>
      <c r="H64" s="66">
        <v>5.1980000000000004</v>
      </c>
      <c r="I64" s="66">
        <v>7.9180000000000001</v>
      </c>
      <c r="J64" s="7">
        <v>20</v>
      </c>
      <c r="K64" s="7" t="s">
        <v>12</v>
      </c>
    </row>
    <row r="65" spans="1:14" s="7" customFormat="1">
      <c r="A65" s="159" t="s">
        <v>385</v>
      </c>
      <c r="B65" s="159" t="s">
        <v>528</v>
      </c>
      <c r="C65" s="66">
        <v>2.9780000000000002</v>
      </c>
      <c r="D65" s="66">
        <v>3.6989999999999998</v>
      </c>
      <c r="E65" s="66">
        <v>5.5140000000000002</v>
      </c>
      <c r="F65" s="66">
        <v>5.8019999999999996</v>
      </c>
      <c r="G65" s="66">
        <v>5.8019999999999996</v>
      </c>
      <c r="H65" s="66">
        <v>5.8019999999999996</v>
      </c>
      <c r="I65" s="66">
        <v>5.8019999999999996</v>
      </c>
      <c r="J65" s="7">
        <v>50</v>
      </c>
      <c r="K65" s="7" t="s">
        <v>12</v>
      </c>
      <c r="M65" s="126"/>
    </row>
    <row r="66" spans="1:14" s="7" customFormat="1">
      <c r="A66" s="159" t="s">
        <v>530</v>
      </c>
      <c r="B66" s="159" t="s">
        <v>529</v>
      </c>
      <c r="C66" s="66">
        <v>2.2999999999999998</v>
      </c>
      <c r="D66" s="66">
        <v>2.5659999999999998</v>
      </c>
      <c r="E66" s="66">
        <v>2.827</v>
      </c>
      <c r="F66" s="66">
        <v>2.82</v>
      </c>
      <c r="G66" s="66">
        <v>2.87</v>
      </c>
      <c r="H66" s="66">
        <v>3.0179999999999998</v>
      </c>
      <c r="I66" s="66">
        <v>2.2679999999999998</v>
      </c>
      <c r="J66" s="7">
        <v>50</v>
      </c>
      <c r="K66" s="7" t="s">
        <v>12</v>
      </c>
      <c r="M66" s="126"/>
    </row>
    <row r="67" spans="1:14" s="7" customFormat="1">
      <c r="A67" s="159" t="s">
        <v>530</v>
      </c>
      <c r="B67" s="159" t="s">
        <v>531</v>
      </c>
      <c r="C67" s="66">
        <v>0</v>
      </c>
      <c r="D67" s="66">
        <v>0.4</v>
      </c>
      <c r="E67" s="66">
        <v>0.4</v>
      </c>
      <c r="F67" s="66">
        <v>0.4</v>
      </c>
      <c r="G67" s="66">
        <v>0.4</v>
      </c>
      <c r="H67" s="66">
        <v>0.4</v>
      </c>
      <c r="I67" s="66">
        <v>0</v>
      </c>
      <c r="J67" s="7">
        <v>50</v>
      </c>
      <c r="K67" s="7" t="s">
        <v>12</v>
      </c>
      <c r="M67" s="126"/>
    </row>
    <row r="68" spans="1:14" s="7" customFormat="1">
      <c r="A68" s="159" t="s">
        <v>349</v>
      </c>
      <c r="B68" s="159" t="s">
        <v>350</v>
      </c>
      <c r="C68" s="66">
        <v>15.144</v>
      </c>
      <c r="D68" s="66">
        <v>19.321999999999999</v>
      </c>
      <c r="E68" s="66">
        <v>4.5</v>
      </c>
      <c r="F68" s="66">
        <v>0</v>
      </c>
      <c r="G68" s="66">
        <v>0</v>
      </c>
      <c r="H68" s="66">
        <v>0</v>
      </c>
      <c r="I68" s="66">
        <v>0</v>
      </c>
      <c r="J68" s="7">
        <v>100</v>
      </c>
      <c r="K68" s="7" t="s">
        <v>12</v>
      </c>
      <c r="M68" s="126"/>
    </row>
    <row r="69" spans="1:14" s="7" customFormat="1">
      <c r="A69" s="159"/>
      <c r="B69" s="159"/>
      <c r="C69" s="66"/>
      <c r="D69" s="66"/>
      <c r="E69" s="66"/>
      <c r="F69" s="66"/>
      <c r="G69" s="66"/>
      <c r="H69" s="66"/>
      <c r="I69" s="66"/>
      <c r="M69" s="126"/>
    </row>
    <row r="70" spans="1:14" s="7" customFormat="1">
      <c r="A70" s="126" t="s">
        <v>387</v>
      </c>
      <c r="B70" s="7" t="s">
        <v>534</v>
      </c>
      <c r="C70" s="66">
        <v>29.186</v>
      </c>
      <c r="D70" s="66">
        <v>24.815999999999999</v>
      </c>
      <c r="E70" s="66">
        <v>20.077999999999999</v>
      </c>
      <c r="F70" s="66">
        <v>23.617999999999999</v>
      </c>
      <c r="G70" s="66">
        <v>23.617999999999999</v>
      </c>
      <c r="H70" s="66">
        <v>23.617999999999999</v>
      </c>
      <c r="I70" s="66">
        <v>23.617999999999999</v>
      </c>
      <c r="J70" s="7">
        <v>75</v>
      </c>
      <c r="K70" s="7" t="s">
        <v>12</v>
      </c>
      <c r="M70" s="126"/>
    </row>
    <row r="71" spans="1:14" s="7" customFormat="1">
      <c r="A71" s="126" t="s">
        <v>387</v>
      </c>
      <c r="B71" s="7" t="s">
        <v>535</v>
      </c>
      <c r="C71" s="66">
        <v>23.623000000000001</v>
      </c>
      <c r="D71" s="66">
        <v>36.450000000000003</v>
      </c>
      <c r="E71" s="66">
        <v>36.24</v>
      </c>
      <c r="F71" s="66">
        <v>37.5</v>
      </c>
      <c r="G71" s="66">
        <v>37.5</v>
      </c>
      <c r="H71" s="66">
        <v>13.125</v>
      </c>
      <c r="I71" s="66">
        <v>3.75</v>
      </c>
      <c r="J71" s="7">
        <v>75</v>
      </c>
      <c r="K71" s="7" t="s">
        <v>12</v>
      </c>
      <c r="M71" s="126"/>
    </row>
    <row r="72" spans="1:14" s="7" customFormat="1">
      <c r="A72" s="126" t="s">
        <v>387</v>
      </c>
      <c r="B72" s="7" t="s">
        <v>536</v>
      </c>
      <c r="C72" s="66">
        <v>13.53</v>
      </c>
      <c r="D72" s="66">
        <v>20.125</v>
      </c>
      <c r="E72" s="66">
        <v>33.6</v>
      </c>
      <c r="F72" s="66">
        <v>35.700000000000003</v>
      </c>
      <c r="G72" s="66">
        <v>36.4</v>
      </c>
      <c r="H72" s="66">
        <v>33.6</v>
      </c>
      <c r="I72" s="66">
        <v>34.299999999999997</v>
      </c>
      <c r="J72" s="7">
        <v>70</v>
      </c>
      <c r="K72" s="7" t="s">
        <v>12</v>
      </c>
      <c r="M72" s="126"/>
    </row>
    <row r="73" spans="1:14" s="7" customFormat="1">
      <c r="A73" s="126" t="s">
        <v>387</v>
      </c>
      <c r="B73" s="7" t="s">
        <v>537</v>
      </c>
      <c r="C73" s="66">
        <v>0</v>
      </c>
      <c r="D73" s="66">
        <v>0.17499999999999999</v>
      </c>
      <c r="E73" s="66">
        <v>0.7</v>
      </c>
      <c r="F73" s="66">
        <v>0.7</v>
      </c>
      <c r="G73" s="66">
        <v>0.7</v>
      </c>
      <c r="H73" s="66">
        <v>0.7</v>
      </c>
      <c r="I73" s="66">
        <v>0</v>
      </c>
      <c r="J73" s="7">
        <v>70</v>
      </c>
      <c r="K73" s="7" t="s">
        <v>12</v>
      </c>
      <c r="M73" s="126"/>
    </row>
    <row r="74" spans="1:14" s="7" customFormat="1">
      <c r="A74" s="126" t="s">
        <v>387</v>
      </c>
      <c r="B74" s="7" t="s">
        <v>538</v>
      </c>
      <c r="C74" s="66">
        <v>3.1819999999999999</v>
      </c>
      <c r="D74" s="66">
        <v>2.1509999999999998</v>
      </c>
      <c r="E74" s="66">
        <v>1.776</v>
      </c>
      <c r="F74" s="66">
        <v>1.776</v>
      </c>
      <c r="G74" s="66">
        <v>1.776</v>
      </c>
      <c r="H74" s="66">
        <v>1.776</v>
      </c>
      <c r="I74" s="66">
        <v>1.776</v>
      </c>
      <c r="J74" s="7">
        <v>75</v>
      </c>
      <c r="K74" s="7" t="s">
        <v>12</v>
      </c>
      <c r="M74" s="126"/>
    </row>
    <row r="75" spans="1:14" s="166" customFormat="1">
      <c r="A75" s="126" t="s">
        <v>387</v>
      </c>
      <c r="B75" s="7" t="s">
        <v>539</v>
      </c>
      <c r="C75" s="66">
        <v>0.52500000000000002</v>
      </c>
      <c r="D75" s="66">
        <v>0.113</v>
      </c>
      <c r="E75" s="66">
        <v>0</v>
      </c>
      <c r="F75" s="66">
        <v>0</v>
      </c>
      <c r="G75" s="66">
        <v>0</v>
      </c>
      <c r="H75" s="66">
        <v>0</v>
      </c>
      <c r="I75" s="66">
        <v>0</v>
      </c>
      <c r="J75" s="7">
        <v>75</v>
      </c>
      <c r="K75" s="7" t="s">
        <v>12</v>
      </c>
      <c r="L75" s="7"/>
      <c r="M75" s="126"/>
      <c r="N75" s="7"/>
    </row>
    <row r="76" spans="1:14" s="166" customFormat="1">
      <c r="A76" s="126" t="s">
        <v>387</v>
      </c>
      <c r="B76" s="7" t="s">
        <v>540</v>
      </c>
      <c r="C76" s="66">
        <v>3.5999999999999997E-2</v>
      </c>
      <c r="D76" s="66">
        <v>0</v>
      </c>
      <c r="E76" s="66">
        <v>0</v>
      </c>
      <c r="F76" s="66">
        <v>0</v>
      </c>
      <c r="G76" s="66">
        <v>0</v>
      </c>
      <c r="H76" s="66">
        <v>0</v>
      </c>
      <c r="I76" s="66">
        <v>0</v>
      </c>
      <c r="J76" s="7">
        <v>75</v>
      </c>
      <c r="K76" s="7" t="s">
        <v>12</v>
      </c>
      <c r="L76" s="7"/>
    </row>
    <row r="77" spans="1:14" s="7" customFormat="1">
      <c r="A77" s="126" t="s">
        <v>387</v>
      </c>
      <c r="B77" s="7" t="s">
        <v>541</v>
      </c>
      <c r="C77" s="66">
        <v>2.2749999999999999</v>
      </c>
      <c r="D77" s="66">
        <v>0</v>
      </c>
      <c r="E77" s="66">
        <v>0</v>
      </c>
      <c r="F77" s="66">
        <v>0</v>
      </c>
      <c r="G77" s="66">
        <v>0</v>
      </c>
      <c r="H77" s="66">
        <v>0</v>
      </c>
      <c r="I77" s="66">
        <v>0</v>
      </c>
      <c r="J77" s="7">
        <v>75</v>
      </c>
      <c r="K77" s="7" t="s">
        <v>12</v>
      </c>
    </row>
    <row r="78" spans="1:14" s="7" customFormat="1">
      <c r="A78" s="126" t="s">
        <v>387</v>
      </c>
      <c r="B78" s="7" t="s">
        <v>542</v>
      </c>
      <c r="C78" s="66">
        <v>0.65500000000000003</v>
      </c>
      <c r="D78" s="66">
        <v>0</v>
      </c>
      <c r="E78" s="66">
        <v>0</v>
      </c>
      <c r="F78" s="66">
        <v>0</v>
      </c>
      <c r="G78" s="66">
        <v>0</v>
      </c>
      <c r="H78" s="66">
        <v>0</v>
      </c>
      <c r="I78" s="66">
        <v>0</v>
      </c>
      <c r="J78" s="7">
        <v>75</v>
      </c>
      <c r="K78" s="7" t="s">
        <v>12</v>
      </c>
    </row>
    <row r="79" spans="1:14" s="170" customFormat="1">
      <c r="A79" s="126" t="s">
        <v>387</v>
      </c>
      <c r="B79" s="7" t="s">
        <v>543</v>
      </c>
      <c r="C79" s="66">
        <v>5.4169999999999998</v>
      </c>
      <c r="D79" s="66">
        <v>0</v>
      </c>
      <c r="E79" s="66">
        <v>0</v>
      </c>
      <c r="F79" s="66">
        <v>0</v>
      </c>
      <c r="G79" s="66">
        <v>0</v>
      </c>
      <c r="H79" s="66">
        <v>0</v>
      </c>
      <c r="I79" s="66">
        <v>0</v>
      </c>
      <c r="J79" s="7">
        <v>75</v>
      </c>
      <c r="K79" s="7" t="s">
        <v>12</v>
      </c>
      <c r="L79" s="166"/>
    </row>
    <row r="80" spans="1:14">
      <c r="A80" s="126" t="s">
        <v>387</v>
      </c>
      <c r="B80" s="7" t="s">
        <v>544</v>
      </c>
      <c r="C80" s="66">
        <v>0.66</v>
      </c>
      <c r="D80" s="66">
        <v>0</v>
      </c>
      <c r="E80" s="66">
        <v>0</v>
      </c>
      <c r="F80" s="66">
        <v>0</v>
      </c>
      <c r="G80" s="66">
        <v>0</v>
      </c>
      <c r="H80" s="66">
        <v>0</v>
      </c>
      <c r="I80" s="66">
        <v>0</v>
      </c>
      <c r="J80" s="7">
        <v>75</v>
      </c>
      <c r="K80" s="7" t="s">
        <v>12</v>
      </c>
      <c r="L80" s="7"/>
    </row>
    <row r="81" spans="1:12">
      <c r="A81" s="126"/>
      <c r="B81" s="7"/>
      <c r="C81" s="66"/>
      <c r="D81" s="66"/>
      <c r="E81" s="66"/>
      <c r="F81" s="66"/>
      <c r="G81" s="66"/>
      <c r="H81" s="66"/>
      <c r="I81" s="66"/>
      <c r="J81" s="7"/>
      <c r="K81" s="7"/>
      <c r="L81" s="7"/>
    </row>
    <row r="82" spans="1:12" s="7" customFormat="1">
      <c r="A82" s="165"/>
      <c r="B82" s="166" t="s">
        <v>265</v>
      </c>
      <c r="C82" s="167">
        <f t="shared" ref="C82:I82" si="1">SUM(C50:C80)</f>
        <v>149.06799999999998</v>
      </c>
      <c r="D82" s="167">
        <f t="shared" si="1"/>
        <v>177.14640000000003</v>
      </c>
      <c r="E82" s="167">
        <f t="shared" si="1"/>
        <v>169.8244</v>
      </c>
      <c r="F82" s="167">
        <f t="shared" si="1"/>
        <v>169.89940000000001</v>
      </c>
      <c r="G82" s="167">
        <f t="shared" si="1"/>
        <v>171.54140000000001</v>
      </c>
      <c r="H82" s="167">
        <f t="shared" si="1"/>
        <v>145.1814</v>
      </c>
      <c r="I82" s="167">
        <f t="shared" si="1"/>
        <v>132.38979999999998</v>
      </c>
      <c r="J82" s="166"/>
      <c r="K82" s="166"/>
      <c r="L82" s="166"/>
    </row>
    <row r="83" spans="1:12" s="3" customFormat="1" ht="15">
      <c r="A83" s="165"/>
      <c r="B83" s="166"/>
      <c r="C83" s="167"/>
      <c r="D83" s="167"/>
      <c r="E83" s="167"/>
      <c r="F83" s="167"/>
      <c r="G83" s="167"/>
      <c r="H83" s="167"/>
      <c r="I83" s="167"/>
      <c r="J83" s="166"/>
      <c r="K83" s="166"/>
      <c r="L83" s="166"/>
    </row>
    <row r="84" spans="1:12" s="2" customFormat="1" ht="15">
      <c r="A84" s="127">
        <v>16</v>
      </c>
      <c r="B84" s="127" t="s">
        <v>553</v>
      </c>
      <c r="C84" s="247">
        <v>6.7190000000000003</v>
      </c>
      <c r="D84" s="247">
        <v>0.04</v>
      </c>
      <c r="E84" s="247">
        <v>0</v>
      </c>
      <c r="F84" s="247">
        <v>0</v>
      </c>
      <c r="G84" s="247">
        <v>0</v>
      </c>
      <c r="H84" s="247">
        <v>0</v>
      </c>
      <c r="I84" s="247">
        <v>0</v>
      </c>
      <c r="J84" s="7">
        <v>100</v>
      </c>
      <c r="K84" s="7" t="s">
        <v>12</v>
      </c>
      <c r="L84" s="7"/>
    </row>
    <row r="85" spans="1:12" s="2" customFormat="1" ht="15">
      <c r="A85" s="127">
        <v>16</v>
      </c>
      <c r="B85" s="127" t="s">
        <v>554</v>
      </c>
      <c r="C85" s="247">
        <v>3.077</v>
      </c>
      <c r="D85" s="247">
        <v>2.657</v>
      </c>
      <c r="E85" s="247">
        <v>0</v>
      </c>
      <c r="F85" s="247">
        <v>0</v>
      </c>
      <c r="G85" s="247">
        <v>0</v>
      </c>
      <c r="H85" s="247">
        <v>0</v>
      </c>
      <c r="I85" s="247">
        <v>0</v>
      </c>
      <c r="J85" s="7">
        <v>100</v>
      </c>
      <c r="K85" s="7" t="s">
        <v>12</v>
      </c>
      <c r="L85" s="7"/>
    </row>
    <row r="86" spans="1:12" s="2" customFormat="1" ht="15">
      <c r="A86" s="127" t="s">
        <v>555</v>
      </c>
      <c r="B86" s="127" t="s">
        <v>557</v>
      </c>
      <c r="C86" s="247">
        <v>6.1239999999999997</v>
      </c>
      <c r="D86" s="247">
        <v>6.1</v>
      </c>
      <c r="E86" s="247">
        <v>0.4</v>
      </c>
      <c r="F86" s="247">
        <v>1.4</v>
      </c>
      <c r="G86" s="247">
        <v>5.4</v>
      </c>
      <c r="H86" s="247">
        <v>5.4</v>
      </c>
      <c r="I86" s="247">
        <v>5.4</v>
      </c>
      <c r="J86" s="7">
        <v>100</v>
      </c>
      <c r="K86" s="7" t="s">
        <v>12</v>
      </c>
      <c r="L86" s="7"/>
    </row>
    <row r="87" spans="1:12" s="2" customFormat="1" ht="15">
      <c r="A87" s="127" t="s">
        <v>555</v>
      </c>
      <c r="B87" s="127" t="s">
        <v>558</v>
      </c>
      <c r="C87" s="247">
        <v>3.5369999999999999</v>
      </c>
      <c r="D87" s="247">
        <v>4.2350000000000003</v>
      </c>
      <c r="E87" s="247">
        <v>4.5350000000000001</v>
      </c>
      <c r="F87" s="247">
        <v>5.5389999999999997</v>
      </c>
      <c r="G87" s="247">
        <v>5.5389999999999997</v>
      </c>
      <c r="H87" s="247">
        <v>5.5389999999999997</v>
      </c>
      <c r="I87" s="247">
        <v>5.5389999999999997</v>
      </c>
      <c r="J87" s="7">
        <v>100</v>
      </c>
      <c r="K87" s="7" t="s">
        <v>12</v>
      </c>
      <c r="L87" s="7"/>
    </row>
    <row r="88" spans="1:12" s="2" customFormat="1" ht="15">
      <c r="A88" s="127" t="s">
        <v>398</v>
      </c>
      <c r="B88" s="127" t="s">
        <v>556</v>
      </c>
      <c r="C88" s="247">
        <v>1.2849999999999999</v>
      </c>
      <c r="D88" s="247">
        <v>1.9670000000000001</v>
      </c>
      <c r="E88" s="247">
        <v>1.014</v>
      </c>
      <c r="F88" s="247">
        <v>1.571</v>
      </c>
      <c r="G88" s="247">
        <v>1.5860000000000001</v>
      </c>
      <c r="H88" s="247">
        <v>1.5860000000000001</v>
      </c>
      <c r="I88" s="247">
        <v>1.5860000000000001</v>
      </c>
      <c r="J88" s="7">
        <v>100</v>
      </c>
      <c r="K88" s="7" t="s">
        <v>12</v>
      </c>
      <c r="L88" s="7"/>
    </row>
    <row r="89" spans="1:12" s="7" customFormat="1">
      <c r="A89" s="168"/>
      <c r="B89" s="168" t="s">
        <v>266</v>
      </c>
      <c r="C89" s="169">
        <f>SUM(C84:C88)</f>
        <v>20.741999999999997</v>
      </c>
      <c r="D89" s="169">
        <f t="shared" ref="D89:I89" si="2">SUM(D84:D88)</f>
        <v>14.999000000000001</v>
      </c>
      <c r="E89" s="169">
        <f t="shared" si="2"/>
        <v>5.9490000000000007</v>
      </c>
      <c r="F89" s="169">
        <f t="shared" si="2"/>
        <v>8.51</v>
      </c>
      <c r="G89" s="169">
        <f t="shared" si="2"/>
        <v>12.525</v>
      </c>
      <c r="H89" s="169">
        <f t="shared" si="2"/>
        <v>12.525</v>
      </c>
      <c r="I89" s="169">
        <f t="shared" si="2"/>
        <v>12.525</v>
      </c>
      <c r="J89" s="170"/>
      <c r="K89" s="170"/>
      <c r="L89" s="170"/>
    </row>
    <row r="90" spans="1:12" s="7" customFormat="1">
      <c r="A90" s="8"/>
      <c r="B90" s="4"/>
      <c r="C90" s="4"/>
      <c r="D90" s="4"/>
      <c r="E90" s="4"/>
      <c r="F90" s="4"/>
      <c r="G90" s="4"/>
      <c r="H90" s="4"/>
      <c r="I90" s="4"/>
      <c r="J90" s="4"/>
      <c r="K90" s="4"/>
      <c r="L90" s="4"/>
    </row>
    <row r="91" spans="1:12" s="7" customFormat="1" ht="15">
      <c r="A91" s="98"/>
      <c r="B91" s="3" t="s">
        <v>608</v>
      </c>
      <c r="C91" s="19">
        <f>+C82+C89</f>
        <v>169.80999999999997</v>
      </c>
      <c r="D91" s="19">
        <f>+D82+D89</f>
        <v>192.14540000000002</v>
      </c>
      <c r="E91" s="19">
        <f t="shared" ref="E91:I91" si="3">+E82+E89</f>
        <v>175.77340000000001</v>
      </c>
      <c r="F91" s="19">
        <f t="shared" si="3"/>
        <v>178.40940000000001</v>
      </c>
      <c r="G91" s="19">
        <f t="shared" si="3"/>
        <v>184.06640000000002</v>
      </c>
      <c r="H91" s="19">
        <f t="shared" si="3"/>
        <v>157.7064</v>
      </c>
      <c r="I91" s="19">
        <f t="shared" si="3"/>
        <v>144.91479999999999</v>
      </c>
      <c r="J91" s="2"/>
      <c r="K91" s="2"/>
      <c r="L91" s="2"/>
    </row>
    <row r="92" spans="1:12" s="7" customFormat="1" ht="15">
      <c r="A92" s="98"/>
      <c r="B92" s="3"/>
      <c r="C92" s="19"/>
      <c r="D92" s="19"/>
      <c r="E92" s="19"/>
      <c r="F92" s="19"/>
      <c r="G92" s="19"/>
      <c r="H92" s="19"/>
      <c r="I92" s="19"/>
      <c r="J92" s="2"/>
      <c r="K92" s="2"/>
      <c r="L92" s="2"/>
    </row>
    <row r="93" spans="1:12" s="7" customFormat="1" ht="15">
      <c r="A93" s="97"/>
      <c r="B93" s="15" t="s">
        <v>85</v>
      </c>
      <c r="C93" s="17"/>
      <c r="D93" s="17"/>
      <c r="E93" s="17"/>
      <c r="F93" s="17"/>
      <c r="G93" s="17"/>
      <c r="H93" s="17"/>
      <c r="I93" s="17"/>
      <c r="J93" s="17"/>
      <c r="K93" s="17"/>
      <c r="L93" s="17"/>
    </row>
    <row r="94" spans="1:12" s="2" customFormat="1" ht="15">
      <c r="A94" s="127">
        <v>2</v>
      </c>
      <c r="B94" s="127" t="s">
        <v>367</v>
      </c>
      <c r="C94" s="247">
        <v>0.23599999999999999</v>
      </c>
      <c r="D94" s="247">
        <v>0.30099999999999999</v>
      </c>
      <c r="E94" s="247">
        <v>0.221</v>
      </c>
      <c r="F94" s="247">
        <v>0.217</v>
      </c>
      <c r="G94" s="247">
        <v>0.16200000000000001</v>
      </c>
      <c r="H94" s="247">
        <v>0.16400000000000001</v>
      </c>
      <c r="I94" s="247">
        <v>0.16400000000000001</v>
      </c>
      <c r="J94" s="66">
        <f>E94/6802.144*100</f>
        <v>3.2489756170995497E-3</v>
      </c>
      <c r="K94" s="7" t="s">
        <v>188</v>
      </c>
      <c r="L94" s="7"/>
    </row>
    <row r="95" spans="1:12">
      <c r="A95" s="127">
        <v>13</v>
      </c>
      <c r="B95" s="127" t="s">
        <v>366</v>
      </c>
      <c r="C95" s="247">
        <v>2.7080000000000002</v>
      </c>
      <c r="D95" s="247">
        <v>3.24</v>
      </c>
      <c r="E95" s="247">
        <v>2.4500000000000002</v>
      </c>
      <c r="F95" s="247">
        <v>2.4500000000000002</v>
      </c>
      <c r="G95" s="247">
        <v>2.4500000000000002</v>
      </c>
      <c r="H95" s="247">
        <v>2.4500000000000002</v>
      </c>
      <c r="I95" s="247">
        <v>2.4500000000000002</v>
      </c>
      <c r="J95" s="152">
        <f>E95/323.35*100</f>
        <v>0.75769290242770992</v>
      </c>
      <c r="K95" s="7" t="s">
        <v>7</v>
      </c>
      <c r="L95" s="7"/>
    </row>
    <row r="96" spans="1:12" s="20" customFormat="1" ht="15.75">
      <c r="A96" s="78"/>
      <c r="B96" s="3" t="s">
        <v>88</v>
      </c>
      <c r="C96" s="6">
        <f>SUM(C94:C95)</f>
        <v>2.944</v>
      </c>
      <c r="D96" s="6">
        <f t="shared" ref="D96:I96" si="4">SUM(D94:D95)</f>
        <v>3.5410000000000004</v>
      </c>
      <c r="E96" s="6">
        <f t="shared" si="4"/>
        <v>2.6710000000000003</v>
      </c>
      <c r="F96" s="6">
        <f t="shared" si="4"/>
        <v>2.6670000000000003</v>
      </c>
      <c r="G96" s="6">
        <f t="shared" si="4"/>
        <v>2.6120000000000001</v>
      </c>
      <c r="H96" s="6">
        <f t="shared" si="4"/>
        <v>2.6140000000000003</v>
      </c>
      <c r="I96" s="6">
        <f t="shared" si="4"/>
        <v>2.6140000000000003</v>
      </c>
      <c r="J96" s="3"/>
      <c r="K96" s="3"/>
      <c r="L96" s="3"/>
    </row>
    <row r="97" spans="1:12" ht="15">
      <c r="A97" s="98"/>
      <c r="B97" s="3"/>
      <c r="C97" s="19"/>
      <c r="D97" s="19"/>
      <c r="E97" s="19"/>
      <c r="F97" s="19"/>
      <c r="G97" s="19"/>
      <c r="H97" s="19"/>
      <c r="I97" s="19"/>
      <c r="J97" s="2"/>
      <c r="K97" s="2"/>
      <c r="L97" s="2"/>
    </row>
    <row r="98" spans="1:12" ht="15">
      <c r="A98" s="97"/>
      <c r="B98" s="28" t="s">
        <v>86</v>
      </c>
      <c r="C98" s="17"/>
      <c r="D98" s="17"/>
      <c r="E98" s="17"/>
      <c r="F98" s="17"/>
      <c r="G98" s="17"/>
      <c r="H98" s="17"/>
      <c r="I98" s="17"/>
      <c r="J98" s="17"/>
      <c r="K98" s="17"/>
      <c r="L98" s="17"/>
    </row>
    <row r="99" spans="1:12">
      <c r="A99" s="126" t="s">
        <v>196</v>
      </c>
      <c r="B99" s="7" t="s">
        <v>370</v>
      </c>
      <c r="C99" s="7">
        <v>0.215</v>
      </c>
      <c r="D99" s="7">
        <v>0.215</v>
      </c>
      <c r="E99" s="7">
        <v>0.215</v>
      </c>
      <c r="F99" s="7">
        <v>0.215</v>
      </c>
      <c r="G99" s="7">
        <v>0.215</v>
      </c>
      <c r="H99" s="66">
        <v>0</v>
      </c>
      <c r="I99" s="66">
        <v>0</v>
      </c>
      <c r="J99" s="7">
        <v>0.1</v>
      </c>
      <c r="K99" s="7" t="s">
        <v>200</v>
      </c>
      <c r="L99" s="7" t="s">
        <v>201</v>
      </c>
    </row>
    <row r="100" spans="1:12">
      <c r="A100" s="126" t="s">
        <v>196</v>
      </c>
      <c r="B100" s="7" t="s">
        <v>371</v>
      </c>
      <c r="C100" s="66">
        <v>3.7999999999999999E-2</v>
      </c>
      <c r="D100" s="66">
        <v>0</v>
      </c>
      <c r="E100" s="66">
        <v>0</v>
      </c>
      <c r="F100" s="66">
        <v>0</v>
      </c>
      <c r="G100" s="66">
        <v>0</v>
      </c>
      <c r="H100" s="66">
        <v>0</v>
      </c>
      <c r="I100" s="66">
        <v>0</v>
      </c>
      <c r="J100" s="152">
        <v>0</v>
      </c>
      <c r="K100" s="7" t="s">
        <v>7</v>
      </c>
      <c r="L100" s="7" t="s">
        <v>202</v>
      </c>
    </row>
    <row r="101" spans="1:12">
      <c r="A101" s="126" t="s">
        <v>196</v>
      </c>
      <c r="B101" s="7" t="s">
        <v>373</v>
      </c>
      <c r="C101" s="106">
        <v>1.0009999999999999</v>
      </c>
      <c r="D101" s="106">
        <v>1.2E-2</v>
      </c>
      <c r="E101" s="106">
        <v>0</v>
      </c>
      <c r="F101" s="106">
        <v>0</v>
      </c>
      <c r="G101" s="106">
        <v>0</v>
      </c>
      <c r="H101" s="106">
        <v>0</v>
      </c>
      <c r="I101" s="106">
        <v>0</v>
      </c>
      <c r="J101" s="152">
        <v>0</v>
      </c>
      <c r="K101" s="7" t="s">
        <v>7</v>
      </c>
      <c r="L101" s="7" t="s">
        <v>203</v>
      </c>
    </row>
    <row r="102" spans="1:12">
      <c r="A102" s="126" t="s">
        <v>196</v>
      </c>
      <c r="B102" s="7" t="s">
        <v>372</v>
      </c>
      <c r="C102" s="66">
        <v>0.26</v>
      </c>
      <c r="D102" s="66">
        <v>0.25</v>
      </c>
      <c r="E102" s="66">
        <v>0.25</v>
      </c>
      <c r="F102" s="66">
        <v>0.25</v>
      </c>
      <c r="G102" s="66">
        <v>0.25</v>
      </c>
      <c r="H102" s="66">
        <v>0.25</v>
      </c>
      <c r="I102" s="66">
        <v>0.25</v>
      </c>
      <c r="J102" s="7">
        <v>0.1</v>
      </c>
      <c r="K102" s="7" t="s">
        <v>7</v>
      </c>
      <c r="L102" s="7" t="s">
        <v>204</v>
      </c>
    </row>
    <row r="103" spans="1:12">
      <c r="A103" s="126" t="s">
        <v>193</v>
      </c>
      <c r="B103" s="7" t="s">
        <v>351</v>
      </c>
      <c r="C103" s="66">
        <v>0</v>
      </c>
      <c r="D103" s="66">
        <v>0</v>
      </c>
      <c r="E103" s="66">
        <v>1.7</v>
      </c>
      <c r="F103" s="66">
        <v>1.7</v>
      </c>
      <c r="G103" s="66">
        <v>1.7</v>
      </c>
      <c r="H103" s="66">
        <v>0</v>
      </c>
      <c r="I103" s="66">
        <v>0</v>
      </c>
      <c r="J103" s="152">
        <v>9.9</v>
      </c>
      <c r="K103" s="7" t="s">
        <v>7</v>
      </c>
      <c r="L103" s="7" t="s">
        <v>352</v>
      </c>
    </row>
    <row r="104" spans="1:12" ht="15">
      <c r="A104" s="98"/>
      <c r="B104" s="3" t="s">
        <v>89</v>
      </c>
      <c r="C104" s="19">
        <f t="shared" ref="C104:I104" si="5">SUM(C99:C103)</f>
        <v>1.514</v>
      </c>
      <c r="D104" s="19">
        <f t="shared" si="5"/>
        <v>0.47699999999999998</v>
      </c>
      <c r="E104" s="19">
        <f t="shared" si="5"/>
        <v>2.165</v>
      </c>
      <c r="F104" s="19">
        <f t="shared" si="5"/>
        <v>2.165</v>
      </c>
      <c r="G104" s="19">
        <f t="shared" si="5"/>
        <v>2.165</v>
      </c>
      <c r="H104" s="19">
        <f t="shared" si="5"/>
        <v>0.25</v>
      </c>
      <c r="I104" s="19">
        <f t="shared" si="5"/>
        <v>0.25</v>
      </c>
      <c r="J104" s="2"/>
      <c r="K104" s="2"/>
      <c r="L104" s="2"/>
    </row>
    <row r="106" spans="1:12" ht="15.75">
      <c r="A106" s="99"/>
      <c r="B106" s="34" t="s">
        <v>87</v>
      </c>
      <c r="C106" s="40">
        <f t="shared" ref="C106:I106" si="6">SUM(C34,C47,C91,C96,C104)</f>
        <v>254.01399999999995</v>
      </c>
      <c r="D106" s="40">
        <f t="shared" si="6"/>
        <v>325.26140000000004</v>
      </c>
      <c r="E106" s="40">
        <f t="shared" si="6"/>
        <v>295.9144</v>
      </c>
      <c r="F106" s="40">
        <f t="shared" si="6"/>
        <v>300.08139999999997</v>
      </c>
      <c r="G106" s="40">
        <f t="shared" si="6"/>
        <v>295.97240000000005</v>
      </c>
      <c r="H106" s="40">
        <f t="shared" si="6"/>
        <v>255.77340000000001</v>
      </c>
      <c r="I106" s="40">
        <f t="shared" si="6"/>
        <v>238.51679999999999</v>
      </c>
      <c r="J106" s="39"/>
      <c r="K106" s="39"/>
      <c r="L106" s="39"/>
    </row>
    <row r="109" spans="1:12">
      <c r="C109" s="226"/>
      <c r="D109" s="226"/>
      <c r="E109" s="226"/>
      <c r="F109" s="226"/>
      <c r="G109" s="226"/>
      <c r="H109" s="226"/>
      <c r="I109" s="226"/>
    </row>
    <row r="110" spans="1:12">
      <c r="C110" s="226"/>
      <c r="D110" s="226"/>
      <c r="E110" s="226"/>
      <c r="F110" s="226"/>
      <c r="G110" s="226"/>
      <c r="H110" s="226"/>
      <c r="I110" s="226"/>
      <c r="K110" s="248"/>
    </row>
    <row r="111" spans="1:12">
      <c r="C111" s="226"/>
      <c r="D111" s="226"/>
      <c r="E111" s="226"/>
      <c r="F111" s="226"/>
      <c r="G111" s="226"/>
      <c r="H111" s="226"/>
      <c r="I111" s="226"/>
    </row>
    <row r="113" spans="1:4">
      <c r="D113" s="228"/>
    </row>
    <row r="114" spans="1:4" ht="15">
      <c r="A114" s="46"/>
    </row>
    <row r="115" spans="1:4" ht="15">
      <c r="A115" s="46"/>
    </row>
    <row r="116" spans="1:4" ht="15">
      <c r="A116" s="46"/>
    </row>
    <row r="117" spans="1:4" ht="15">
      <c r="A117" s="46"/>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Normal="100" zoomScaleSheetLayoutView="100" workbookViewId="0"/>
  </sheetViews>
  <sheetFormatPr defaultRowHeight="12.75"/>
  <cols>
    <col min="1" max="1" width="36.85546875" style="18" bestFit="1" customWidth="1"/>
    <col min="2" max="8" width="8.42578125" style="18" customWidth="1"/>
    <col min="9" max="16384" width="9.140625" style="18"/>
  </cols>
  <sheetData>
    <row r="1" spans="1:8" ht="18.75">
      <c r="A1" s="87" t="s">
        <v>295</v>
      </c>
    </row>
    <row r="3" spans="1:8">
      <c r="A3" s="88" t="s">
        <v>261</v>
      </c>
      <c r="B3" s="88"/>
      <c r="C3" s="88"/>
      <c r="D3" s="88"/>
      <c r="E3" s="88"/>
      <c r="F3" s="88"/>
      <c r="G3" s="88"/>
      <c r="H3" s="88"/>
    </row>
    <row r="4" spans="1:8">
      <c r="B4" s="88">
        <f>Innovatie!C3</f>
        <v>2016</v>
      </c>
      <c r="C4" s="88">
        <f>Innovatie!D3</f>
        <v>2017</v>
      </c>
      <c r="D4" s="88">
        <f>Innovatie!E3</f>
        <v>2018</v>
      </c>
      <c r="E4" s="88">
        <f>Innovatie!F3</f>
        <v>2019</v>
      </c>
      <c r="F4" s="88">
        <f>Innovatie!G3</f>
        <v>2020</v>
      </c>
      <c r="G4" s="88">
        <f>Innovatie!H3</f>
        <v>2021</v>
      </c>
      <c r="H4" s="88">
        <f>Innovatie!I3</f>
        <v>2022</v>
      </c>
    </row>
    <row r="5" spans="1:8">
      <c r="A5" s="18" t="s">
        <v>159</v>
      </c>
      <c r="B5" s="89">
        <f>'R&amp;D'!C8</f>
        <v>0.52</v>
      </c>
      <c r="C5" s="89">
        <f>'R&amp;D'!D8</f>
        <v>0.59399999999999997</v>
      </c>
      <c r="D5" s="89">
        <f>'R&amp;D'!E8</f>
        <v>0.59399999999999997</v>
      </c>
      <c r="E5" s="89">
        <f>'R&amp;D'!F8</f>
        <v>0.59399999999999997</v>
      </c>
      <c r="F5" s="89">
        <f>'R&amp;D'!G8</f>
        <v>0.59399999999999997</v>
      </c>
      <c r="G5" s="89">
        <f>'R&amp;D'!H8</f>
        <v>0.59399999999999997</v>
      </c>
      <c r="H5" s="89">
        <f>'R&amp;D'!I8</f>
        <v>0.59399999999999997</v>
      </c>
    </row>
    <row r="6" spans="1:8" s="4" customFormat="1">
      <c r="A6" s="4" t="s">
        <v>160</v>
      </c>
      <c r="B6" s="73">
        <f>'R&amp;D'!C16</f>
        <v>36.960999999999999</v>
      </c>
      <c r="C6" s="73">
        <f>'R&amp;D'!D16</f>
        <v>39.951000000000001</v>
      </c>
      <c r="D6" s="73">
        <f>'R&amp;D'!E16</f>
        <v>39.951000000000001</v>
      </c>
      <c r="E6" s="73">
        <f>'R&amp;D'!F16</f>
        <v>39.951000000000001</v>
      </c>
      <c r="F6" s="73">
        <f>'R&amp;D'!G16</f>
        <v>39.951000000000001</v>
      </c>
      <c r="G6" s="73">
        <f>'R&amp;D'!H16</f>
        <v>39.951000000000001</v>
      </c>
      <c r="H6" s="73">
        <f>'R&amp;D'!I16</f>
        <v>39.951000000000001</v>
      </c>
    </row>
    <row r="7" spans="1:8">
      <c r="A7" s="18" t="s">
        <v>609</v>
      </c>
      <c r="B7" s="89">
        <f>'R&amp;D'!C23</f>
        <v>24.293399999999998</v>
      </c>
      <c r="C7" s="89">
        <f>'R&amp;D'!D23</f>
        <v>22.012616000000001</v>
      </c>
      <c r="D7" s="89">
        <f>'R&amp;D'!E23</f>
        <v>22.004688000000002</v>
      </c>
      <c r="E7" s="89">
        <f>'R&amp;D'!F23</f>
        <v>21.864504</v>
      </c>
      <c r="F7" s="89">
        <f>'R&amp;D'!G23</f>
        <v>21.861344000000003</v>
      </c>
      <c r="G7" s="89">
        <f>'R&amp;D'!H23</f>
        <v>21.92052</v>
      </c>
      <c r="H7" s="89">
        <f>'R&amp;D'!I23</f>
        <v>21.923520000000003</v>
      </c>
    </row>
    <row r="8" spans="1:8">
      <c r="A8" s="18" t="s">
        <v>161</v>
      </c>
      <c r="B8" s="89">
        <f>'R&amp;D'!C29</f>
        <v>10.089</v>
      </c>
      <c r="C8" s="89">
        <f>'R&amp;D'!D29</f>
        <v>10.596</v>
      </c>
      <c r="D8" s="89">
        <f>'R&amp;D'!E29</f>
        <v>10.298999999999999</v>
      </c>
      <c r="E8" s="89">
        <f>'R&amp;D'!F29</f>
        <v>8.786999999999999</v>
      </c>
      <c r="F8" s="89">
        <f>'R&amp;D'!G29</f>
        <v>8.6210000000000004</v>
      </c>
      <c r="G8" s="89">
        <f>'R&amp;D'!H29</f>
        <v>10.042</v>
      </c>
      <c r="H8" s="89">
        <f>'R&amp;D'!I29</f>
        <v>10.039999999999999</v>
      </c>
    </row>
    <row r="9" spans="1:8" s="4" customFormat="1">
      <c r="A9" s="4" t="s">
        <v>162</v>
      </c>
      <c r="B9" s="73">
        <f>'R&amp;D'!C63</f>
        <v>3677.8489425581893</v>
      </c>
      <c r="C9" s="73">
        <f>'R&amp;D'!D63</f>
        <v>3749.4451473122299</v>
      </c>
      <c r="D9" s="73">
        <f>'R&amp;D'!E63</f>
        <v>3758.3217360406557</v>
      </c>
      <c r="E9" s="73">
        <f>'R&amp;D'!F63</f>
        <v>3766.7562392995228</v>
      </c>
      <c r="F9" s="73">
        <f>'R&amp;D'!G63</f>
        <v>3743.1662079520111</v>
      </c>
      <c r="G9" s="73">
        <f>'R&amp;D'!H63</f>
        <v>3806.6603862153229</v>
      </c>
      <c r="H9" s="73">
        <f>'R&amp;D'!I63</f>
        <v>3829.4578556394572</v>
      </c>
    </row>
    <row r="10" spans="1:8">
      <c r="A10" s="18" t="s">
        <v>57</v>
      </c>
      <c r="B10" s="89">
        <f>'R&amp;D'!C71</f>
        <v>61.078000000000003</v>
      </c>
      <c r="C10" s="89">
        <f>'R&amp;D'!D71</f>
        <v>62.460999999999999</v>
      </c>
      <c r="D10" s="89">
        <f>'R&amp;D'!E71</f>
        <v>61.190000000000005</v>
      </c>
      <c r="E10" s="89">
        <f>'R&amp;D'!F71</f>
        <v>61.191000000000003</v>
      </c>
      <c r="F10" s="89">
        <f>'R&amp;D'!G71</f>
        <v>61.191000000000003</v>
      </c>
      <c r="G10" s="89">
        <f>'R&amp;D'!H71</f>
        <v>61.191000000000003</v>
      </c>
      <c r="H10" s="89">
        <f>'R&amp;D'!I71</f>
        <v>61.191000000000003</v>
      </c>
    </row>
    <row r="11" spans="1:8">
      <c r="A11" s="18" t="s">
        <v>601</v>
      </c>
      <c r="B11" s="89">
        <f>'R&amp;D'!C104</f>
        <v>70.521999999999991</v>
      </c>
      <c r="C11" s="89">
        <f>'R&amp;D'!D104</f>
        <v>76.268000000000001</v>
      </c>
      <c r="D11" s="89">
        <f>'R&amp;D'!E104</f>
        <v>78.518000000000001</v>
      </c>
      <c r="E11" s="89">
        <f>'R&amp;D'!F104</f>
        <v>62.408999999999992</v>
      </c>
      <c r="F11" s="89">
        <f>'R&amp;D'!G104</f>
        <v>63.577999999999989</v>
      </c>
      <c r="G11" s="89">
        <f>'R&amp;D'!H104</f>
        <v>64.751999999999995</v>
      </c>
      <c r="H11" s="89">
        <f>'R&amp;D'!I104</f>
        <v>62.182000000000002</v>
      </c>
    </row>
    <row r="12" spans="1:8">
      <c r="A12" s="18" t="s">
        <v>602</v>
      </c>
      <c r="B12" s="89">
        <f>'R&amp;D'!C225</f>
        <v>810.26</v>
      </c>
      <c r="C12" s="89">
        <f>'R&amp;D'!D225</f>
        <v>899.06790000000012</v>
      </c>
      <c r="D12" s="89">
        <f>'R&amp;D'!E225</f>
        <v>851.53890000000024</v>
      </c>
      <c r="E12" s="89">
        <f>'R&amp;D'!F225</f>
        <v>845.80790000000002</v>
      </c>
      <c r="F12" s="89">
        <f>'R&amp;D'!G225</f>
        <v>846.9739000000003</v>
      </c>
      <c r="G12" s="89">
        <f>'R&amp;D'!H225</f>
        <v>835.42590000000052</v>
      </c>
      <c r="H12" s="89">
        <f>'R&amp;D'!I225</f>
        <v>817.6615000000005</v>
      </c>
    </row>
    <row r="13" spans="1:8">
      <c r="A13" s="18" t="s">
        <v>163</v>
      </c>
      <c r="B13" s="89">
        <f>'R&amp;D'!C233</f>
        <v>7.9320000000000004</v>
      </c>
      <c r="C13" s="89">
        <f>'R&amp;D'!D233</f>
        <v>11.393999999999998</v>
      </c>
      <c r="D13" s="89">
        <f>'R&amp;D'!E233</f>
        <v>8.5779999999999994</v>
      </c>
      <c r="E13" s="89">
        <f>'R&amp;D'!F233</f>
        <v>12.142999999999999</v>
      </c>
      <c r="F13" s="89">
        <f>'R&amp;D'!G233</f>
        <v>12.305</v>
      </c>
      <c r="G13" s="89">
        <f>'R&amp;D'!H233</f>
        <v>12.305</v>
      </c>
      <c r="H13" s="89">
        <f>'R&amp;D'!I233</f>
        <v>12.305</v>
      </c>
    </row>
    <row r="14" spans="1:8">
      <c r="A14" s="18" t="s">
        <v>164</v>
      </c>
      <c r="B14" s="89">
        <f>'R&amp;D'!C256</f>
        <v>226.54</v>
      </c>
      <c r="C14" s="89">
        <f>'R&amp;D'!D256</f>
        <v>235.578</v>
      </c>
      <c r="D14" s="89">
        <f>'R&amp;D'!E256</f>
        <v>235.28299999999996</v>
      </c>
      <c r="E14" s="89">
        <f>'R&amp;D'!F256</f>
        <v>228.88499999999999</v>
      </c>
      <c r="F14" s="89">
        <f>'R&amp;D'!G256</f>
        <v>221.61800000000002</v>
      </c>
      <c r="G14" s="89">
        <f>'R&amp;D'!H256</f>
        <v>207.465</v>
      </c>
      <c r="H14" s="89">
        <f>'R&amp;D'!I256</f>
        <v>196.78900000000002</v>
      </c>
    </row>
    <row r="15" spans="1:8" s="88" customFormat="1">
      <c r="A15" s="88" t="s">
        <v>260</v>
      </c>
      <c r="B15" s="90">
        <f>SUM(B5:B14)</f>
        <v>4926.0443425581889</v>
      </c>
      <c r="C15" s="90">
        <f t="shared" ref="C15:H15" si="0">SUM(C5:C14)</f>
        <v>5107.3676633122304</v>
      </c>
      <c r="D15" s="90">
        <f t="shared" si="0"/>
        <v>5066.278324040657</v>
      </c>
      <c r="E15" s="90">
        <f t="shared" si="0"/>
        <v>5048.3886432995232</v>
      </c>
      <c r="F15" s="90">
        <f t="shared" si="0"/>
        <v>5019.859451952012</v>
      </c>
      <c r="G15" s="90">
        <f t="shared" si="0"/>
        <v>5060.3068062153234</v>
      </c>
      <c r="H15" s="90">
        <f t="shared" si="0"/>
        <v>5052.0948756394573</v>
      </c>
    </row>
    <row r="17" spans="1:8">
      <c r="A17" s="88" t="s">
        <v>306</v>
      </c>
    </row>
    <row r="18" spans="1:8" s="88" customFormat="1">
      <c r="B18" s="88">
        <f>B4</f>
        <v>2016</v>
      </c>
      <c r="C18" s="88">
        <f t="shared" ref="C18:H18" si="1">C4</f>
        <v>2017</v>
      </c>
      <c r="D18" s="88">
        <f t="shared" si="1"/>
        <v>2018</v>
      </c>
      <c r="E18" s="88">
        <f t="shared" si="1"/>
        <v>2019</v>
      </c>
      <c r="F18" s="88">
        <f t="shared" si="1"/>
        <v>2020</v>
      </c>
      <c r="G18" s="88">
        <f t="shared" si="1"/>
        <v>2021</v>
      </c>
      <c r="H18" s="88">
        <f t="shared" si="1"/>
        <v>2022</v>
      </c>
    </row>
    <row r="19" spans="1:8">
      <c r="A19" s="105" t="str">
        <f>A5</f>
        <v>Algemene Zaken</v>
      </c>
      <c r="B19" s="91">
        <f>'R&amp;D'!P8</f>
        <v>0</v>
      </c>
      <c r="C19" s="91">
        <f>'R&amp;D'!Q8</f>
        <v>0</v>
      </c>
      <c r="D19" s="91">
        <f>'R&amp;D'!R8</f>
        <v>0</v>
      </c>
      <c r="E19" s="91">
        <f>'R&amp;D'!S8</f>
        <v>0</v>
      </c>
      <c r="F19" s="91">
        <f>'R&amp;D'!T8</f>
        <v>0</v>
      </c>
      <c r="G19" s="91">
        <f>'R&amp;D'!U8</f>
        <v>0</v>
      </c>
      <c r="H19" s="91">
        <f>'R&amp;D'!V8</f>
        <v>0</v>
      </c>
    </row>
    <row r="20" spans="1:8" s="4" customFormat="1">
      <c r="A20" s="105" t="str">
        <f t="shared" ref="A20:A28" si="2">A6</f>
        <v xml:space="preserve">Buitenlandse Zaken </v>
      </c>
      <c r="B20" s="74">
        <f>'R&amp;D'!P16</f>
        <v>0</v>
      </c>
      <c r="C20" s="74">
        <f>'R&amp;D'!Q16</f>
        <v>0</v>
      </c>
      <c r="D20" s="74">
        <f>'R&amp;D'!R16</f>
        <v>0</v>
      </c>
      <c r="E20" s="74">
        <f>'R&amp;D'!S16</f>
        <v>0</v>
      </c>
      <c r="F20" s="74">
        <f>'R&amp;D'!T16</f>
        <v>0</v>
      </c>
      <c r="G20" s="74">
        <f>'R&amp;D'!U16</f>
        <v>0</v>
      </c>
      <c r="H20" s="74">
        <f>'R&amp;D'!V16</f>
        <v>0</v>
      </c>
    </row>
    <row r="21" spans="1:8">
      <c r="A21" s="105" t="str">
        <f t="shared" si="2"/>
        <v xml:space="preserve">Justitie en Veiligheid </v>
      </c>
      <c r="B21" s="91">
        <f>'R&amp;D'!P23</f>
        <v>4.2756120000000006</v>
      </c>
      <c r="C21" s="91">
        <f>'R&amp;D'!Q23</f>
        <v>3.3223132800000004</v>
      </c>
      <c r="D21" s="91">
        <f>'R&amp;D'!R23</f>
        <v>3.3609470400000006</v>
      </c>
      <c r="E21" s="91">
        <f>'R&amp;D'!S23</f>
        <v>3.3592363200000008</v>
      </c>
      <c r="F21" s="91">
        <f>'R&amp;D'!T23</f>
        <v>3.3585235200000008</v>
      </c>
      <c r="G21" s="91">
        <f>'R&amp;D'!U23</f>
        <v>3.3777216000000005</v>
      </c>
      <c r="H21" s="91">
        <f>'R&amp;D'!V23</f>
        <v>3.3777216000000005</v>
      </c>
    </row>
    <row r="22" spans="1:8">
      <c r="A22" s="105" t="str">
        <f t="shared" si="2"/>
        <v>Binnenlandse Zaken en Koninkrijksrelaties</v>
      </c>
      <c r="B22" s="91">
        <f>'R&amp;D'!P265</f>
        <v>1.0089000000000001</v>
      </c>
      <c r="C22" s="91">
        <f>'R&amp;D'!Q265</f>
        <v>1.0596000000000001</v>
      </c>
      <c r="D22" s="91">
        <f>'R&amp;D'!R265</f>
        <v>1.0299</v>
      </c>
      <c r="E22" s="91">
        <f>'R&amp;D'!S265</f>
        <v>0.87870000000000004</v>
      </c>
      <c r="F22" s="91">
        <f>'R&amp;D'!T265</f>
        <v>0.86210000000000009</v>
      </c>
      <c r="G22" s="91">
        <f>'R&amp;D'!U265</f>
        <v>1.0042</v>
      </c>
      <c r="H22" s="91">
        <f>'R&amp;D'!V265</f>
        <v>1.004</v>
      </c>
    </row>
    <row r="23" spans="1:8" s="4" customFormat="1">
      <c r="A23" s="105" t="str">
        <f t="shared" si="2"/>
        <v>Onderwijs, Cultuur en Wetenschap</v>
      </c>
      <c r="B23" s="74">
        <f>'R&amp;D'!P63</f>
        <v>289</v>
      </c>
      <c r="C23" s="74">
        <f>'R&amp;D'!Q63</f>
        <v>289</v>
      </c>
      <c r="D23" s="74">
        <f>'R&amp;D'!R63</f>
        <v>289</v>
      </c>
      <c r="E23" s="74">
        <f>'R&amp;D'!S63</f>
        <v>289</v>
      </c>
      <c r="F23" s="74">
        <f>'R&amp;D'!T63</f>
        <v>289</v>
      </c>
      <c r="G23" s="74">
        <f>'R&amp;D'!U63</f>
        <v>289</v>
      </c>
      <c r="H23" s="74">
        <f>'R&amp;D'!V63</f>
        <v>289</v>
      </c>
    </row>
    <row r="24" spans="1:8">
      <c r="A24" s="105" t="str">
        <f t="shared" si="2"/>
        <v>Defensie</v>
      </c>
      <c r="B24" s="91">
        <f>'R&amp;D'!P71</f>
        <v>61.078000000000003</v>
      </c>
      <c r="C24" s="91">
        <f>'R&amp;D'!Q71</f>
        <v>62.460999999999999</v>
      </c>
      <c r="D24" s="91">
        <f>'R&amp;D'!R71</f>
        <v>61.190000000000005</v>
      </c>
      <c r="E24" s="91">
        <f>'R&amp;D'!S71</f>
        <v>61.191000000000003</v>
      </c>
      <c r="F24" s="91">
        <f>'R&amp;D'!T71</f>
        <v>61.191000000000003</v>
      </c>
      <c r="G24" s="91">
        <f>'R&amp;D'!U71</f>
        <v>61.191000000000003</v>
      </c>
      <c r="H24" s="91">
        <f>'R&amp;D'!V71</f>
        <v>61.191000000000003</v>
      </c>
    </row>
    <row r="25" spans="1:8">
      <c r="A25" s="105" t="str">
        <f t="shared" si="2"/>
        <v>Infrastructuur en Waterstaat</v>
      </c>
      <c r="B25" s="91">
        <f>'R&amp;D'!P104</f>
        <v>6.1349999999999998</v>
      </c>
      <c r="C25" s="91">
        <f>'R&amp;D'!Q104</f>
        <v>5.4889999999999999</v>
      </c>
      <c r="D25" s="91">
        <f>'R&amp;D'!R104</f>
        <v>5.0310000000000006</v>
      </c>
      <c r="E25" s="91">
        <f>'R&amp;D'!S104</f>
        <v>6.3780000000000001</v>
      </c>
      <c r="F25" s="91">
        <f>'R&amp;D'!T104</f>
        <v>6.3780000000000001</v>
      </c>
      <c r="G25" s="91">
        <f>'R&amp;D'!U104</f>
        <v>6.4480000000000004</v>
      </c>
      <c r="H25" s="91">
        <f>'R&amp;D'!V104</f>
        <v>6.4480000000000004</v>
      </c>
    </row>
    <row r="26" spans="1:8">
      <c r="A26" s="105" t="str">
        <f t="shared" si="2"/>
        <v>Economische Zaken en Klimaat</v>
      </c>
      <c r="B26" s="91">
        <f>'R&amp;D'!P225</f>
        <v>675.28507428571436</v>
      </c>
      <c r="C26" s="91">
        <f>'R&amp;D'!Q225</f>
        <v>758.84391333333349</v>
      </c>
      <c r="D26" s="91">
        <f>'R&amp;D'!R225</f>
        <v>720.02764999999999</v>
      </c>
      <c r="E26" s="91">
        <f>'R&amp;D'!S225</f>
        <v>718.32605000000001</v>
      </c>
      <c r="F26" s="91">
        <f>'R&amp;D'!T225</f>
        <v>721.73434999999972</v>
      </c>
      <c r="G26" s="91">
        <f>'R&amp;D'!U225</f>
        <v>711.08794999999998</v>
      </c>
      <c r="H26" s="91">
        <f>'R&amp;D'!V225</f>
        <v>694.99004999999988</v>
      </c>
    </row>
    <row r="27" spans="1:8">
      <c r="A27" s="105" t="str">
        <f t="shared" si="2"/>
        <v>Sociale Zaken en Werkgelegenheid</v>
      </c>
      <c r="B27" s="91">
        <f>'R&amp;D'!P233</f>
        <v>0</v>
      </c>
      <c r="C27" s="91">
        <f>'R&amp;D'!Q233</f>
        <v>0</v>
      </c>
      <c r="D27" s="91">
        <f>'R&amp;D'!R233</f>
        <v>0</v>
      </c>
      <c r="E27" s="91">
        <f>'R&amp;D'!S233</f>
        <v>0</v>
      </c>
      <c r="F27" s="91">
        <f>'R&amp;D'!T233</f>
        <v>0</v>
      </c>
      <c r="G27" s="91">
        <f>'R&amp;D'!U233</f>
        <v>0</v>
      </c>
      <c r="H27" s="91">
        <f>'R&amp;D'!V233</f>
        <v>0</v>
      </c>
    </row>
    <row r="28" spans="1:8">
      <c r="A28" s="105" t="str">
        <f t="shared" si="2"/>
        <v>Volksgezondheid, Welzijn en Sport</v>
      </c>
      <c r="B28" s="91">
        <f>'R&amp;D'!P256</f>
        <v>42.253</v>
      </c>
      <c r="C28" s="91">
        <f>'R&amp;D'!Q256</f>
        <v>40.791499999999999</v>
      </c>
      <c r="D28" s="91">
        <f>'R&amp;D'!R256</f>
        <v>41.433499999999995</v>
      </c>
      <c r="E28" s="91">
        <f>'R&amp;D'!S256</f>
        <v>40.866</v>
      </c>
      <c r="F28" s="91">
        <f>'R&amp;D'!T256</f>
        <v>40.999499999999998</v>
      </c>
      <c r="G28" s="91">
        <f>'R&amp;D'!U256</f>
        <v>41.708500000000001</v>
      </c>
      <c r="H28" s="91">
        <f>'R&amp;D'!V256</f>
        <v>41.62</v>
      </c>
    </row>
    <row r="29" spans="1:8" s="88" customFormat="1">
      <c r="A29" s="88" t="s">
        <v>157</v>
      </c>
      <c r="B29" s="90">
        <f t="shared" ref="B29:H29" si="3">SUM(B19:B28)</f>
        <v>1079.0355862857143</v>
      </c>
      <c r="C29" s="90">
        <f t="shared" si="3"/>
        <v>1160.9673266133334</v>
      </c>
      <c r="D29" s="90">
        <f t="shared" si="3"/>
        <v>1121.07299704</v>
      </c>
      <c r="E29" s="90">
        <f t="shared" si="3"/>
        <v>1119.9989863200001</v>
      </c>
      <c r="F29" s="90">
        <f t="shared" si="3"/>
        <v>1123.5234735199997</v>
      </c>
      <c r="G29" s="90">
        <f t="shared" si="3"/>
        <v>1113.8173715999999</v>
      </c>
      <c r="H29" s="90">
        <f t="shared" si="3"/>
        <v>1097.6307715999997</v>
      </c>
    </row>
    <row r="31" spans="1:8">
      <c r="A31" s="88" t="s">
        <v>262</v>
      </c>
    </row>
    <row r="32" spans="1:8">
      <c r="B32" s="88">
        <f>B4</f>
        <v>2016</v>
      </c>
      <c r="C32" s="88">
        <f t="shared" ref="C32:H32" si="4">C4</f>
        <v>2017</v>
      </c>
      <c r="D32" s="88">
        <f t="shared" si="4"/>
        <v>2018</v>
      </c>
      <c r="E32" s="88">
        <f t="shared" si="4"/>
        <v>2019</v>
      </c>
      <c r="F32" s="88">
        <f t="shared" si="4"/>
        <v>2020</v>
      </c>
      <c r="G32" s="88">
        <f t="shared" si="4"/>
        <v>2021</v>
      </c>
      <c r="H32" s="88">
        <f t="shared" si="4"/>
        <v>2022</v>
      </c>
    </row>
    <row r="33" spans="1:8">
      <c r="A33" s="18" t="str">
        <f>A19</f>
        <v>Algemene Zaken</v>
      </c>
      <c r="B33" s="93"/>
      <c r="C33" s="93"/>
      <c r="D33" s="93"/>
      <c r="E33" s="93"/>
      <c r="F33" s="93"/>
      <c r="G33" s="93"/>
      <c r="H33" s="93"/>
    </row>
    <row r="34" spans="1:8">
      <c r="A34" s="105" t="str">
        <f t="shared" ref="A34:A42" si="5">A20</f>
        <v xml:space="preserve">Buitenlandse Zaken </v>
      </c>
      <c r="B34" s="93"/>
      <c r="C34" s="93"/>
      <c r="D34" s="93"/>
      <c r="E34" s="93"/>
      <c r="F34" s="93"/>
      <c r="G34" s="93"/>
      <c r="H34" s="93"/>
    </row>
    <row r="35" spans="1:8">
      <c r="A35" s="105" t="str">
        <f t="shared" si="5"/>
        <v xml:space="preserve">Justitie en Veiligheid </v>
      </c>
      <c r="B35" s="93"/>
      <c r="C35" s="93"/>
      <c r="D35" s="93"/>
      <c r="E35" s="93"/>
      <c r="F35" s="93"/>
      <c r="G35" s="93"/>
      <c r="H35" s="93"/>
    </row>
    <row r="36" spans="1:8">
      <c r="A36" s="105" t="str">
        <f t="shared" si="5"/>
        <v>Binnenlandse Zaken en Koninkrijksrelaties</v>
      </c>
      <c r="B36" s="93"/>
      <c r="C36" s="93"/>
      <c r="D36" s="93"/>
      <c r="E36" s="93"/>
      <c r="F36" s="93"/>
      <c r="G36" s="93"/>
      <c r="H36" s="93"/>
    </row>
    <row r="37" spans="1:8">
      <c r="A37" s="105" t="str">
        <f t="shared" si="5"/>
        <v>Onderwijs, Cultuur en Wetenschap</v>
      </c>
      <c r="B37" s="93">
        <f>Innovatie!C34</f>
        <v>60.16899999999999</v>
      </c>
      <c r="C37" s="93">
        <f>Innovatie!D34</f>
        <v>87.338999999999999</v>
      </c>
      <c r="D37" s="93">
        <f>Innovatie!E34</f>
        <v>93.571999999999989</v>
      </c>
      <c r="E37" s="93">
        <f>Innovatie!F34</f>
        <v>101.50399999999998</v>
      </c>
      <c r="F37" s="93">
        <f>Innovatie!G34</f>
        <v>95.091999999999985</v>
      </c>
      <c r="G37" s="93">
        <f>Innovatie!H34</f>
        <v>94.252999999999986</v>
      </c>
      <c r="H37" s="93">
        <f>Innovatie!I34</f>
        <v>89.787999999999997</v>
      </c>
    </row>
    <row r="38" spans="1:8">
      <c r="A38" s="105" t="str">
        <f t="shared" si="5"/>
        <v>Defensie</v>
      </c>
      <c r="B38" s="91"/>
      <c r="C38" s="91"/>
      <c r="D38" s="91"/>
      <c r="E38" s="91"/>
      <c r="F38" s="91"/>
      <c r="G38" s="91"/>
      <c r="H38" s="91"/>
    </row>
    <row r="39" spans="1:8">
      <c r="A39" s="105" t="str">
        <f t="shared" si="5"/>
        <v>Infrastructuur en Waterstaat</v>
      </c>
      <c r="B39" s="91">
        <f>Innovatie!C47</f>
        <v>19.576999999999998</v>
      </c>
      <c r="C39" s="91">
        <f>Innovatie!D47</f>
        <v>41.759</v>
      </c>
      <c r="D39" s="91">
        <f>Innovatie!E47</f>
        <v>21.733000000000001</v>
      </c>
      <c r="E39" s="91">
        <f>Innovatie!F47</f>
        <v>15.336</v>
      </c>
      <c r="F39" s="91">
        <f>Innovatie!G47</f>
        <v>12.036999999999999</v>
      </c>
      <c r="G39" s="91">
        <f>Innovatie!H47</f>
        <v>0.95</v>
      </c>
      <c r="H39" s="91">
        <f>Innovatie!I47</f>
        <v>0.95</v>
      </c>
    </row>
    <row r="40" spans="1:8">
      <c r="A40" s="105" t="str">
        <f t="shared" si="5"/>
        <v>Economische Zaken en Klimaat</v>
      </c>
      <c r="B40" s="91">
        <f>Innovatie!C91</f>
        <v>169.80999999999997</v>
      </c>
      <c r="C40" s="91">
        <f>Innovatie!D91</f>
        <v>192.14540000000002</v>
      </c>
      <c r="D40" s="91">
        <f>Innovatie!E91</f>
        <v>175.77340000000001</v>
      </c>
      <c r="E40" s="91">
        <f>Innovatie!F91</f>
        <v>178.40940000000001</v>
      </c>
      <c r="F40" s="91">
        <f>Innovatie!G91</f>
        <v>184.06640000000002</v>
      </c>
      <c r="G40" s="91">
        <f>Innovatie!H91</f>
        <v>157.7064</v>
      </c>
      <c r="H40" s="91">
        <f>Innovatie!I91</f>
        <v>144.91479999999999</v>
      </c>
    </row>
    <row r="41" spans="1:8">
      <c r="A41" s="105" t="str">
        <f t="shared" si="5"/>
        <v>Sociale Zaken en Werkgelegenheid</v>
      </c>
      <c r="B41" s="93">
        <f>Innovatie!C96</f>
        <v>2.944</v>
      </c>
      <c r="C41" s="93">
        <f>Innovatie!D96</f>
        <v>3.5410000000000004</v>
      </c>
      <c r="D41" s="93">
        <f>Innovatie!E96</f>
        <v>2.6710000000000003</v>
      </c>
      <c r="E41" s="93">
        <f>Innovatie!F96</f>
        <v>2.6670000000000003</v>
      </c>
      <c r="F41" s="93">
        <f>Innovatie!G96</f>
        <v>2.6120000000000001</v>
      </c>
      <c r="G41" s="93">
        <f>Innovatie!H96</f>
        <v>2.6140000000000003</v>
      </c>
      <c r="H41" s="93">
        <f>Innovatie!I96</f>
        <v>2.6140000000000003</v>
      </c>
    </row>
    <row r="42" spans="1:8">
      <c r="A42" s="105" t="str">
        <f t="shared" si="5"/>
        <v>Volksgezondheid, Welzijn en Sport</v>
      </c>
      <c r="B42" s="91">
        <f>Innovatie!C104</f>
        <v>1.514</v>
      </c>
      <c r="C42" s="91">
        <f>Innovatie!D104</f>
        <v>0.47699999999999998</v>
      </c>
      <c r="D42" s="91">
        <f>Innovatie!E104</f>
        <v>2.165</v>
      </c>
      <c r="E42" s="91">
        <f>Innovatie!F104</f>
        <v>2.165</v>
      </c>
      <c r="F42" s="91">
        <f>Innovatie!G104</f>
        <v>2.165</v>
      </c>
      <c r="G42" s="91">
        <f>Innovatie!H104</f>
        <v>0.25</v>
      </c>
      <c r="H42" s="91">
        <f>Innovatie!I104</f>
        <v>0.25</v>
      </c>
    </row>
    <row r="43" spans="1:8" s="88" customFormat="1">
      <c r="A43" s="88" t="s">
        <v>157</v>
      </c>
      <c r="B43" s="92">
        <f t="shared" ref="B43:H43" si="6">SUM(B33:B42)</f>
        <v>254.01399999999995</v>
      </c>
      <c r="C43" s="92">
        <f t="shared" si="6"/>
        <v>325.26140000000004</v>
      </c>
      <c r="D43" s="92">
        <f t="shared" si="6"/>
        <v>295.9144</v>
      </c>
      <c r="E43" s="92">
        <f t="shared" si="6"/>
        <v>300.08139999999997</v>
      </c>
      <c r="F43" s="92">
        <f t="shared" si="6"/>
        <v>295.97240000000005</v>
      </c>
      <c r="G43" s="92">
        <f t="shared" si="6"/>
        <v>255.77340000000001</v>
      </c>
      <c r="H43" s="92">
        <f t="shared" si="6"/>
        <v>238.51679999999999</v>
      </c>
    </row>
    <row r="45" spans="1:8">
      <c r="A45" s="88" t="s">
        <v>263</v>
      </c>
    </row>
    <row r="46" spans="1:8">
      <c r="B46" s="88">
        <f>B4</f>
        <v>2016</v>
      </c>
      <c r="C46" s="88">
        <f t="shared" ref="C46:H46" si="7">C4</f>
        <v>2017</v>
      </c>
      <c r="D46" s="88">
        <f t="shared" si="7"/>
        <v>2018</v>
      </c>
      <c r="E46" s="88">
        <f t="shared" si="7"/>
        <v>2019</v>
      </c>
      <c r="F46" s="88">
        <f t="shared" si="7"/>
        <v>2020</v>
      </c>
      <c r="G46" s="88">
        <f t="shared" si="7"/>
        <v>2021</v>
      </c>
      <c r="H46" s="88">
        <f t="shared" si="7"/>
        <v>2022</v>
      </c>
    </row>
    <row r="47" spans="1:8">
      <c r="A47" s="18" t="str">
        <f>A33</f>
        <v>Algemene Zaken</v>
      </c>
      <c r="B47" s="89">
        <f>+B5+B33</f>
        <v>0.52</v>
      </c>
      <c r="C47" s="89">
        <f t="shared" ref="C47:E47" si="8">+C5+C33</f>
        <v>0.59399999999999997</v>
      </c>
      <c r="D47" s="89">
        <f t="shared" si="8"/>
        <v>0.59399999999999997</v>
      </c>
      <c r="E47" s="89">
        <f t="shared" si="8"/>
        <v>0.59399999999999997</v>
      </c>
      <c r="F47" s="89">
        <f t="shared" ref="F47:H47" si="9">+F5+F33</f>
        <v>0.59399999999999997</v>
      </c>
      <c r="G47" s="89">
        <f t="shared" si="9"/>
        <v>0.59399999999999997</v>
      </c>
      <c r="H47" s="89">
        <f t="shared" si="9"/>
        <v>0.59399999999999997</v>
      </c>
    </row>
    <row r="48" spans="1:8" s="4" customFormat="1">
      <c r="A48" s="105" t="str">
        <f t="shared" ref="A48:A56" si="10">A34</f>
        <v xml:space="preserve">Buitenlandse Zaken </v>
      </c>
      <c r="B48" s="73">
        <f t="shared" ref="B48:H56" si="11">+B6+B34</f>
        <v>36.960999999999999</v>
      </c>
      <c r="C48" s="73">
        <f t="shared" ref="C48:E48" si="12">+C6+C34</f>
        <v>39.951000000000001</v>
      </c>
      <c r="D48" s="73">
        <f t="shared" si="12"/>
        <v>39.951000000000001</v>
      </c>
      <c r="E48" s="73">
        <f t="shared" si="12"/>
        <v>39.951000000000001</v>
      </c>
      <c r="F48" s="73">
        <f t="shared" si="11"/>
        <v>39.951000000000001</v>
      </c>
      <c r="G48" s="73">
        <f t="shared" si="11"/>
        <v>39.951000000000001</v>
      </c>
      <c r="H48" s="73">
        <f t="shared" si="11"/>
        <v>39.951000000000001</v>
      </c>
    </row>
    <row r="49" spans="1:8">
      <c r="A49" s="105" t="str">
        <f t="shared" si="10"/>
        <v xml:space="preserve">Justitie en Veiligheid </v>
      </c>
      <c r="B49" s="89">
        <f t="shared" si="11"/>
        <v>24.293399999999998</v>
      </c>
      <c r="C49" s="89">
        <f t="shared" ref="C49:E49" si="13">+C7+C35</f>
        <v>22.012616000000001</v>
      </c>
      <c r="D49" s="89">
        <f t="shared" si="13"/>
        <v>22.004688000000002</v>
      </c>
      <c r="E49" s="89">
        <f t="shared" si="13"/>
        <v>21.864504</v>
      </c>
      <c r="F49" s="89">
        <f t="shared" si="11"/>
        <v>21.861344000000003</v>
      </c>
      <c r="G49" s="89">
        <f t="shared" si="11"/>
        <v>21.92052</v>
      </c>
      <c r="H49" s="89">
        <f t="shared" si="11"/>
        <v>21.923520000000003</v>
      </c>
    </row>
    <row r="50" spans="1:8">
      <c r="A50" s="105" t="str">
        <f t="shared" si="10"/>
        <v>Binnenlandse Zaken en Koninkrijksrelaties</v>
      </c>
      <c r="B50" s="89">
        <f t="shared" si="11"/>
        <v>10.089</v>
      </c>
      <c r="C50" s="89">
        <f t="shared" ref="C50:E50" si="14">+C8+C36</f>
        <v>10.596</v>
      </c>
      <c r="D50" s="89">
        <f t="shared" si="14"/>
        <v>10.298999999999999</v>
      </c>
      <c r="E50" s="89">
        <f t="shared" si="14"/>
        <v>8.786999999999999</v>
      </c>
      <c r="F50" s="89">
        <f t="shared" si="11"/>
        <v>8.6210000000000004</v>
      </c>
      <c r="G50" s="89">
        <f t="shared" si="11"/>
        <v>10.042</v>
      </c>
      <c r="H50" s="89">
        <f t="shared" si="11"/>
        <v>10.039999999999999</v>
      </c>
    </row>
    <row r="51" spans="1:8" s="4" customFormat="1">
      <c r="A51" s="105" t="str">
        <f t="shared" si="10"/>
        <v>Onderwijs, Cultuur en Wetenschap</v>
      </c>
      <c r="B51" s="73">
        <f t="shared" si="11"/>
        <v>3738.0179425581891</v>
      </c>
      <c r="C51" s="73">
        <f t="shared" ref="C51:E51" si="15">+C9+C37</f>
        <v>3836.7841473122298</v>
      </c>
      <c r="D51" s="73">
        <f t="shared" si="15"/>
        <v>3851.8937360406558</v>
      </c>
      <c r="E51" s="73">
        <f t="shared" si="15"/>
        <v>3868.2602392995227</v>
      </c>
      <c r="F51" s="73">
        <f t="shared" si="11"/>
        <v>3838.2582079520112</v>
      </c>
      <c r="G51" s="73">
        <f t="shared" si="11"/>
        <v>3900.913386215323</v>
      </c>
      <c r="H51" s="73">
        <f t="shared" si="11"/>
        <v>3919.2458556394572</v>
      </c>
    </row>
    <row r="52" spans="1:8">
      <c r="A52" s="105" t="str">
        <f t="shared" si="10"/>
        <v>Defensie</v>
      </c>
      <c r="B52" s="89">
        <f t="shared" si="11"/>
        <v>61.078000000000003</v>
      </c>
      <c r="C52" s="89">
        <f t="shared" ref="C52:E52" si="16">+C10+C38</f>
        <v>62.460999999999999</v>
      </c>
      <c r="D52" s="89">
        <f t="shared" si="16"/>
        <v>61.190000000000005</v>
      </c>
      <c r="E52" s="89">
        <f t="shared" si="16"/>
        <v>61.191000000000003</v>
      </c>
      <c r="F52" s="89">
        <f t="shared" si="11"/>
        <v>61.191000000000003</v>
      </c>
      <c r="G52" s="89">
        <f t="shared" si="11"/>
        <v>61.191000000000003</v>
      </c>
      <c r="H52" s="89">
        <f t="shared" si="11"/>
        <v>61.191000000000003</v>
      </c>
    </row>
    <row r="53" spans="1:8">
      <c r="A53" s="105" t="str">
        <f t="shared" si="10"/>
        <v>Infrastructuur en Waterstaat</v>
      </c>
      <c r="B53" s="89">
        <f t="shared" si="11"/>
        <v>90.09899999999999</v>
      </c>
      <c r="C53" s="89">
        <f t="shared" ref="C53:E53" si="17">+C11+C39</f>
        <v>118.027</v>
      </c>
      <c r="D53" s="89">
        <f t="shared" si="17"/>
        <v>100.251</v>
      </c>
      <c r="E53" s="89">
        <f t="shared" si="17"/>
        <v>77.74499999999999</v>
      </c>
      <c r="F53" s="89">
        <f t="shared" si="11"/>
        <v>75.614999999999981</v>
      </c>
      <c r="G53" s="89">
        <f t="shared" si="11"/>
        <v>65.701999999999998</v>
      </c>
      <c r="H53" s="89">
        <f t="shared" si="11"/>
        <v>63.132000000000005</v>
      </c>
    </row>
    <row r="54" spans="1:8">
      <c r="A54" s="105" t="str">
        <f t="shared" si="10"/>
        <v>Economische Zaken en Klimaat</v>
      </c>
      <c r="B54" s="89">
        <f t="shared" si="11"/>
        <v>980.06999999999994</v>
      </c>
      <c r="C54" s="89">
        <f t="shared" ref="C54:E54" si="18">+C12+C40</f>
        <v>1091.2133000000001</v>
      </c>
      <c r="D54" s="89">
        <f t="shared" si="18"/>
        <v>1027.3123000000003</v>
      </c>
      <c r="E54" s="89">
        <f t="shared" si="18"/>
        <v>1024.2173</v>
      </c>
      <c r="F54" s="89">
        <f t="shared" si="11"/>
        <v>1031.0403000000003</v>
      </c>
      <c r="G54" s="89">
        <f t="shared" si="11"/>
        <v>993.13230000000055</v>
      </c>
      <c r="H54" s="89">
        <f t="shared" si="11"/>
        <v>962.57630000000051</v>
      </c>
    </row>
    <row r="55" spans="1:8">
      <c r="A55" s="105" t="str">
        <f t="shared" si="10"/>
        <v>Sociale Zaken en Werkgelegenheid</v>
      </c>
      <c r="B55" s="89">
        <f t="shared" si="11"/>
        <v>10.876000000000001</v>
      </c>
      <c r="C55" s="89">
        <f t="shared" ref="C55:E55" si="19">+C13+C41</f>
        <v>14.934999999999999</v>
      </c>
      <c r="D55" s="89">
        <f t="shared" si="19"/>
        <v>11.248999999999999</v>
      </c>
      <c r="E55" s="89">
        <f t="shared" si="19"/>
        <v>14.809999999999999</v>
      </c>
      <c r="F55" s="89">
        <f t="shared" si="11"/>
        <v>14.917</v>
      </c>
      <c r="G55" s="89">
        <f t="shared" si="11"/>
        <v>14.919</v>
      </c>
      <c r="H55" s="89">
        <f t="shared" si="11"/>
        <v>14.919</v>
      </c>
    </row>
    <row r="56" spans="1:8">
      <c r="A56" s="105" t="str">
        <f t="shared" si="10"/>
        <v>Volksgezondheid, Welzijn en Sport</v>
      </c>
      <c r="B56" s="89">
        <f t="shared" si="11"/>
        <v>228.054</v>
      </c>
      <c r="C56" s="89">
        <f t="shared" ref="C56:E56" si="20">+C14+C42</f>
        <v>236.05500000000001</v>
      </c>
      <c r="D56" s="89">
        <f t="shared" si="20"/>
        <v>237.44799999999995</v>
      </c>
      <c r="E56" s="89">
        <f t="shared" si="20"/>
        <v>231.04999999999998</v>
      </c>
      <c r="F56" s="89">
        <f t="shared" si="11"/>
        <v>223.78300000000002</v>
      </c>
      <c r="G56" s="89">
        <f t="shared" si="11"/>
        <v>207.715</v>
      </c>
      <c r="H56" s="89">
        <f t="shared" si="11"/>
        <v>197.03900000000002</v>
      </c>
    </row>
    <row r="57" spans="1:8" s="88" customFormat="1">
      <c r="A57" s="88" t="s">
        <v>157</v>
      </c>
      <c r="B57" s="90">
        <f>SUM(B47:B56)</f>
        <v>5180.0583425581899</v>
      </c>
      <c r="C57" s="90">
        <f t="shared" ref="C57:H57" si="21">SUM(C47:C56)</f>
        <v>5432.6290633122308</v>
      </c>
      <c r="D57" s="90">
        <f t="shared" si="21"/>
        <v>5362.1927240406567</v>
      </c>
      <c r="E57" s="90">
        <f t="shared" si="21"/>
        <v>5348.4700432995232</v>
      </c>
      <c r="F57" s="90">
        <f t="shared" si="21"/>
        <v>5315.8318519520117</v>
      </c>
      <c r="G57" s="90">
        <f t="shared" si="21"/>
        <v>5316.0802062153234</v>
      </c>
      <c r="H57" s="90">
        <f t="shared" si="21"/>
        <v>5290.6116756394567</v>
      </c>
    </row>
  </sheetData>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zoomScaleSheetLayoutView="100" workbookViewId="0"/>
  </sheetViews>
  <sheetFormatPr defaultRowHeight="15"/>
  <cols>
    <col min="1" max="1" width="46" style="44" customWidth="1"/>
    <col min="2" max="8" width="13.5703125" style="37" customWidth="1"/>
    <col min="9" max="9" width="12.5703125" style="37" customWidth="1"/>
    <col min="10" max="10" width="15.140625" style="37" customWidth="1"/>
    <col min="11" max="16384" width="9.140625" style="37"/>
  </cols>
  <sheetData>
    <row r="1" spans="1:18" ht="18.75">
      <c r="A1" s="84" t="s">
        <v>243</v>
      </c>
      <c r="I1" s="257" t="s">
        <v>457</v>
      </c>
    </row>
    <row r="2" spans="1:18" ht="15" customHeight="1">
      <c r="I2" s="258"/>
    </row>
    <row r="3" spans="1:18" s="38" customFormat="1">
      <c r="A3" s="45" t="s">
        <v>455</v>
      </c>
      <c r="B3" s="41">
        <f>Innovatie!C3</f>
        <v>2016</v>
      </c>
      <c r="C3" s="41">
        <f>Innovatie!D3</f>
        <v>2017</v>
      </c>
      <c r="D3" s="41">
        <f>Innovatie!E3</f>
        <v>2018</v>
      </c>
      <c r="E3" s="41">
        <f>Innovatie!F3</f>
        <v>2019</v>
      </c>
      <c r="F3" s="41">
        <f>Innovatie!G3</f>
        <v>2020</v>
      </c>
      <c r="G3" s="41">
        <f>Innovatie!H3</f>
        <v>2021</v>
      </c>
      <c r="H3" s="41">
        <f>Innovatie!I3</f>
        <v>2022</v>
      </c>
      <c r="I3" s="258"/>
      <c r="J3" s="41"/>
    </row>
    <row r="4" spans="1:18" s="38" customFormat="1">
      <c r="A4" s="111" t="s">
        <v>610</v>
      </c>
      <c r="B4" s="112"/>
      <c r="C4" s="112"/>
      <c r="D4" s="112"/>
      <c r="E4" s="112"/>
      <c r="F4" s="112"/>
      <c r="G4" s="112"/>
      <c r="H4" s="112"/>
      <c r="I4" s="113"/>
    </row>
    <row r="5" spans="1:18" ht="30">
      <c r="A5" s="198" t="s">
        <v>593</v>
      </c>
      <c r="B5" s="215">
        <f>1208+6</f>
        <v>1214</v>
      </c>
      <c r="C5" s="215">
        <f>1205+6</f>
        <v>1211</v>
      </c>
      <c r="D5" s="215">
        <f>1163+6</f>
        <v>1169</v>
      </c>
      <c r="E5" s="215">
        <f>C5</f>
        <v>1211</v>
      </c>
      <c r="F5" s="215">
        <f>E5</f>
        <v>1211</v>
      </c>
      <c r="G5" s="215">
        <f>F5</f>
        <v>1211</v>
      </c>
      <c r="H5" s="215">
        <f>G5</f>
        <v>1211</v>
      </c>
      <c r="I5" s="2">
        <v>100</v>
      </c>
      <c r="J5" s="38"/>
      <c r="K5" s="38"/>
      <c r="L5" s="160"/>
      <c r="M5" s="160"/>
      <c r="N5" s="160"/>
      <c r="O5" s="160"/>
      <c r="P5" s="160"/>
      <c r="Q5" s="160"/>
      <c r="R5" s="160"/>
    </row>
    <row r="6" spans="1:18">
      <c r="A6" s="47"/>
      <c r="B6" s="216"/>
      <c r="C6" s="216"/>
      <c r="D6" s="216"/>
      <c r="E6" s="216"/>
      <c r="F6" s="216"/>
      <c r="G6" s="216"/>
      <c r="H6" s="216"/>
      <c r="I6" s="2"/>
      <c r="J6" s="38"/>
      <c r="K6" s="38"/>
      <c r="L6" s="160"/>
      <c r="M6" s="160"/>
      <c r="N6" s="160"/>
      <c r="O6" s="160"/>
      <c r="P6" s="160"/>
      <c r="Q6" s="160"/>
      <c r="R6" s="160"/>
    </row>
    <row r="7" spans="1:18" ht="15" customHeight="1">
      <c r="A7" s="111" t="s">
        <v>482</v>
      </c>
      <c r="B7" s="217"/>
      <c r="C7" s="217"/>
      <c r="D7" s="217"/>
      <c r="E7" s="217"/>
      <c r="F7" s="217"/>
      <c r="G7" s="217"/>
      <c r="H7" s="217"/>
      <c r="I7" s="16"/>
      <c r="J7" s="38"/>
      <c r="K7" s="38"/>
    </row>
    <row r="8" spans="1:18" ht="15" customHeight="1">
      <c r="A8" s="47" t="s">
        <v>250</v>
      </c>
      <c r="B8" s="218">
        <v>2.75</v>
      </c>
      <c r="C8" s="218">
        <v>3.35</v>
      </c>
      <c r="D8" s="218">
        <v>3.35</v>
      </c>
      <c r="E8" s="218">
        <v>3.35</v>
      </c>
      <c r="F8" s="218">
        <v>3.35</v>
      </c>
      <c r="G8" s="218">
        <v>3.35</v>
      </c>
      <c r="H8" s="218">
        <v>3.35</v>
      </c>
      <c r="I8" s="173">
        <v>16.7</v>
      </c>
      <c r="J8" s="38"/>
      <c r="K8" s="38"/>
    </row>
    <row r="9" spans="1:18" ht="15" customHeight="1">
      <c r="A9" s="47"/>
      <c r="B9" s="218"/>
      <c r="C9" s="218"/>
      <c r="D9" s="218"/>
      <c r="E9" s="218"/>
      <c r="F9" s="218"/>
      <c r="G9" s="218"/>
      <c r="H9" s="218"/>
      <c r="I9" s="173"/>
      <c r="J9" s="38"/>
      <c r="K9" s="38"/>
    </row>
    <row r="10" spans="1:18" s="38" customFormat="1">
      <c r="A10" s="45" t="s">
        <v>634</v>
      </c>
      <c r="B10" s="222">
        <f>SUM(B5:B8)</f>
        <v>1216.75</v>
      </c>
      <c r="C10" s="222">
        <f t="shared" ref="C10:H10" si="0">SUM(C5:C8)</f>
        <v>1214.3499999999999</v>
      </c>
      <c r="D10" s="222">
        <f t="shared" si="0"/>
        <v>1172.3499999999999</v>
      </c>
      <c r="E10" s="222">
        <f t="shared" si="0"/>
        <v>1214.3499999999999</v>
      </c>
      <c r="F10" s="222">
        <f t="shared" si="0"/>
        <v>1214.3499999999999</v>
      </c>
      <c r="G10" s="222">
        <f t="shared" si="0"/>
        <v>1214.3499999999999</v>
      </c>
      <c r="H10" s="222">
        <f t="shared" si="0"/>
        <v>1214.3499999999999</v>
      </c>
    </row>
    <row r="11" spans="1:18" s="38" customFormat="1">
      <c r="A11" s="45"/>
      <c r="B11" s="81"/>
      <c r="C11" s="81"/>
      <c r="D11" s="81"/>
      <c r="E11" s="81"/>
      <c r="F11" s="81"/>
      <c r="G11" s="81"/>
      <c r="H11" s="81"/>
    </row>
    <row r="12" spans="1:18">
      <c r="A12" s="46" t="s">
        <v>594</v>
      </c>
    </row>
    <row r="13" spans="1:18">
      <c r="A13" s="46" t="s">
        <v>354</v>
      </c>
    </row>
    <row r="14" spans="1:18">
      <c r="A14" s="145"/>
    </row>
    <row r="15" spans="1:18">
      <c r="A15" s="44" t="s">
        <v>155</v>
      </c>
      <c r="B15" s="37" t="s">
        <v>246</v>
      </c>
    </row>
    <row r="16" spans="1:18">
      <c r="A16" s="44" t="s">
        <v>156</v>
      </c>
      <c r="B16" s="37" t="s">
        <v>247</v>
      </c>
    </row>
    <row r="17" spans="1:4">
      <c r="A17" s="44" t="s">
        <v>244</v>
      </c>
      <c r="B17" s="37" t="s">
        <v>249</v>
      </c>
    </row>
    <row r="18" spans="1:4">
      <c r="A18" s="44" t="s">
        <v>245</v>
      </c>
      <c r="B18" s="37" t="s">
        <v>248</v>
      </c>
    </row>
    <row r="20" spans="1:4">
      <c r="A20" s="199" t="s">
        <v>635</v>
      </c>
    </row>
    <row r="21" spans="1:4">
      <c r="A21" s="199" t="s">
        <v>595</v>
      </c>
    </row>
    <row r="22" spans="1:4">
      <c r="A22" s="199" t="s">
        <v>596</v>
      </c>
    </row>
    <row r="23" spans="1:4">
      <c r="A23" s="199" t="s">
        <v>647</v>
      </c>
    </row>
    <row r="24" spans="1:4">
      <c r="A24" s="199" t="s">
        <v>642</v>
      </c>
    </row>
    <row r="25" spans="1:4">
      <c r="A25" s="199" t="s">
        <v>643</v>
      </c>
    </row>
    <row r="26" spans="1:4" s="137" customFormat="1">
      <c r="A26" s="2" t="s">
        <v>644</v>
      </c>
    </row>
    <row r="27" spans="1:4" s="137" customFormat="1">
      <c r="A27" s="2" t="s">
        <v>645</v>
      </c>
    </row>
    <row r="28" spans="1:4" s="137" customFormat="1">
      <c r="A28" s="2" t="s">
        <v>646</v>
      </c>
    </row>
    <row r="29" spans="1:4" s="137" customFormat="1">
      <c r="A29" s="213" t="s">
        <v>612</v>
      </c>
    </row>
    <row r="30" spans="1:4" s="137" customFormat="1">
      <c r="A30" s="221" t="s">
        <v>613</v>
      </c>
    </row>
    <row r="31" spans="1:4">
      <c r="A31" s="55"/>
      <c r="B31" s="251"/>
      <c r="C31" s="251"/>
      <c r="D31" s="251"/>
    </row>
    <row r="32" spans="1:4">
      <c r="A32" s="176"/>
      <c r="B32" s="219"/>
      <c r="C32" s="219"/>
      <c r="D32" s="219"/>
    </row>
  </sheetData>
  <mergeCells count="1">
    <mergeCell ref="I1:I3"/>
  </mergeCells>
  <hyperlinks>
    <hyperlink ref="A30" r:id="rId1" display="Bron: Bijlagen bij de Miljoenennota 2018"/>
  </hyperlinks>
  <pageMargins left="0.70866141732283472" right="0.70866141732283472" top="0.74803149606299213" bottom="0.74803149606299213" header="0.31496062992125984" footer="0.31496062992125984"/>
  <pageSetup paperSize="9" scale="85" orientation="landscape" r:id="rId2"/>
  <headerFooter>
    <oddFooter>&amp;L&amp;Z&amp;F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2"/>
  <sheetViews>
    <sheetView zoomScaleNormal="100" workbookViewId="0"/>
  </sheetViews>
  <sheetFormatPr defaultRowHeight="12.75"/>
  <cols>
    <col min="1" max="1" width="12" style="4" customWidth="1"/>
    <col min="2" max="2" width="51.5703125" style="4" customWidth="1"/>
    <col min="3" max="9" width="13.5703125" style="4" customWidth="1"/>
    <col min="10" max="10" width="10.85546875" style="4" customWidth="1"/>
    <col min="11" max="11" width="9.140625" style="4"/>
    <col min="12" max="12" width="11.42578125" style="4" customWidth="1"/>
    <col min="13" max="13" width="15.28515625" style="4" customWidth="1"/>
    <col min="14" max="14" width="6.28515625" style="4" customWidth="1"/>
    <col min="15" max="16384" width="9.140625" style="4"/>
  </cols>
  <sheetData>
    <row r="1" spans="1:14" ht="18.75">
      <c r="A1" s="27" t="s">
        <v>461</v>
      </c>
      <c r="B1" s="175"/>
      <c r="C1" s="175"/>
      <c r="D1" s="175"/>
      <c r="E1" s="175"/>
      <c r="F1" s="175"/>
      <c r="G1" s="175"/>
      <c r="H1" s="175"/>
      <c r="I1" s="175"/>
      <c r="J1" s="175"/>
      <c r="K1" s="175"/>
      <c r="L1" s="103"/>
      <c r="M1" s="175"/>
      <c r="N1" s="175"/>
    </row>
    <row r="3" spans="1:14">
      <c r="A3" s="26" t="s">
        <v>78</v>
      </c>
      <c r="B3" s="24" t="s">
        <v>79</v>
      </c>
      <c r="C3" s="1" t="s">
        <v>257</v>
      </c>
      <c r="D3" s="24" t="s">
        <v>80</v>
      </c>
      <c r="E3" s="24" t="s">
        <v>81</v>
      </c>
      <c r="F3" s="24" t="s">
        <v>82</v>
      </c>
      <c r="G3" s="24"/>
      <c r="H3" s="24"/>
      <c r="I3" s="24"/>
      <c r="J3" s="24" t="s">
        <v>459</v>
      </c>
      <c r="K3" s="25" t="s">
        <v>83</v>
      </c>
      <c r="L3" s="24" t="s">
        <v>53</v>
      </c>
      <c r="M3" s="24" t="s">
        <v>0</v>
      </c>
      <c r="N3" s="24" t="s">
        <v>1</v>
      </c>
    </row>
    <row r="4" spans="1:14">
      <c r="A4" s="26"/>
      <c r="B4" s="24"/>
      <c r="C4" s="1">
        <f>Totaal!C3</f>
        <v>2016</v>
      </c>
      <c r="D4" s="1">
        <f>Totaal!D3</f>
        <v>2017</v>
      </c>
      <c r="E4" s="1">
        <f>Totaal!E3</f>
        <v>2018</v>
      </c>
      <c r="F4" s="1">
        <f>Totaal!F3</f>
        <v>2019</v>
      </c>
      <c r="G4" s="1">
        <f>Totaal!G3</f>
        <v>2020</v>
      </c>
      <c r="H4" s="1">
        <f>Totaal!H3</f>
        <v>2021</v>
      </c>
      <c r="I4" s="1">
        <f>Totaal!I3</f>
        <v>2022</v>
      </c>
      <c r="J4" s="24"/>
      <c r="K4" s="25"/>
      <c r="L4" s="24"/>
      <c r="M4" s="24"/>
      <c r="N4" s="24"/>
    </row>
    <row r="5" spans="1:14" s="1" customFormat="1"/>
    <row r="6" spans="1:14" s="3" customFormat="1" ht="15">
      <c r="A6" s="15"/>
      <c r="B6" s="15" t="s">
        <v>45</v>
      </c>
      <c r="C6" s="15"/>
      <c r="D6" s="15"/>
      <c r="E6" s="15"/>
      <c r="F6" s="15"/>
      <c r="G6" s="15"/>
      <c r="H6" s="15"/>
      <c r="I6" s="15"/>
      <c r="J6" s="15"/>
      <c r="K6" s="15"/>
      <c r="L6" s="14"/>
      <c r="M6" s="15"/>
      <c r="N6" s="15"/>
    </row>
    <row r="7" spans="1:14" ht="25.5">
      <c r="A7" s="7" t="s">
        <v>62</v>
      </c>
      <c r="B7" s="21" t="s">
        <v>60</v>
      </c>
      <c r="C7" s="104">
        <v>0.52</v>
      </c>
      <c r="D7" s="103">
        <v>0.59399999999999997</v>
      </c>
      <c r="E7" s="103">
        <v>0.59399999999999997</v>
      </c>
      <c r="F7" s="103">
        <v>0.59399999999999997</v>
      </c>
      <c r="G7" s="103">
        <v>0.59399999999999997</v>
      </c>
      <c r="H7" s="103">
        <v>0.59399999999999997</v>
      </c>
      <c r="I7" s="103">
        <v>0.59399999999999997</v>
      </c>
      <c r="J7" s="4">
        <v>100</v>
      </c>
      <c r="K7" s="4">
        <v>11</v>
      </c>
      <c r="L7" s="103" t="s">
        <v>61</v>
      </c>
      <c r="M7" s="4" t="s">
        <v>9</v>
      </c>
      <c r="N7" s="4" t="s">
        <v>43</v>
      </c>
    </row>
    <row r="8" spans="1:14" s="3" customFormat="1" ht="15">
      <c r="A8" s="82"/>
      <c r="B8" s="22" t="s">
        <v>64</v>
      </c>
      <c r="C8" s="12">
        <f>C7</f>
        <v>0.52</v>
      </c>
      <c r="D8" s="12">
        <f t="shared" ref="D8:I8" si="0">D7</f>
        <v>0.59399999999999997</v>
      </c>
      <c r="E8" s="12">
        <f t="shared" si="0"/>
        <v>0.59399999999999997</v>
      </c>
      <c r="F8" s="12">
        <f t="shared" si="0"/>
        <v>0.59399999999999997</v>
      </c>
      <c r="G8" s="12">
        <f t="shared" si="0"/>
        <v>0.59399999999999997</v>
      </c>
      <c r="H8" s="12">
        <f t="shared" si="0"/>
        <v>0.59399999999999997</v>
      </c>
      <c r="I8" s="12">
        <f t="shared" si="0"/>
        <v>0.59399999999999997</v>
      </c>
      <c r="J8" s="1"/>
      <c r="K8" s="1"/>
      <c r="L8" s="24"/>
      <c r="M8" s="1"/>
      <c r="N8" s="1"/>
    </row>
    <row r="9" spans="1:14" s="1" customFormat="1">
      <c r="C9" s="58"/>
      <c r="D9" s="58"/>
      <c r="E9" s="58"/>
      <c r="F9" s="58"/>
      <c r="G9" s="58"/>
      <c r="H9" s="58"/>
      <c r="I9" s="58"/>
    </row>
    <row r="10" spans="1:14" s="3" customFormat="1" ht="15">
      <c r="A10" s="15"/>
      <c r="B10" s="15" t="s">
        <v>46</v>
      </c>
      <c r="C10" s="59"/>
      <c r="D10" s="59"/>
      <c r="E10" s="59"/>
      <c r="F10" s="59"/>
      <c r="G10" s="59"/>
      <c r="H10" s="59"/>
      <c r="I10" s="59"/>
      <c r="J10" s="15"/>
      <c r="K10" s="15"/>
      <c r="L10" s="14"/>
      <c r="M10" s="15"/>
      <c r="N10" s="15"/>
    </row>
    <row r="11" spans="1:14" s="7" customFormat="1">
      <c r="A11" s="7" t="s">
        <v>171</v>
      </c>
      <c r="B11" s="7" t="s">
        <v>172</v>
      </c>
      <c r="C11" s="147">
        <v>0.28000000000000003</v>
      </c>
      <c r="D11" s="147">
        <v>0.24199999999999999</v>
      </c>
      <c r="E11" s="147">
        <v>0.24199999999999999</v>
      </c>
      <c r="F11" s="147">
        <v>0.24199999999999999</v>
      </c>
      <c r="G11" s="147">
        <v>0.24199999999999999</v>
      </c>
      <c r="H11" s="147">
        <v>0.24199999999999999</v>
      </c>
      <c r="I11" s="147">
        <v>0.24199999999999999</v>
      </c>
      <c r="J11" s="7">
        <v>10</v>
      </c>
      <c r="K11" s="103">
        <v>11</v>
      </c>
      <c r="L11" s="103" t="s">
        <v>61</v>
      </c>
      <c r="M11" s="7" t="s">
        <v>7</v>
      </c>
      <c r="N11" s="7" t="s">
        <v>42</v>
      </c>
    </row>
    <row r="12" spans="1:14" s="7" customFormat="1">
      <c r="A12" s="7" t="s">
        <v>287</v>
      </c>
      <c r="B12" s="7" t="s">
        <v>173</v>
      </c>
      <c r="C12" s="147">
        <v>3.2429999999999999</v>
      </c>
      <c r="D12" s="147">
        <v>3</v>
      </c>
      <c r="E12" s="147">
        <v>3</v>
      </c>
      <c r="F12" s="147">
        <v>3</v>
      </c>
      <c r="G12" s="147">
        <v>3</v>
      </c>
      <c r="H12" s="147">
        <v>3</v>
      </c>
      <c r="I12" s="147">
        <v>3</v>
      </c>
      <c r="J12" s="7">
        <v>100</v>
      </c>
      <c r="K12" s="103">
        <v>11</v>
      </c>
      <c r="L12" s="103" t="s">
        <v>61</v>
      </c>
      <c r="M12" s="7" t="s">
        <v>11</v>
      </c>
      <c r="N12" s="7" t="s">
        <v>43</v>
      </c>
    </row>
    <row r="13" spans="1:14" s="7" customFormat="1">
      <c r="A13" s="7" t="s">
        <v>193</v>
      </c>
      <c r="B13" s="7" t="s">
        <v>288</v>
      </c>
      <c r="C13" s="63">
        <v>21.734000000000002</v>
      </c>
      <c r="D13" s="63">
        <v>24.523</v>
      </c>
      <c r="E13" s="63">
        <v>24.523</v>
      </c>
      <c r="F13" s="63">
        <v>24.523</v>
      </c>
      <c r="G13" s="63">
        <v>24.523</v>
      </c>
      <c r="H13" s="63">
        <v>24.523</v>
      </c>
      <c r="I13" s="63">
        <v>24.523</v>
      </c>
      <c r="J13" s="7">
        <v>5</v>
      </c>
      <c r="K13" s="103">
        <v>11</v>
      </c>
      <c r="L13" s="103" t="s">
        <v>61</v>
      </c>
      <c r="M13" s="7" t="s">
        <v>11</v>
      </c>
      <c r="N13" s="7" t="s">
        <v>43</v>
      </c>
    </row>
    <row r="14" spans="1:14">
      <c r="A14" s="4" t="s">
        <v>289</v>
      </c>
      <c r="B14" s="4" t="s">
        <v>290</v>
      </c>
      <c r="C14" s="61">
        <v>6.9870000000000001</v>
      </c>
      <c r="D14" s="61">
        <v>6.88</v>
      </c>
      <c r="E14" s="61">
        <v>6.88</v>
      </c>
      <c r="F14" s="61">
        <v>6.88</v>
      </c>
      <c r="G14" s="61">
        <v>6.88</v>
      </c>
      <c r="H14" s="61">
        <v>6.88</v>
      </c>
      <c r="I14" s="61">
        <v>6.88</v>
      </c>
      <c r="J14" s="4">
        <v>5</v>
      </c>
      <c r="K14" s="103">
        <v>11</v>
      </c>
      <c r="L14" s="103" t="s">
        <v>61</v>
      </c>
      <c r="M14" s="7" t="s">
        <v>11</v>
      </c>
      <c r="N14" s="7" t="s">
        <v>43</v>
      </c>
    </row>
    <row r="15" spans="1:14">
      <c r="A15" s="4" t="s">
        <v>291</v>
      </c>
      <c r="B15" s="4" t="s">
        <v>292</v>
      </c>
      <c r="C15" s="61">
        <v>4.7169999999999996</v>
      </c>
      <c r="D15" s="61">
        <v>5.306</v>
      </c>
      <c r="E15" s="61">
        <v>5.306</v>
      </c>
      <c r="F15" s="61">
        <v>5.306</v>
      </c>
      <c r="G15" s="61">
        <v>5.306</v>
      </c>
      <c r="H15" s="61">
        <v>5.306</v>
      </c>
      <c r="I15" s="61">
        <v>5.306</v>
      </c>
      <c r="J15" s="4">
        <v>5</v>
      </c>
      <c r="K15" s="103">
        <v>11</v>
      </c>
      <c r="L15" s="103" t="s">
        <v>61</v>
      </c>
      <c r="M15" s="7" t="s">
        <v>11</v>
      </c>
      <c r="N15" s="7" t="s">
        <v>43</v>
      </c>
    </row>
    <row r="16" spans="1:14" s="3" customFormat="1" ht="15">
      <c r="B16" s="3" t="s">
        <v>65</v>
      </c>
      <c r="C16" s="12">
        <f t="shared" ref="C16:I16" si="1">SUM(C11:C15)</f>
        <v>36.960999999999999</v>
      </c>
      <c r="D16" s="12">
        <f t="shared" si="1"/>
        <v>39.951000000000001</v>
      </c>
      <c r="E16" s="12">
        <f t="shared" si="1"/>
        <v>39.951000000000001</v>
      </c>
      <c r="F16" s="12">
        <f t="shared" si="1"/>
        <v>39.951000000000001</v>
      </c>
      <c r="G16" s="12">
        <f t="shared" si="1"/>
        <v>39.951000000000001</v>
      </c>
      <c r="H16" s="12">
        <f t="shared" si="1"/>
        <v>39.951000000000001</v>
      </c>
      <c r="I16" s="12">
        <f t="shared" si="1"/>
        <v>39.951000000000001</v>
      </c>
    </row>
    <row r="17" spans="1:14" s="1" customFormat="1">
      <c r="C17" s="58"/>
      <c r="D17" s="58"/>
      <c r="E17" s="58"/>
      <c r="F17" s="58"/>
      <c r="G17" s="58"/>
      <c r="H17" s="58"/>
      <c r="I17" s="58"/>
    </row>
    <row r="18" spans="1:14" s="1" customFormat="1" ht="15">
      <c r="A18" s="14"/>
      <c r="B18" s="15" t="s">
        <v>606</v>
      </c>
      <c r="C18" s="60"/>
      <c r="D18" s="60"/>
      <c r="E18" s="60"/>
      <c r="F18" s="60"/>
      <c r="G18" s="60"/>
      <c r="H18" s="60"/>
      <c r="I18" s="60"/>
      <c r="J18" s="14"/>
      <c r="K18" s="14"/>
      <c r="L18" s="14"/>
      <c r="M18" s="14"/>
      <c r="N18" s="14"/>
    </row>
    <row r="19" spans="1:14">
      <c r="A19" s="125" t="s">
        <v>70</v>
      </c>
      <c r="B19" s="103" t="s">
        <v>75</v>
      </c>
      <c r="C19" s="104">
        <v>6.38</v>
      </c>
      <c r="D19" s="104">
        <v>6.7</v>
      </c>
      <c r="E19" s="104">
        <v>6.7</v>
      </c>
      <c r="F19" s="104">
        <v>6.7</v>
      </c>
      <c r="G19" s="104">
        <v>6.7</v>
      </c>
      <c r="H19" s="104">
        <v>6.7</v>
      </c>
      <c r="I19" s="104">
        <v>6.7</v>
      </c>
      <c r="J19" s="103">
        <v>15</v>
      </c>
      <c r="K19" s="103">
        <v>11</v>
      </c>
      <c r="L19" s="103" t="s">
        <v>61</v>
      </c>
      <c r="M19" s="103" t="s">
        <v>9</v>
      </c>
      <c r="N19" s="103" t="s">
        <v>42</v>
      </c>
    </row>
    <row r="20" spans="1:14" s="7" customFormat="1">
      <c r="A20" s="125" t="s">
        <v>464</v>
      </c>
      <c r="B20" s="125" t="s">
        <v>77</v>
      </c>
      <c r="C20" s="128">
        <v>12.9564</v>
      </c>
      <c r="D20" s="128">
        <v>10.067616000000001</v>
      </c>
      <c r="E20" s="128">
        <v>10.184688000000001</v>
      </c>
      <c r="F20" s="128">
        <v>10.179504000000001</v>
      </c>
      <c r="G20" s="128">
        <v>10.177344000000002</v>
      </c>
      <c r="H20" s="128">
        <v>10.235520000000001</v>
      </c>
      <c r="I20" s="128">
        <v>10.235520000000001</v>
      </c>
      <c r="J20" s="163">
        <v>14</v>
      </c>
      <c r="K20" s="125">
        <v>11</v>
      </c>
      <c r="L20" s="125" t="s">
        <v>61</v>
      </c>
      <c r="M20" s="125" t="s">
        <v>9</v>
      </c>
      <c r="N20" s="125" t="s">
        <v>42</v>
      </c>
    </row>
    <row r="21" spans="1:14">
      <c r="A21" s="125" t="s">
        <v>70</v>
      </c>
      <c r="B21" s="103" t="s">
        <v>72</v>
      </c>
      <c r="C21" s="104">
        <v>2.4780000000000002</v>
      </c>
      <c r="D21" s="104">
        <v>2.6219999999999999</v>
      </c>
      <c r="E21" s="104">
        <v>2.56</v>
      </c>
      <c r="F21" s="104">
        <v>2.492</v>
      </c>
      <c r="G21" s="104">
        <v>2.492</v>
      </c>
      <c r="H21" s="104">
        <v>2.492</v>
      </c>
      <c r="I21" s="104">
        <v>2.4940000000000002</v>
      </c>
      <c r="J21" s="103">
        <v>10</v>
      </c>
      <c r="K21" s="103">
        <v>11</v>
      </c>
      <c r="L21" s="103" t="s">
        <v>61</v>
      </c>
      <c r="M21" s="103" t="s">
        <v>73</v>
      </c>
      <c r="N21" s="4" t="s">
        <v>43</v>
      </c>
    </row>
    <row r="22" spans="1:14">
      <c r="A22" s="125" t="s">
        <v>70</v>
      </c>
      <c r="B22" s="103" t="s">
        <v>74</v>
      </c>
      <c r="C22" s="104">
        <v>2.4790000000000001</v>
      </c>
      <c r="D22" s="104">
        <v>2.6230000000000002</v>
      </c>
      <c r="E22" s="104">
        <v>2.56</v>
      </c>
      <c r="F22" s="104">
        <v>2.4929999999999999</v>
      </c>
      <c r="G22" s="104">
        <v>2.492</v>
      </c>
      <c r="H22" s="104">
        <v>2.4929999999999999</v>
      </c>
      <c r="I22" s="104">
        <v>2.4940000000000002</v>
      </c>
      <c r="J22" s="103">
        <v>10</v>
      </c>
      <c r="K22" s="103">
        <v>11</v>
      </c>
      <c r="L22" s="103" t="s">
        <v>61</v>
      </c>
      <c r="M22" s="103" t="s">
        <v>7</v>
      </c>
      <c r="N22" s="4" t="s">
        <v>43</v>
      </c>
    </row>
    <row r="23" spans="1:14" s="3" customFormat="1" ht="15">
      <c r="A23" s="82"/>
      <c r="B23" s="3" t="s">
        <v>611</v>
      </c>
      <c r="C23" s="12">
        <f>SUM(C19:C22)</f>
        <v>24.293400000000002</v>
      </c>
      <c r="D23" s="12">
        <f t="shared" ref="D23:I23" si="2">SUM(D19:D22)</f>
        <v>22.012616000000001</v>
      </c>
      <c r="E23" s="12">
        <f t="shared" si="2"/>
        <v>22.004687999999998</v>
      </c>
      <c r="F23" s="12">
        <f t="shared" si="2"/>
        <v>21.864504</v>
      </c>
      <c r="G23" s="12">
        <f t="shared" si="2"/>
        <v>21.861344000000003</v>
      </c>
      <c r="H23" s="12">
        <f t="shared" si="2"/>
        <v>21.92052</v>
      </c>
      <c r="I23" s="12">
        <f t="shared" si="2"/>
        <v>21.92352</v>
      </c>
      <c r="L23" s="1"/>
    </row>
    <row r="24" spans="1:14" s="3" customFormat="1" ht="15">
      <c r="C24" s="12"/>
      <c r="D24" s="12"/>
      <c r="E24" s="12"/>
      <c r="F24" s="12"/>
      <c r="G24" s="12"/>
      <c r="H24" s="12"/>
      <c r="I24" s="12"/>
      <c r="L24" s="1"/>
    </row>
    <row r="25" spans="1:14" s="3" customFormat="1" ht="15">
      <c r="A25" s="15"/>
      <c r="B25" s="15" t="s">
        <v>68</v>
      </c>
      <c r="C25" s="59"/>
      <c r="D25" s="59"/>
      <c r="E25" s="59"/>
      <c r="F25" s="59"/>
      <c r="G25" s="59"/>
      <c r="H25" s="59"/>
      <c r="I25" s="59"/>
      <c r="J25" s="15"/>
      <c r="K25" s="15"/>
      <c r="L25" s="14"/>
      <c r="M25" s="15"/>
      <c r="N25" s="15"/>
    </row>
    <row r="26" spans="1:14" s="1" customFormat="1">
      <c r="A26" s="125" t="s">
        <v>465</v>
      </c>
      <c r="B26" s="103" t="s">
        <v>274</v>
      </c>
      <c r="C26" s="104">
        <v>2.8250000000000002</v>
      </c>
      <c r="D26" s="104">
        <v>2.9670000000000001</v>
      </c>
      <c r="E26" s="104">
        <v>2.8839999999999999</v>
      </c>
      <c r="F26" s="104">
        <v>2.46</v>
      </c>
      <c r="G26" s="104">
        <v>2.4140000000000001</v>
      </c>
      <c r="H26" s="104">
        <v>2.8119999999999998</v>
      </c>
      <c r="I26" s="104">
        <v>2.8109999999999999</v>
      </c>
      <c r="J26" s="103">
        <v>80</v>
      </c>
      <c r="K26" s="103">
        <v>1</v>
      </c>
      <c r="L26" s="103" t="s">
        <v>117</v>
      </c>
      <c r="M26" s="8" t="s">
        <v>7</v>
      </c>
      <c r="N26" s="103" t="s">
        <v>43</v>
      </c>
    </row>
    <row r="27" spans="1:14" s="1" customFormat="1">
      <c r="A27" s="125" t="s">
        <v>465</v>
      </c>
      <c r="B27" s="103" t="s">
        <v>274</v>
      </c>
      <c r="C27" s="104">
        <v>0.20200000000000001</v>
      </c>
      <c r="D27" s="104">
        <v>0.21199999999999999</v>
      </c>
      <c r="E27" s="104">
        <v>0.20599999999999999</v>
      </c>
      <c r="F27" s="104">
        <v>0.17599999999999999</v>
      </c>
      <c r="G27" s="104">
        <v>0.17199999999999999</v>
      </c>
      <c r="H27" s="104">
        <v>0.20100000000000001</v>
      </c>
      <c r="I27" s="104">
        <v>0.20100000000000001</v>
      </c>
      <c r="J27" s="103">
        <v>80</v>
      </c>
      <c r="K27" s="103">
        <v>1</v>
      </c>
      <c r="L27" s="103" t="s">
        <v>117</v>
      </c>
      <c r="M27" s="8" t="s">
        <v>73</v>
      </c>
      <c r="N27" s="103" t="s">
        <v>43</v>
      </c>
    </row>
    <row r="28" spans="1:14" s="1" customFormat="1">
      <c r="A28" s="125" t="s">
        <v>465</v>
      </c>
      <c r="B28" s="103" t="s">
        <v>274</v>
      </c>
      <c r="C28" s="104">
        <v>7.0620000000000003</v>
      </c>
      <c r="D28" s="104">
        <v>7.4169999999999998</v>
      </c>
      <c r="E28" s="104">
        <v>7.2089999999999996</v>
      </c>
      <c r="F28" s="104">
        <v>6.1509999999999998</v>
      </c>
      <c r="G28" s="104">
        <v>6.0350000000000001</v>
      </c>
      <c r="H28" s="104">
        <v>7.0289999999999999</v>
      </c>
      <c r="I28" s="104">
        <v>7.0279999999999996</v>
      </c>
      <c r="J28" s="103">
        <v>80</v>
      </c>
      <c r="K28" s="103">
        <v>1</v>
      </c>
      <c r="L28" s="103" t="s">
        <v>117</v>
      </c>
      <c r="M28" s="8" t="s">
        <v>481</v>
      </c>
      <c r="N28" s="103" t="s">
        <v>43</v>
      </c>
    </row>
    <row r="29" spans="1:14" s="3" customFormat="1" ht="15">
      <c r="A29" s="82"/>
      <c r="B29" s="3" t="s">
        <v>69</v>
      </c>
      <c r="C29" s="6">
        <f t="shared" ref="C29:I29" si="3">SUM(C26:C28)</f>
        <v>10.089</v>
      </c>
      <c r="D29" s="6">
        <f t="shared" si="3"/>
        <v>10.596</v>
      </c>
      <c r="E29" s="6">
        <f t="shared" si="3"/>
        <v>10.298999999999999</v>
      </c>
      <c r="F29" s="6">
        <f t="shared" si="3"/>
        <v>8.786999999999999</v>
      </c>
      <c r="G29" s="6">
        <f t="shared" si="3"/>
        <v>8.6210000000000004</v>
      </c>
      <c r="H29" s="6">
        <f t="shared" si="3"/>
        <v>10.042</v>
      </c>
      <c r="I29" s="6">
        <f t="shared" si="3"/>
        <v>10.039999999999999</v>
      </c>
      <c r="L29" s="1"/>
    </row>
    <row r="30" spans="1:14" s="1" customFormat="1">
      <c r="C30" s="195"/>
      <c r="D30" s="195"/>
      <c r="E30" s="195"/>
      <c r="F30" s="195"/>
      <c r="G30" s="195"/>
      <c r="H30" s="195"/>
      <c r="I30" s="201"/>
      <c r="J30" s="58"/>
    </row>
    <row r="31" spans="1:14" s="1" customFormat="1" ht="15">
      <c r="A31" s="14"/>
      <c r="B31" s="15" t="s">
        <v>47</v>
      </c>
      <c r="C31" s="60"/>
      <c r="D31" s="60"/>
      <c r="E31" s="60"/>
      <c r="F31" s="60"/>
      <c r="G31" s="60"/>
      <c r="H31" s="60"/>
      <c r="I31" s="60"/>
      <c r="J31" s="14"/>
      <c r="K31" s="14"/>
      <c r="L31" s="14"/>
      <c r="M31" s="14"/>
      <c r="N31" s="14"/>
    </row>
    <row r="32" spans="1:14" s="23" customFormat="1">
      <c r="A32" s="139">
        <v>7</v>
      </c>
      <c r="B32" s="140" t="s">
        <v>90</v>
      </c>
      <c r="C32" s="143">
        <v>2459.3811111109917</v>
      </c>
      <c r="D32" s="143">
        <v>2529.9164493973544</v>
      </c>
      <c r="E32" s="143">
        <v>2522.9855048397781</v>
      </c>
      <c r="F32" s="143">
        <v>2534.9271794673377</v>
      </c>
      <c r="G32" s="143">
        <v>2558.9905224231411</v>
      </c>
      <c r="H32" s="143">
        <v>2580.1429008567943</v>
      </c>
      <c r="I32" s="143">
        <v>2602.4531864528049</v>
      </c>
      <c r="J32" s="174">
        <v>60.360060591986993</v>
      </c>
      <c r="K32" s="142" t="s">
        <v>448</v>
      </c>
      <c r="L32" s="140"/>
      <c r="M32" s="142"/>
      <c r="N32" s="140" t="s">
        <v>42</v>
      </c>
    </row>
    <row r="33" spans="1:14" s="23" customFormat="1">
      <c r="A33" s="139">
        <v>7</v>
      </c>
      <c r="B33" s="140" t="s">
        <v>91</v>
      </c>
      <c r="C33" s="143">
        <v>208.43459999999999</v>
      </c>
      <c r="D33" s="143">
        <v>213.411</v>
      </c>
      <c r="E33" s="143">
        <v>208.75360000000001</v>
      </c>
      <c r="F33" s="143">
        <v>209.2321</v>
      </c>
      <c r="G33" s="143">
        <v>209.74250000000001</v>
      </c>
      <c r="H33" s="143">
        <v>210.25290000000001</v>
      </c>
      <c r="I33" s="143">
        <v>210.41240000000002</v>
      </c>
      <c r="J33" s="140">
        <v>31.9</v>
      </c>
      <c r="K33" s="142" t="s">
        <v>241</v>
      </c>
      <c r="L33" s="140" t="s">
        <v>112</v>
      </c>
      <c r="M33" s="142"/>
      <c r="N33" s="140" t="s">
        <v>42</v>
      </c>
    </row>
    <row r="34" spans="1:14" s="23" customFormat="1">
      <c r="A34" s="139">
        <v>6</v>
      </c>
      <c r="B34" s="140" t="s">
        <v>355</v>
      </c>
      <c r="C34" s="143">
        <v>70.915000000000006</v>
      </c>
      <c r="D34" s="143">
        <v>72.438999999999993</v>
      </c>
      <c r="E34" s="143">
        <v>72.438999999999993</v>
      </c>
      <c r="F34" s="143">
        <v>72.444999999999993</v>
      </c>
      <c r="G34" s="143">
        <v>72.444999999999993</v>
      </c>
      <c r="H34" s="143">
        <v>72.444999999999993</v>
      </c>
      <c r="I34" s="143">
        <v>72.444999999999993</v>
      </c>
      <c r="J34" s="140">
        <v>100</v>
      </c>
      <c r="K34" s="142" t="s">
        <v>448</v>
      </c>
      <c r="L34" s="140"/>
      <c r="M34" s="142"/>
      <c r="N34" s="140" t="s">
        <v>42</v>
      </c>
    </row>
    <row r="35" spans="1:14" s="23" customFormat="1">
      <c r="A35" s="139">
        <v>7</v>
      </c>
      <c r="B35" s="140" t="s">
        <v>92</v>
      </c>
      <c r="C35" s="141">
        <v>2.4346500000000004</v>
      </c>
      <c r="D35" s="141">
        <v>2.1424500000000002</v>
      </c>
      <c r="E35" s="141">
        <v>2.1424500000000002</v>
      </c>
      <c r="F35" s="141">
        <v>2.1424500000000002</v>
      </c>
      <c r="G35" s="141">
        <v>2.1424500000000002</v>
      </c>
      <c r="H35" s="141">
        <v>2.1424500000000002</v>
      </c>
      <c r="I35" s="141">
        <v>2.1424500000000002</v>
      </c>
      <c r="J35" s="140">
        <v>15</v>
      </c>
      <c r="K35" s="142">
        <v>11</v>
      </c>
      <c r="L35" s="125" t="s">
        <v>61</v>
      </c>
      <c r="M35" s="140" t="s">
        <v>7</v>
      </c>
      <c r="N35" s="140" t="s">
        <v>42</v>
      </c>
    </row>
    <row r="36" spans="1:14" s="23" customFormat="1">
      <c r="A36" s="139">
        <v>7</v>
      </c>
      <c r="B36" s="140" t="s">
        <v>93</v>
      </c>
      <c r="C36" s="141">
        <v>0.68700000000000006</v>
      </c>
      <c r="D36" s="141">
        <v>0.70125000000000004</v>
      </c>
      <c r="E36" s="141">
        <v>0.70125000000000004</v>
      </c>
      <c r="F36" s="141">
        <v>0.70125000000000004</v>
      </c>
      <c r="G36" s="141">
        <v>0.70125000000000004</v>
      </c>
      <c r="H36" s="141">
        <v>0.70125000000000004</v>
      </c>
      <c r="I36" s="141">
        <v>0.70125000000000004</v>
      </c>
      <c r="J36" s="140">
        <v>75</v>
      </c>
      <c r="K36" s="142" t="s">
        <v>94</v>
      </c>
      <c r="L36" s="125" t="s">
        <v>95</v>
      </c>
      <c r="M36" s="140" t="s">
        <v>7</v>
      </c>
      <c r="N36" s="140" t="s">
        <v>42</v>
      </c>
    </row>
    <row r="37" spans="1:14" s="23" customFormat="1">
      <c r="A37" s="139">
        <v>16</v>
      </c>
      <c r="B37" s="140" t="s">
        <v>96</v>
      </c>
      <c r="C37" s="143">
        <v>66.043036044362296</v>
      </c>
      <c r="D37" s="143">
        <v>69.455051194539251</v>
      </c>
      <c r="E37" s="143">
        <v>69.047374787052817</v>
      </c>
      <c r="F37" s="143">
        <v>68.750565328778819</v>
      </c>
      <c r="G37" s="143">
        <v>68.697093321917805</v>
      </c>
      <c r="H37" s="143">
        <v>68.695543664383564</v>
      </c>
      <c r="I37" s="143">
        <v>68.789297945205476</v>
      </c>
      <c r="J37" s="140">
        <v>76</v>
      </c>
      <c r="K37" s="70" t="s">
        <v>17</v>
      </c>
      <c r="L37" s="125"/>
      <c r="M37" s="140" t="s">
        <v>96</v>
      </c>
      <c r="N37" s="140" t="s">
        <v>42</v>
      </c>
    </row>
    <row r="38" spans="1:14" s="23" customFormat="1">
      <c r="A38" s="139">
        <v>16</v>
      </c>
      <c r="B38" s="140" t="s">
        <v>582</v>
      </c>
      <c r="C38" s="143">
        <v>9.0610999999999997</v>
      </c>
      <c r="D38" s="143">
        <v>9.0231999999999992</v>
      </c>
      <c r="E38" s="143">
        <v>4.6553000000000004</v>
      </c>
      <c r="F38" s="143">
        <v>4.6487999999999996</v>
      </c>
      <c r="G38" s="143">
        <v>4.6486000000000001</v>
      </c>
      <c r="H38" s="143">
        <v>4.6486000000000001</v>
      </c>
      <c r="I38" s="143">
        <v>4.6548999999999996</v>
      </c>
      <c r="J38" s="140">
        <v>10</v>
      </c>
      <c r="K38" s="142">
        <v>10</v>
      </c>
      <c r="L38" s="125" t="s">
        <v>71</v>
      </c>
      <c r="M38" s="140" t="s">
        <v>9</v>
      </c>
      <c r="N38" s="140" t="s">
        <v>42</v>
      </c>
    </row>
    <row r="39" spans="1:14" s="23" customFormat="1">
      <c r="A39" s="139">
        <v>16</v>
      </c>
      <c r="B39" s="140" t="s">
        <v>444</v>
      </c>
      <c r="C39" s="143">
        <v>6.266</v>
      </c>
      <c r="D39" s="143">
        <v>6.2649999999999997</v>
      </c>
      <c r="E39" s="143">
        <v>6.2649999999999997</v>
      </c>
      <c r="F39" s="143">
        <v>6.2649999999999997</v>
      </c>
      <c r="G39" s="143">
        <v>6.2649999999999997</v>
      </c>
      <c r="H39" s="143">
        <v>6.266</v>
      </c>
      <c r="I39" s="143">
        <v>6.266</v>
      </c>
      <c r="J39" s="140">
        <v>100</v>
      </c>
      <c r="K39" s="142" t="s">
        <v>97</v>
      </c>
      <c r="L39" s="125" t="s">
        <v>98</v>
      </c>
      <c r="M39" s="140" t="s">
        <v>99</v>
      </c>
      <c r="N39" s="140" t="s">
        <v>42</v>
      </c>
    </row>
    <row r="40" spans="1:14" s="23" customFormat="1">
      <c r="A40" s="139">
        <v>16</v>
      </c>
      <c r="B40" s="140" t="s">
        <v>106</v>
      </c>
      <c r="C40" s="143">
        <v>8.359</v>
      </c>
      <c r="D40" s="143">
        <v>9.6080000000000005</v>
      </c>
      <c r="E40" s="143">
        <v>9.6080000000000005</v>
      </c>
      <c r="F40" s="143">
        <v>9.6080000000000005</v>
      </c>
      <c r="G40" s="143">
        <v>9.6080000000000005</v>
      </c>
      <c r="H40" s="143">
        <v>9.609</v>
      </c>
      <c r="I40" s="143">
        <v>9.609</v>
      </c>
      <c r="J40" s="140">
        <v>100</v>
      </c>
      <c r="K40" s="142">
        <v>7</v>
      </c>
      <c r="L40" s="125" t="s">
        <v>107</v>
      </c>
      <c r="M40" s="140" t="s">
        <v>7</v>
      </c>
      <c r="N40" s="140" t="s">
        <v>42</v>
      </c>
    </row>
    <row r="41" spans="1:14" s="23" customFormat="1">
      <c r="A41" s="139">
        <v>16</v>
      </c>
      <c r="B41" s="140" t="s">
        <v>108</v>
      </c>
      <c r="C41" s="143">
        <v>0.221</v>
      </c>
      <c r="D41" s="143">
        <v>0.221</v>
      </c>
      <c r="E41" s="143">
        <v>0.221</v>
      </c>
      <c r="F41" s="143">
        <v>0.221</v>
      </c>
      <c r="G41" s="143">
        <v>0.221</v>
      </c>
      <c r="H41" s="143">
        <v>0.221</v>
      </c>
      <c r="I41" s="143">
        <v>0.221</v>
      </c>
      <c r="J41" s="140">
        <v>100</v>
      </c>
      <c r="K41" s="142" t="s">
        <v>109</v>
      </c>
      <c r="L41" s="125" t="s">
        <v>110</v>
      </c>
      <c r="M41" s="140" t="s">
        <v>7</v>
      </c>
      <c r="N41" s="140" t="s">
        <v>42</v>
      </c>
    </row>
    <row r="42" spans="1:14" s="23" customFormat="1">
      <c r="A42" s="139">
        <v>16</v>
      </c>
      <c r="B42" s="140" t="s">
        <v>100</v>
      </c>
      <c r="C42" s="143">
        <v>0.83199999999999996</v>
      </c>
      <c r="D42" s="143">
        <v>0.85299999999999998</v>
      </c>
      <c r="E42" s="143">
        <v>0.85299999999999998</v>
      </c>
      <c r="F42" s="143">
        <v>0.85299999999999998</v>
      </c>
      <c r="G42" s="143">
        <v>0.85299999999999998</v>
      </c>
      <c r="H42" s="143">
        <v>0.85299999999999998</v>
      </c>
      <c r="I42" s="143">
        <v>0.85299999999999998</v>
      </c>
      <c r="J42" s="140">
        <v>100</v>
      </c>
      <c r="K42" s="142" t="s">
        <v>97</v>
      </c>
      <c r="L42" s="125" t="s">
        <v>98</v>
      </c>
      <c r="M42" s="140" t="s">
        <v>11</v>
      </c>
      <c r="N42" s="140" t="s">
        <v>42</v>
      </c>
    </row>
    <row r="43" spans="1:14" s="23" customFormat="1">
      <c r="A43" s="139">
        <v>16</v>
      </c>
      <c r="B43" s="140" t="s">
        <v>101</v>
      </c>
      <c r="C43" s="143">
        <v>5.016</v>
      </c>
      <c r="D43" s="143">
        <v>5.1980000000000004</v>
      </c>
      <c r="E43" s="143">
        <v>5.1980000000000004</v>
      </c>
      <c r="F43" s="143">
        <v>5.1980000000000004</v>
      </c>
      <c r="G43" s="143">
        <v>5.1980000000000004</v>
      </c>
      <c r="H43" s="143">
        <v>5.1980000000000004</v>
      </c>
      <c r="I43" s="143">
        <v>5.1980000000000004</v>
      </c>
      <c r="J43" s="140">
        <v>100</v>
      </c>
      <c r="K43" s="142" t="s">
        <v>97</v>
      </c>
      <c r="L43" s="125" t="s">
        <v>98</v>
      </c>
      <c r="M43" s="140" t="s">
        <v>11</v>
      </c>
      <c r="N43" s="140" t="s">
        <v>42</v>
      </c>
    </row>
    <row r="44" spans="1:14" s="23" customFormat="1">
      <c r="A44" s="139">
        <v>16</v>
      </c>
      <c r="B44" s="140" t="s">
        <v>104</v>
      </c>
      <c r="C44" s="143">
        <v>44.936999999999998</v>
      </c>
      <c r="D44" s="143">
        <v>49.8</v>
      </c>
      <c r="E44" s="143">
        <v>49.8</v>
      </c>
      <c r="F44" s="143">
        <v>49.8</v>
      </c>
      <c r="G44" s="143">
        <v>49.8</v>
      </c>
      <c r="H44" s="143">
        <v>49.8</v>
      </c>
      <c r="I44" s="143">
        <v>49.8</v>
      </c>
      <c r="J44" s="140">
        <v>100</v>
      </c>
      <c r="K44" s="142" t="s">
        <v>97</v>
      </c>
      <c r="L44" s="125" t="s">
        <v>98</v>
      </c>
      <c r="M44" s="140" t="s">
        <v>11</v>
      </c>
      <c r="N44" s="140" t="s">
        <v>42</v>
      </c>
    </row>
    <row r="45" spans="1:14" s="23" customFormat="1">
      <c r="A45" s="139">
        <v>16</v>
      </c>
      <c r="B45" s="140" t="s">
        <v>105</v>
      </c>
      <c r="C45" s="143">
        <v>9.0440000000000005</v>
      </c>
      <c r="D45" s="143">
        <v>10.019</v>
      </c>
      <c r="E45" s="143">
        <v>10.019</v>
      </c>
      <c r="F45" s="143">
        <v>10.019</v>
      </c>
      <c r="G45" s="143">
        <v>10.019</v>
      </c>
      <c r="H45" s="143">
        <v>10.019</v>
      </c>
      <c r="I45" s="143">
        <v>10.019</v>
      </c>
      <c r="J45" s="140">
        <v>100</v>
      </c>
      <c r="K45" s="142" t="s">
        <v>97</v>
      </c>
      <c r="L45" s="125" t="s">
        <v>98</v>
      </c>
      <c r="M45" s="140" t="s">
        <v>11</v>
      </c>
      <c r="N45" s="140" t="s">
        <v>42</v>
      </c>
    </row>
    <row r="46" spans="1:14" s="7" customFormat="1">
      <c r="A46" s="139">
        <v>14</v>
      </c>
      <c r="B46" s="140" t="s">
        <v>583</v>
      </c>
      <c r="C46" s="143"/>
      <c r="D46" s="143">
        <v>0.11940000000000001</v>
      </c>
      <c r="E46" s="143">
        <v>4.6098999999999997</v>
      </c>
      <c r="F46" s="143">
        <v>4.6098999999999997</v>
      </c>
      <c r="G46" s="143">
        <v>4.6098999999999997</v>
      </c>
      <c r="H46" s="143">
        <v>4.6098999999999997</v>
      </c>
      <c r="I46" s="143">
        <v>4.6098999999999997</v>
      </c>
      <c r="J46" s="140">
        <v>10</v>
      </c>
      <c r="K46" s="142">
        <v>10</v>
      </c>
      <c r="L46" s="125" t="s">
        <v>71</v>
      </c>
      <c r="M46" s="140" t="s">
        <v>9</v>
      </c>
      <c r="N46" s="140" t="s">
        <v>42</v>
      </c>
    </row>
    <row r="47" spans="1:14" s="23" customFormat="1">
      <c r="A47" s="139" t="s">
        <v>120</v>
      </c>
      <c r="B47" s="140" t="s">
        <v>273</v>
      </c>
      <c r="C47" s="143">
        <f>0.27*35.042</f>
        <v>9.4613400000000016</v>
      </c>
      <c r="D47" s="143">
        <f>0.27*33.211</f>
        <v>8.9669699999999999</v>
      </c>
      <c r="E47" s="143">
        <f>0.27*32.107</f>
        <v>8.6688900000000011</v>
      </c>
      <c r="F47" s="143">
        <f>0.27*31.503</f>
        <v>8.5058100000000003</v>
      </c>
      <c r="G47" s="143">
        <f>0.27*31.469</f>
        <v>8.4966300000000015</v>
      </c>
      <c r="H47" s="143">
        <f>0.27*31.469</f>
        <v>8.4966300000000015</v>
      </c>
      <c r="I47" s="143">
        <f>0.27*31.469</f>
        <v>8.4966300000000015</v>
      </c>
      <c r="J47" s="140">
        <v>27</v>
      </c>
      <c r="K47" s="142">
        <v>10</v>
      </c>
      <c r="L47" s="125" t="s">
        <v>71</v>
      </c>
      <c r="M47" s="140" t="s">
        <v>9</v>
      </c>
      <c r="N47" s="140" t="s">
        <v>42</v>
      </c>
    </row>
    <row r="48" spans="1:14" s="23" customFormat="1">
      <c r="A48" s="139" t="s">
        <v>120</v>
      </c>
      <c r="B48" s="140" t="s">
        <v>121</v>
      </c>
      <c r="C48" s="143">
        <f>0.06*6.391</f>
        <v>0.38345999999999997</v>
      </c>
      <c r="D48" s="143">
        <f>0.06*5.054</f>
        <v>0.30324000000000001</v>
      </c>
      <c r="E48" s="143">
        <f t="shared" ref="E48:H48" si="4">0.06*5.054</f>
        <v>0.30324000000000001</v>
      </c>
      <c r="F48" s="143">
        <f t="shared" si="4"/>
        <v>0.30324000000000001</v>
      </c>
      <c r="G48" s="143">
        <f t="shared" si="4"/>
        <v>0.30324000000000001</v>
      </c>
      <c r="H48" s="143">
        <f t="shared" si="4"/>
        <v>0.30324000000000001</v>
      </c>
      <c r="I48" s="143"/>
      <c r="J48" s="140">
        <v>6</v>
      </c>
      <c r="K48" s="142">
        <v>10</v>
      </c>
      <c r="L48" s="125" t="s">
        <v>71</v>
      </c>
      <c r="M48" s="140" t="s">
        <v>9</v>
      </c>
      <c r="N48" s="140" t="s">
        <v>42</v>
      </c>
    </row>
    <row r="49" spans="1:15" s="23" customFormat="1">
      <c r="A49" s="139" t="s">
        <v>120</v>
      </c>
      <c r="B49" s="140" t="s">
        <v>123</v>
      </c>
      <c r="C49" s="143">
        <v>0.73699999999999999</v>
      </c>
      <c r="D49" s="143">
        <v>0.74399999999999999</v>
      </c>
      <c r="E49" s="143">
        <v>0.74399999999999999</v>
      </c>
      <c r="F49" s="143">
        <v>0.74399999999999999</v>
      </c>
      <c r="G49" s="143">
        <v>0.74399999999999999</v>
      </c>
      <c r="H49" s="143">
        <v>0.74399999999999999</v>
      </c>
      <c r="I49" s="143"/>
      <c r="J49" s="140">
        <v>100</v>
      </c>
      <c r="K49" s="142">
        <v>10</v>
      </c>
      <c r="L49" s="125" t="s">
        <v>71</v>
      </c>
      <c r="M49" s="140" t="s">
        <v>7</v>
      </c>
      <c r="N49" s="140" t="s">
        <v>42</v>
      </c>
    </row>
    <row r="50" spans="1:15" s="23" customFormat="1">
      <c r="A50" s="139">
        <v>16</v>
      </c>
      <c r="B50" s="140" t="s">
        <v>598</v>
      </c>
      <c r="C50" s="143">
        <v>75.12854311904843</v>
      </c>
      <c r="D50" s="143">
        <v>87.547900637279128</v>
      </c>
      <c r="E50" s="143">
        <v>96.889518082733787</v>
      </c>
      <c r="F50" s="143">
        <v>96.889518082733787</v>
      </c>
      <c r="G50" s="143">
        <v>96.889518082733787</v>
      </c>
      <c r="H50" s="143">
        <v>96.889518082733787</v>
      </c>
      <c r="I50" s="143">
        <v>96.889518082733787</v>
      </c>
      <c r="J50" s="177">
        <v>92.404655752850402</v>
      </c>
      <c r="K50" s="70" t="s">
        <v>17</v>
      </c>
      <c r="L50" s="125"/>
      <c r="M50" s="140" t="s">
        <v>22</v>
      </c>
      <c r="N50" s="140" t="s">
        <v>42</v>
      </c>
      <c r="O50" s="7"/>
    </row>
    <row r="51" spans="1:15" s="23" customFormat="1">
      <c r="A51" s="139"/>
      <c r="B51" s="140" t="s">
        <v>599</v>
      </c>
      <c r="C51" s="143">
        <v>378.43510228378727</v>
      </c>
      <c r="D51" s="143">
        <v>350.9522360830565</v>
      </c>
      <c r="E51" s="143">
        <v>361.49270833109171</v>
      </c>
      <c r="F51" s="143">
        <v>359.88342642067266</v>
      </c>
      <c r="G51" s="143">
        <v>315.21450412421808</v>
      </c>
      <c r="H51" s="143">
        <v>358.45295361141137</v>
      </c>
      <c r="I51" s="143">
        <v>359.67682315871332</v>
      </c>
      <c r="J51" s="177">
        <v>92.404655752850402</v>
      </c>
      <c r="K51" s="70" t="s">
        <v>17</v>
      </c>
      <c r="L51" s="125"/>
      <c r="M51" s="140" t="s">
        <v>22</v>
      </c>
      <c r="N51" s="140" t="s">
        <v>43</v>
      </c>
      <c r="O51" s="7"/>
    </row>
    <row r="52" spans="1:15" s="23" customFormat="1">
      <c r="A52" s="139">
        <v>6</v>
      </c>
      <c r="B52" s="202" t="s">
        <v>441</v>
      </c>
      <c r="C52" s="143">
        <v>29.477</v>
      </c>
      <c r="D52" s="143">
        <v>28.829000000000001</v>
      </c>
      <c r="E52" s="143">
        <v>31.768999999999998</v>
      </c>
      <c r="F52" s="143">
        <v>31.768999999999998</v>
      </c>
      <c r="G52" s="143">
        <v>28.768999999999998</v>
      </c>
      <c r="H52" s="143">
        <v>31.768999999999998</v>
      </c>
      <c r="I52" s="143">
        <v>31.82</v>
      </c>
      <c r="J52" s="140">
        <v>100</v>
      </c>
      <c r="K52" s="142" t="s">
        <v>448</v>
      </c>
      <c r="L52" s="140"/>
      <c r="M52" s="142"/>
      <c r="N52" s="140" t="s">
        <v>43</v>
      </c>
    </row>
    <row r="53" spans="1:15" s="23" customFormat="1">
      <c r="A53" s="139">
        <v>16</v>
      </c>
      <c r="B53" s="140" t="s">
        <v>449</v>
      </c>
      <c r="C53" s="144">
        <v>161.40899999999999</v>
      </c>
      <c r="D53" s="144">
        <v>161.24600000000001</v>
      </c>
      <c r="E53" s="144">
        <v>160.88499999999999</v>
      </c>
      <c r="F53" s="144">
        <v>160.88499999999999</v>
      </c>
      <c r="G53" s="144">
        <v>160.88499999999999</v>
      </c>
      <c r="H53" s="144">
        <v>160.88499999999999</v>
      </c>
      <c r="I53" s="144">
        <v>160.88499999999999</v>
      </c>
      <c r="J53" s="140">
        <v>100</v>
      </c>
      <c r="K53" s="70" t="s">
        <v>17</v>
      </c>
      <c r="L53" s="125"/>
      <c r="M53" s="140" t="s">
        <v>22</v>
      </c>
      <c r="N53" s="140" t="s">
        <v>43</v>
      </c>
    </row>
    <row r="54" spans="1:15" s="23" customFormat="1">
      <c r="A54" s="139">
        <v>16</v>
      </c>
      <c r="B54" s="140" t="s">
        <v>270</v>
      </c>
      <c r="C54" s="144">
        <v>8</v>
      </c>
      <c r="D54" s="144">
        <v>8</v>
      </c>
      <c r="E54" s="144">
        <v>8</v>
      </c>
      <c r="F54" s="144">
        <v>8</v>
      </c>
      <c r="G54" s="144">
        <v>8</v>
      </c>
      <c r="H54" s="144">
        <v>8</v>
      </c>
      <c r="I54" s="144">
        <v>8</v>
      </c>
      <c r="J54" s="140">
        <v>100</v>
      </c>
      <c r="K54" s="142" t="s">
        <v>109</v>
      </c>
      <c r="L54" s="125" t="s">
        <v>110</v>
      </c>
      <c r="M54" s="140" t="s">
        <v>115</v>
      </c>
      <c r="N54" s="140" t="s">
        <v>43</v>
      </c>
    </row>
    <row r="55" spans="1:15" s="23" customFormat="1">
      <c r="A55" s="139">
        <v>16</v>
      </c>
      <c r="B55" s="140" t="s">
        <v>271</v>
      </c>
      <c r="C55" s="144">
        <v>55.295000000000002</v>
      </c>
      <c r="D55" s="144">
        <v>55.381999999999998</v>
      </c>
      <c r="E55" s="144">
        <v>55.38</v>
      </c>
      <c r="F55" s="144">
        <v>55.38</v>
      </c>
      <c r="G55" s="144">
        <v>55.38</v>
      </c>
      <c r="H55" s="144">
        <v>55.38</v>
      </c>
      <c r="I55" s="144">
        <v>55.38</v>
      </c>
      <c r="J55" s="140">
        <v>100</v>
      </c>
      <c r="K55" s="142">
        <v>13</v>
      </c>
      <c r="L55" s="125" t="s">
        <v>116</v>
      </c>
      <c r="M55" s="140" t="s">
        <v>22</v>
      </c>
      <c r="N55" s="140" t="s">
        <v>43</v>
      </c>
    </row>
    <row r="56" spans="1:15" s="23" customFormat="1">
      <c r="A56" s="139">
        <v>16</v>
      </c>
      <c r="B56" s="140" t="s">
        <v>272</v>
      </c>
      <c r="C56" s="144">
        <v>23.257999999999999</v>
      </c>
      <c r="D56" s="144">
        <v>24.356999999999999</v>
      </c>
      <c r="E56" s="144">
        <v>21.501000000000001</v>
      </c>
      <c r="F56" s="144">
        <v>19.797999999999998</v>
      </c>
      <c r="G56" s="144">
        <v>18.992000000000001</v>
      </c>
      <c r="H56" s="144">
        <v>16.082000000000001</v>
      </c>
      <c r="I56" s="144">
        <v>16.082000000000001</v>
      </c>
      <c r="J56" s="140">
        <v>100</v>
      </c>
      <c r="K56" s="142">
        <v>9</v>
      </c>
      <c r="L56" s="125" t="s">
        <v>114</v>
      </c>
      <c r="M56" s="140" t="s">
        <v>22</v>
      </c>
      <c r="N56" s="140" t="s">
        <v>43</v>
      </c>
    </row>
    <row r="57" spans="1:15" s="23" customFormat="1">
      <c r="A57" s="139">
        <v>16</v>
      </c>
      <c r="B57" s="140" t="s">
        <v>447</v>
      </c>
      <c r="C57" s="143">
        <v>2.5</v>
      </c>
      <c r="D57" s="143">
        <v>2.5</v>
      </c>
      <c r="E57" s="143">
        <v>2.5</v>
      </c>
      <c r="F57" s="143">
        <v>2.5</v>
      </c>
      <c r="G57" s="143">
        <v>2.5</v>
      </c>
      <c r="H57" s="143">
        <v>2.5</v>
      </c>
      <c r="I57" s="143">
        <v>2.5</v>
      </c>
      <c r="J57" s="140">
        <v>100</v>
      </c>
      <c r="K57" s="142">
        <v>1</v>
      </c>
      <c r="L57" s="125" t="s">
        <v>117</v>
      </c>
      <c r="M57" s="140" t="s">
        <v>22</v>
      </c>
      <c r="N57" s="140" t="s">
        <v>43</v>
      </c>
    </row>
    <row r="58" spans="1:15" s="23" customFormat="1">
      <c r="A58" s="139">
        <v>16</v>
      </c>
      <c r="B58" s="140" t="s">
        <v>111</v>
      </c>
      <c r="C58" s="143">
        <v>3.1469999999999998</v>
      </c>
      <c r="D58" s="143">
        <v>3.1469999999999998</v>
      </c>
      <c r="E58" s="143">
        <v>3.1469999999999998</v>
      </c>
      <c r="F58" s="143">
        <v>3.1469999999999998</v>
      </c>
      <c r="G58" s="143">
        <v>3.1469999999999998</v>
      </c>
      <c r="H58" s="143">
        <v>1.5</v>
      </c>
      <c r="I58" s="143">
        <v>1.5</v>
      </c>
      <c r="J58" s="140">
        <v>100</v>
      </c>
      <c r="K58" s="142" t="s">
        <v>97</v>
      </c>
      <c r="L58" s="125" t="s">
        <v>98</v>
      </c>
      <c r="M58" s="140" t="s">
        <v>22</v>
      </c>
      <c r="N58" s="140" t="s">
        <v>43</v>
      </c>
    </row>
    <row r="59" spans="1:15" s="23" customFormat="1">
      <c r="A59" s="139">
        <v>16</v>
      </c>
      <c r="B59" s="140" t="s">
        <v>118</v>
      </c>
      <c r="C59" s="143">
        <f>0.5*1.352</f>
        <v>0.67600000000000005</v>
      </c>
      <c r="D59" s="143">
        <f>0.5*5.024</f>
        <v>2.512</v>
      </c>
      <c r="E59" s="143">
        <f>0.5*5.902</f>
        <v>2.9510000000000001</v>
      </c>
      <c r="F59" s="143">
        <f>0.5*5.718</f>
        <v>2.859</v>
      </c>
      <c r="G59" s="143">
        <f>0.5*6.126</f>
        <v>3.0630000000000002</v>
      </c>
      <c r="H59" s="143">
        <f>0.5*6.425</f>
        <v>3.2124999999999999</v>
      </c>
      <c r="I59" s="143">
        <f>0.5*6.425</f>
        <v>3.2124999999999999</v>
      </c>
      <c r="J59" s="140">
        <v>50</v>
      </c>
      <c r="K59" s="142">
        <v>13</v>
      </c>
      <c r="L59" s="125" t="s">
        <v>116</v>
      </c>
      <c r="M59" s="140" t="s">
        <v>43</v>
      </c>
      <c r="N59" s="140" t="s">
        <v>43</v>
      </c>
    </row>
    <row r="60" spans="1:15" s="23" customFormat="1">
      <c r="A60" s="139">
        <v>16</v>
      </c>
      <c r="B60" s="140" t="s">
        <v>119</v>
      </c>
      <c r="C60" s="143">
        <v>1.5</v>
      </c>
      <c r="D60" s="143">
        <v>0</v>
      </c>
      <c r="E60" s="143">
        <v>0</v>
      </c>
      <c r="F60" s="143">
        <v>0</v>
      </c>
      <c r="G60" s="143">
        <v>0</v>
      </c>
      <c r="H60" s="143">
        <v>0</v>
      </c>
      <c r="I60" s="143">
        <v>0</v>
      </c>
      <c r="J60" s="140">
        <v>100</v>
      </c>
      <c r="K60" s="142">
        <v>13</v>
      </c>
      <c r="L60" s="125" t="s">
        <v>116</v>
      </c>
      <c r="M60" s="140" t="s">
        <v>43</v>
      </c>
      <c r="N60" s="140" t="s">
        <v>43</v>
      </c>
    </row>
    <row r="61" spans="1:15" s="23" customFormat="1">
      <c r="A61" s="139">
        <v>16</v>
      </c>
      <c r="B61" s="140" t="s">
        <v>102</v>
      </c>
      <c r="C61" s="143">
        <v>31.061</v>
      </c>
      <c r="D61" s="143">
        <v>31.065000000000001</v>
      </c>
      <c r="E61" s="143">
        <v>31.065000000000001</v>
      </c>
      <c r="F61" s="143">
        <v>31.065000000000001</v>
      </c>
      <c r="G61" s="143">
        <v>31.065000000000001</v>
      </c>
      <c r="H61" s="143">
        <v>31.065000000000001</v>
      </c>
      <c r="I61" s="143">
        <v>31.065000000000001</v>
      </c>
      <c r="J61" s="140">
        <v>100</v>
      </c>
      <c r="K61" s="142">
        <v>3</v>
      </c>
      <c r="L61" s="125" t="s">
        <v>103</v>
      </c>
      <c r="M61" s="140" t="s">
        <v>11</v>
      </c>
      <c r="N61" s="140" t="s">
        <v>43</v>
      </c>
    </row>
    <row r="62" spans="1:15" s="7" customFormat="1">
      <c r="A62" s="139" t="s">
        <v>456</v>
      </c>
      <c r="B62" s="140" t="s">
        <v>452</v>
      </c>
      <c r="C62" s="143">
        <v>2.6</v>
      </c>
      <c r="D62" s="143">
        <v>2.6</v>
      </c>
      <c r="E62" s="143">
        <v>3.6</v>
      </c>
      <c r="F62" s="143">
        <v>3.6</v>
      </c>
      <c r="G62" s="143">
        <v>3.6</v>
      </c>
      <c r="H62" s="143">
        <v>3.6</v>
      </c>
      <c r="I62" s="143">
        <v>3.6</v>
      </c>
      <c r="J62" s="140">
        <v>100</v>
      </c>
      <c r="K62" s="142">
        <v>9</v>
      </c>
      <c r="L62" s="125" t="s">
        <v>114</v>
      </c>
      <c r="M62" s="140" t="s">
        <v>43</v>
      </c>
      <c r="N62" s="140" t="s">
        <v>43</v>
      </c>
    </row>
    <row r="63" spans="1:15" s="23" customFormat="1">
      <c r="A63" s="139" t="s">
        <v>120</v>
      </c>
      <c r="B63" s="140" t="s">
        <v>122</v>
      </c>
      <c r="C63" s="143">
        <v>3.149</v>
      </c>
      <c r="D63" s="143">
        <v>2.121</v>
      </c>
      <c r="E63" s="143">
        <v>2.1269999999999998</v>
      </c>
      <c r="F63" s="143">
        <v>2.0059999999999998</v>
      </c>
      <c r="G63" s="143">
        <v>2.1760000000000002</v>
      </c>
      <c r="H63" s="143">
        <v>2.1760000000000002</v>
      </c>
      <c r="I63" s="143">
        <v>2.1760000000000002</v>
      </c>
      <c r="J63" s="140">
        <v>100</v>
      </c>
      <c r="K63" s="142">
        <v>10</v>
      </c>
      <c r="L63" s="125" t="s">
        <v>71</v>
      </c>
      <c r="M63" s="140" t="s">
        <v>43</v>
      </c>
      <c r="N63" s="140" t="s">
        <v>43</v>
      </c>
    </row>
    <row r="64" spans="1:15" s="3" customFormat="1" ht="15">
      <c r="A64" s="82"/>
      <c r="B64" s="3" t="s">
        <v>67</v>
      </c>
      <c r="C64" s="12">
        <f t="shared" ref="C64:I64" si="5">SUM(C32:C63)</f>
        <v>3677.8489425581893</v>
      </c>
      <c r="D64" s="12">
        <f t="shared" si="5"/>
        <v>3749.4451473122303</v>
      </c>
      <c r="E64" s="12">
        <f t="shared" si="5"/>
        <v>3758.3217360406566</v>
      </c>
      <c r="F64" s="12">
        <f t="shared" si="5"/>
        <v>3766.7562392995233</v>
      </c>
      <c r="G64" s="12">
        <f t="shared" si="5"/>
        <v>3743.1662079520106</v>
      </c>
      <c r="H64" s="12">
        <f t="shared" si="5"/>
        <v>3806.6603862153229</v>
      </c>
      <c r="I64" s="12">
        <f t="shared" si="5"/>
        <v>3829.4578556394576</v>
      </c>
      <c r="L64" s="1"/>
    </row>
    <row r="65" spans="1:15">
      <c r="C65" s="61"/>
      <c r="D65" s="61"/>
      <c r="E65" s="61"/>
      <c r="F65" s="61"/>
      <c r="G65" s="61"/>
      <c r="H65" s="61"/>
      <c r="I65" s="61"/>
    </row>
    <row r="66" spans="1:15" s="1" customFormat="1" ht="15">
      <c r="A66" s="14"/>
      <c r="B66" s="15" t="s">
        <v>44</v>
      </c>
      <c r="C66" s="60"/>
      <c r="D66" s="60"/>
      <c r="E66" s="60"/>
      <c r="F66" s="60"/>
      <c r="G66" s="60"/>
      <c r="H66" s="60"/>
      <c r="I66" s="60"/>
      <c r="J66" s="14"/>
      <c r="K66" s="14"/>
      <c r="L66" s="14"/>
      <c r="M66" s="14"/>
      <c r="N66" s="14"/>
    </row>
    <row r="67" spans="1:15">
      <c r="A67" s="125" t="s">
        <v>55</v>
      </c>
      <c r="B67" s="103" t="s">
        <v>275</v>
      </c>
      <c r="C67" s="103">
        <v>37.027999999999999</v>
      </c>
      <c r="D67" s="103">
        <v>37.323999999999998</v>
      </c>
      <c r="E67" s="103">
        <v>36.808</v>
      </c>
      <c r="F67" s="103">
        <v>36.808</v>
      </c>
      <c r="G67" s="103">
        <v>36.808</v>
      </c>
      <c r="H67" s="103">
        <v>36.808</v>
      </c>
      <c r="I67" s="103">
        <v>36.808</v>
      </c>
      <c r="J67" s="103">
        <v>100</v>
      </c>
      <c r="K67" s="103">
        <v>14</v>
      </c>
      <c r="L67" s="103" t="s">
        <v>57</v>
      </c>
      <c r="M67" s="103" t="s">
        <v>445</v>
      </c>
      <c r="N67" s="4" t="s">
        <v>42</v>
      </c>
      <c r="O67" s="5"/>
    </row>
    <row r="68" spans="1:15">
      <c r="A68" s="125" t="s">
        <v>55</v>
      </c>
      <c r="B68" s="103" t="s">
        <v>58</v>
      </c>
      <c r="C68" s="103">
        <v>0.51700000000000002</v>
      </c>
      <c r="D68" s="103">
        <v>0.51700000000000002</v>
      </c>
      <c r="E68" s="103">
        <v>0.51700000000000002</v>
      </c>
      <c r="F68" s="103">
        <v>0.51700000000000002</v>
      </c>
      <c r="G68" s="103">
        <v>0.51700000000000002</v>
      </c>
      <c r="H68" s="103">
        <v>0.51700000000000002</v>
      </c>
      <c r="I68" s="103">
        <v>0.51700000000000002</v>
      </c>
      <c r="J68" s="103">
        <v>100</v>
      </c>
      <c r="K68" s="103">
        <v>14</v>
      </c>
      <c r="L68" s="103" t="s">
        <v>57</v>
      </c>
      <c r="M68" s="103" t="s">
        <v>7</v>
      </c>
      <c r="N68" s="4" t="s">
        <v>42</v>
      </c>
      <c r="O68" s="5"/>
    </row>
    <row r="69" spans="1:15">
      <c r="A69" s="125" t="s">
        <v>55</v>
      </c>
      <c r="B69" s="103" t="s">
        <v>56</v>
      </c>
      <c r="C69" s="103">
        <v>4.9569999999999999</v>
      </c>
      <c r="D69" s="103">
        <v>5.8129999999999997</v>
      </c>
      <c r="E69" s="103">
        <v>5.8129999999999997</v>
      </c>
      <c r="F69" s="103">
        <v>5.8140000000000001</v>
      </c>
      <c r="G69" s="103">
        <v>5.8140000000000001</v>
      </c>
      <c r="H69" s="103">
        <v>5.8140000000000001</v>
      </c>
      <c r="I69" s="103">
        <v>5.8140000000000001</v>
      </c>
      <c r="J69" s="103">
        <v>100</v>
      </c>
      <c r="K69" s="103">
        <v>14</v>
      </c>
      <c r="L69" s="103" t="s">
        <v>57</v>
      </c>
      <c r="M69" s="103" t="s">
        <v>12</v>
      </c>
      <c r="N69" s="4" t="s">
        <v>43</v>
      </c>
      <c r="O69" s="5"/>
    </row>
    <row r="70" spans="1:15">
      <c r="A70" s="125" t="s">
        <v>55</v>
      </c>
      <c r="B70" s="103" t="s">
        <v>56</v>
      </c>
      <c r="C70" s="103">
        <v>18.29</v>
      </c>
      <c r="D70" s="103">
        <v>18.806999999999999</v>
      </c>
      <c r="E70" s="103">
        <v>18.052</v>
      </c>
      <c r="F70" s="103">
        <v>18.052</v>
      </c>
      <c r="G70" s="103">
        <v>18.052</v>
      </c>
      <c r="H70" s="103">
        <v>18.052</v>
      </c>
      <c r="I70" s="103">
        <v>18.052</v>
      </c>
      <c r="J70" s="103">
        <v>100</v>
      </c>
      <c r="K70" s="103">
        <v>14</v>
      </c>
      <c r="L70" s="103" t="s">
        <v>57</v>
      </c>
      <c r="M70" s="103" t="s">
        <v>446</v>
      </c>
      <c r="N70" s="4" t="s">
        <v>43</v>
      </c>
      <c r="O70" s="5"/>
    </row>
    <row r="71" spans="1:15">
      <c r="A71" s="125" t="s">
        <v>55</v>
      </c>
      <c r="B71" s="103" t="s">
        <v>56</v>
      </c>
      <c r="C71" s="103">
        <v>0.28599999999999998</v>
      </c>
      <c r="D71" s="104">
        <v>0</v>
      </c>
      <c r="E71" s="104">
        <v>0</v>
      </c>
      <c r="F71" s="104">
        <v>0</v>
      </c>
      <c r="G71" s="104">
        <v>0</v>
      </c>
      <c r="H71" s="104">
        <v>0</v>
      </c>
      <c r="I71" s="104">
        <v>0</v>
      </c>
      <c r="J71" s="103">
        <v>100</v>
      </c>
      <c r="K71" s="103">
        <v>14</v>
      </c>
      <c r="L71" s="103" t="s">
        <v>57</v>
      </c>
      <c r="M71" s="103" t="s">
        <v>73</v>
      </c>
      <c r="N71" s="4" t="s">
        <v>43</v>
      </c>
      <c r="O71" s="5"/>
    </row>
    <row r="72" spans="1:15" s="3" customFormat="1" ht="15">
      <c r="A72" s="82"/>
      <c r="B72" s="3" t="s">
        <v>59</v>
      </c>
      <c r="C72" s="12">
        <f>SUM(C67:C71)</f>
        <v>61.078000000000003</v>
      </c>
      <c r="D72" s="12">
        <f t="shared" ref="D72:I72" si="6">SUM(D67:D71)</f>
        <v>62.460999999999999</v>
      </c>
      <c r="E72" s="12">
        <f t="shared" si="6"/>
        <v>61.190000000000005</v>
      </c>
      <c r="F72" s="12">
        <f t="shared" si="6"/>
        <v>61.191000000000003</v>
      </c>
      <c r="G72" s="12">
        <f t="shared" si="6"/>
        <v>61.191000000000003</v>
      </c>
      <c r="H72" s="12">
        <f t="shared" si="6"/>
        <v>61.191000000000003</v>
      </c>
      <c r="I72" s="12">
        <f t="shared" si="6"/>
        <v>61.191000000000003</v>
      </c>
      <c r="L72" s="1"/>
    </row>
    <row r="73" spans="1:15" s="3" customFormat="1" ht="15">
      <c r="A73" s="82"/>
      <c r="C73" s="12"/>
      <c r="D73" s="12"/>
      <c r="E73" s="12"/>
      <c r="F73" s="12"/>
      <c r="G73" s="12"/>
      <c r="H73" s="12"/>
      <c r="I73" s="12"/>
      <c r="L73" s="1"/>
    </row>
    <row r="74" spans="1:15" s="3" customFormat="1" ht="15">
      <c r="A74" s="15"/>
      <c r="B74" s="28" t="s">
        <v>468</v>
      </c>
      <c r="C74" s="59"/>
      <c r="D74" s="62"/>
      <c r="E74" s="62"/>
      <c r="F74" s="62"/>
      <c r="G74" s="62"/>
      <c r="H74" s="62"/>
      <c r="I74" s="62"/>
      <c r="J74" s="29"/>
      <c r="K74" s="28"/>
      <c r="L74" s="100"/>
      <c r="M74" s="100"/>
      <c r="N74" s="28"/>
    </row>
    <row r="75" spans="1:15" s="82" customFormat="1" ht="15">
      <c r="A75" s="125" t="s">
        <v>146</v>
      </c>
      <c r="B75" s="125" t="s">
        <v>138</v>
      </c>
      <c r="C75" s="128">
        <v>3.3000000000000002E-2</v>
      </c>
      <c r="D75" s="128">
        <v>3.3000000000000002E-2</v>
      </c>
      <c r="E75" s="128">
        <v>3.3000000000000002E-2</v>
      </c>
      <c r="F75" s="128">
        <v>3.3000000000000002E-2</v>
      </c>
      <c r="G75" s="128">
        <v>3.3000000000000002E-2</v>
      </c>
      <c r="H75" s="128">
        <v>3.3000000000000002E-2</v>
      </c>
      <c r="I75" s="128">
        <v>3.3000000000000002E-2</v>
      </c>
      <c r="J75" s="129">
        <v>0</v>
      </c>
      <c r="K75" s="125">
        <v>4</v>
      </c>
      <c r="L75" s="125" t="s">
        <v>361</v>
      </c>
      <c r="M75" s="125" t="s">
        <v>139</v>
      </c>
      <c r="N75" s="125" t="s">
        <v>42</v>
      </c>
    </row>
    <row r="76" spans="1:15" s="82" customFormat="1" ht="15">
      <c r="A76" s="125" t="s">
        <v>146</v>
      </c>
      <c r="B76" s="125" t="s">
        <v>310</v>
      </c>
      <c r="C76" s="128">
        <v>0.25</v>
      </c>
      <c r="D76" s="128">
        <v>0.2</v>
      </c>
      <c r="E76" s="128">
        <v>0.2</v>
      </c>
      <c r="F76" s="128">
        <v>0.15</v>
      </c>
      <c r="G76" s="128">
        <v>0.15</v>
      </c>
      <c r="H76" s="128">
        <v>0.15</v>
      </c>
      <c r="I76" s="128">
        <v>0.15</v>
      </c>
      <c r="J76" s="129">
        <v>0</v>
      </c>
      <c r="K76" s="125">
        <v>4</v>
      </c>
      <c r="L76" s="125" t="s">
        <v>361</v>
      </c>
      <c r="M76" s="125" t="s">
        <v>136</v>
      </c>
      <c r="N76" s="125" t="s">
        <v>42</v>
      </c>
    </row>
    <row r="77" spans="1:15" s="82" customFormat="1" ht="15">
      <c r="A77" s="125" t="s">
        <v>146</v>
      </c>
      <c r="B77" s="125" t="s">
        <v>144</v>
      </c>
      <c r="C77" s="128">
        <v>0.6</v>
      </c>
      <c r="D77" s="128">
        <v>0.6</v>
      </c>
      <c r="E77" s="128">
        <v>0.6</v>
      </c>
      <c r="F77" s="128">
        <v>0.6</v>
      </c>
      <c r="G77" s="128">
        <v>0.6</v>
      </c>
      <c r="H77" s="128">
        <v>0.6</v>
      </c>
      <c r="I77" s="128">
        <v>0.6</v>
      </c>
      <c r="J77" s="129">
        <v>0.1</v>
      </c>
      <c r="K77" s="125">
        <v>4</v>
      </c>
      <c r="L77" s="125" t="s">
        <v>361</v>
      </c>
      <c r="M77" s="125" t="s">
        <v>145</v>
      </c>
      <c r="N77" s="125" t="s">
        <v>42</v>
      </c>
    </row>
    <row r="78" spans="1:15" s="82" customFormat="1" ht="15">
      <c r="A78" s="125" t="s">
        <v>146</v>
      </c>
      <c r="B78" s="125" t="s">
        <v>128</v>
      </c>
      <c r="C78" s="128">
        <v>0.36299999999999999</v>
      </c>
      <c r="D78" s="128">
        <v>0.42399999999999999</v>
      </c>
      <c r="E78" s="128">
        <v>0.36299999999999999</v>
      </c>
      <c r="F78" s="128" t="s">
        <v>413</v>
      </c>
      <c r="G78" s="128" t="s">
        <v>413</v>
      </c>
      <c r="H78" s="128" t="s">
        <v>413</v>
      </c>
      <c r="I78" s="128" t="s">
        <v>413</v>
      </c>
      <c r="J78" s="129">
        <v>0.1</v>
      </c>
      <c r="K78" s="125">
        <v>4</v>
      </c>
      <c r="L78" s="125" t="s">
        <v>361</v>
      </c>
      <c r="M78" s="125" t="s">
        <v>129</v>
      </c>
      <c r="N78" s="125" t="s">
        <v>42</v>
      </c>
    </row>
    <row r="79" spans="1:15" s="82" customFormat="1" ht="15">
      <c r="A79" s="125" t="s">
        <v>146</v>
      </c>
      <c r="B79" s="125" t="s">
        <v>127</v>
      </c>
      <c r="C79" s="128">
        <v>0.13</v>
      </c>
      <c r="D79" s="128">
        <v>0.13</v>
      </c>
      <c r="E79" s="128">
        <v>0.13</v>
      </c>
      <c r="F79" s="128">
        <v>0.13</v>
      </c>
      <c r="G79" s="128">
        <v>0.13</v>
      </c>
      <c r="H79" s="128">
        <v>0.13</v>
      </c>
      <c r="I79" s="128">
        <v>0.13</v>
      </c>
      <c r="J79" s="129">
        <v>0</v>
      </c>
      <c r="K79" s="125">
        <v>4</v>
      </c>
      <c r="L79" s="125" t="s">
        <v>361</v>
      </c>
      <c r="M79" s="125" t="s">
        <v>127</v>
      </c>
      <c r="N79" s="125" t="s">
        <v>42</v>
      </c>
    </row>
    <row r="80" spans="1:15" s="82" customFormat="1" ht="15">
      <c r="A80" s="125" t="s">
        <v>146</v>
      </c>
      <c r="B80" s="125" t="s">
        <v>125</v>
      </c>
      <c r="C80" s="128">
        <v>0.55000000000000004</v>
      </c>
      <c r="D80" s="128">
        <v>0.55000000000000004</v>
      </c>
      <c r="E80" s="128">
        <v>0.55000000000000004</v>
      </c>
      <c r="F80" s="128">
        <v>0.55000000000000004</v>
      </c>
      <c r="G80" s="128">
        <v>0.55000000000000004</v>
      </c>
      <c r="H80" s="128">
        <v>0.55000000000000004</v>
      </c>
      <c r="I80" s="128">
        <v>0.55000000000000004</v>
      </c>
      <c r="J80" s="129">
        <v>0.105687390789696</v>
      </c>
      <c r="K80" s="125">
        <v>4</v>
      </c>
      <c r="L80" s="125" t="s">
        <v>361</v>
      </c>
      <c r="M80" s="125" t="s">
        <v>126</v>
      </c>
      <c r="N80" s="125" t="s">
        <v>42</v>
      </c>
    </row>
    <row r="81" spans="1:15" s="82" customFormat="1" ht="15">
      <c r="A81" s="125" t="s">
        <v>146</v>
      </c>
      <c r="B81" s="125" t="s">
        <v>311</v>
      </c>
      <c r="C81" s="128">
        <v>0.47499999999999998</v>
      </c>
      <c r="D81" s="128">
        <v>0.47499999999999998</v>
      </c>
      <c r="E81" s="128">
        <v>0.47499999999999998</v>
      </c>
      <c r="F81" s="128">
        <v>0.47499999999999998</v>
      </c>
      <c r="G81" s="128">
        <v>0.47499999999999998</v>
      </c>
      <c r="H81" s="128">
        <v>0.47499999999999998</v>
      </c>
      <c r="I81" s="128">
        <v>0.47499999999999998</v>
      </c>
      <c r="J81" s="129">
        <v>0.1</v>
      </c>
      <c r="K81" s="125">
        <v>4</v>
      </c>
      <c r="L81" s="125" t="s">
        <v>361</v>
      </c>
      <c r="M81" s="125" t="s">
        <v>142</v>
      </c>
      <c r="N81" s="125" t="s">
        <v>42</v>
      </c>
    </row>
    <row r="82" spans="1:15" s="82" customFormat="1" ht="15">
      <c r="A82" s="125" t="s">
        <v>146</v>
      </c>
      <c r="B82" s="125" t="s">
        <v>312</v>
      </c>
      <c r="C82" s="128">
        <v>1.3839999999999999</v>
      </c>
      <c r="D82" s="128">
        <v>1.538</v>
      </c>
      <c r="E82" s="128">
        <v>1.5609999999999999</v>
      </c>
      <c r="F82" s="128">
        <v>1.5609999999999999</v>
      </c>
      <c r="G82" s="128">
        <v>1.538</v>
      </c>
      <c r="H82" s="128">
        <v>1.538</v>
      </c>
      <c r="I82" s="128">
        <v>1.538</v>
      </c>
      <c r="J82" s="129">
        <v>0.3</v>
      </c>
      <c r="K82" s="125">
        <v>4</v>
      </c>
      <c r="L82" s="125" t="s">
        <v>361</v>
      </c>
      <c r="M82" s="125" t="s">
        <v>353</v>
      </c>
      <c r="N82" s="125" t="s">
        <v>42</v>
      </c>
    </row>
    <row r="83" spans="1:15" s="82" customFormat="1" ht="15">
      <c r="A83" s="125" t="s">
        <v>146</v>
      </c>
      <c r="B83" s="125" t="s">
        <v>477</v>
      </c>
      <c r="C83" s="128">
        <v>0</v>
      </c>
      <c r="D83" s="128">
        <v>0.16</v>
      </c>
      <c r="E83" s="128">
        <v>0.2</v>
      </c>
      <c r="F83" s="128">
        <v>0.2</v>
      </c>
      <c r="G83" s="128">
        <v>0.04</v>
      </c>
      <c r="H83" s="128" t="s">
        <v>413</v>
      </c>
      <c r="I83" s="128" t="s">
        <v>413</v>
      </c>
      <c r="J83" s="129">
        <v>0</v>
      </c>
      <c r="K83" s="125">
        <v>4</v>
      </c>
      <c r="L83" s="125" t="s">
        <v>361</v>
      </c>
      <c r="M83" s="125" t="s">
        <v>478</v>
      </c>
      <c r="N83" s="125" t="s">
        <v>42</v>
      </c>
    </row>
    <row r="84" spans="1:15" s="82" customFormat="1" ht="15">
      <c r="A84" s="125" t="s">
        <v>479</v>
      </c>
      <c r="B84" s="125" t="s">
        <v>480</v>
      </c>
      <c r="C84" s="128">
        <v>0</v>
      </c>
      <c r="D84" s="128">
        <v>0.15</v>
      </c>
      <c r="E84" s="128">
        <v>0.15</v>
      </c>
      <c r="F84" s="128">
        <v>0.15</v>
      </c>
      <c r="G84" s="128">
        <v>0.15</v>
      </c>
      <c r="H84" s="128">
        <v>0.15</v>
      </c>
      <c r="I84" s="128">
        <v>0.15</v>
      </c>
      <c r="J84" s="129">
        <v>0</v>
      </c>
      <c r="K84" s="125">
        <v>4</v>
      </c>
      <c r="L84" s="125" t="s">
        <v>361</v>
      </c>
      <c r="M84" s="125" t="s">
        <v>353</v>
      </c>
      <c r="N84" s="125" t="s">
        <v>42</v>
      </c>
    </row>
    <row r="85" spans="1:15" s="82" customFormat="1" ht="15">
      <c r="A85" s="125" t="s">
        <v>313</v>
      </c>
      <c r="B85" s="125" t="s">
        <v>130</v>
      </c>
      <c r="C85" s="128">
        <v>27.276</v>
      </c>
      <c r="D85" s="128">
        <v>28.823</v>
      </c>
      <c r="E85" s="128">
        <v>27.855</v>
      </c>
      <c r="F85" s="128">
        <v>22.786999999999999</v>
      </c>
      <c r="G85" s="128">
        <v>22.795999999999999</v>
      </c>
      <c r="H85" s="128">
        <v>22.794</v>
      </c>
      <c r="I85" s="128">
        <v>22.629000000000001</v>
      </c>
      <c r="J85" s="129">
        <v>12.2</v>
      </c>
      <c r="K85" s="125">
        <v>2</v>
      </c>
      <c r="L85" s="125" t="s">
        <v>131</v>
      </c>
      <c r="M85" s="125" t="s">
        <v>132</v>
      </c>
      <c r="N85" s="125" t="s">
        <v>42</v>
      </c>
    </row>
    <row r="86" spans="1:15" s="82" customFormat="1" ht="15">
      <c r="A86" s="125" t="s">
        <v>315</v>
      </c>
      <c r="B86" s="125" t="s">
        <v>314</v>
      </c>
      <c r="C86" s="128">
        <v>7.8959999999999999</v>
      </c>
      <c r="D86" s="128">
        <v>7.1020000000000003</v>
      </c>
      <c r="E86" s="128">
        <v>6.8650000000000002</v>
      </c>
      <c r="F86" s="128">
        <v>6.8559999999999999</v>
      </c>
      <c r="G86" s="128">
        <v>6.8559999999999999</v>
      </c>
      <c r="H86" s="128">
        <v>6.8620000000000001</v>
      </c>
      <c r="I86" s="128">
        <v>6.8620000000000001</v>
      </c>
      <c r="J86" s="129">
        <v>27.7</v>
      </c>
      <c r="K86" s="125">
        <v>1</v>
      </c>
      <c r="L86" s="125" t="s">
        <v>117</v>
      </c>
      <c r="M86" s="125" t="s">
        <v>133</v>
      </c>
      <c r="N86" s="125" t="s">
        <v>42</v>
      </c>
    </row>
    <row r="87" spans="1:15" s="82" customFormat="1" ht="15">
      <c r="A87" s="125" t="s">
        <v>320</v>
      </c>
      <c r="B87" s="125" t="s">
        <v>319</v>
      </c>
      <c r="C87" s="128">
        <v>0.45</v>
      </c>
      <c r="D87" s="128">
        <v>0.45</v>
      </c>
      <c r="E87" s="128">
        <v>0.45</v>
      </c>
      <c r="F87" s="128">
        <v>0.45</v>
      </c>
      <c r="G87" s="128">
        <v>0.45</v>
      </c>
      <c r="H87" s="128">
        <v>0.45</v>
      </c>
      <c r="I87" s="128">
        <v>0.45</v>
      </c>
      <c r="J87" s="129">
        <v>0.8</v>
      </c>
      <c r="K87" s="125">
        <v>4</v>
      </c>
      <c r="L87" s="125" t="s">
        <v>361</v>
      </c>
      <c r="M87" s="125" t="s">
        <v>412</v>
      </c>
      <c r="N87" s="125" t="s">
        <v>42</v>
      </c>
    </row>
    <row r="88" spans="1:15" s="82" customFormat="1" ht="15">
      <c r="A88" s="125" t="s">
        <v>321</v>
      </c>
      <c r="B88" s="125" t="s">
        <v>411</v>
      </c>
      <c r="C88" s="128">
        <v>1.2170000000000001</v>
      </c>
      <c r="D88" s="128">
        <v>1.37</v>
      </c>
      <c r="E88" s="128">
        <v>1.6579999999999999</v>
      </c>
      <c r="F88" s="128">
        <v>1.659</v>
      </c>
      <c r="G88" s="128">
        <v>1.66</v>
      </c>
      <c r="H88" s="128">
        <v>1.659</v>
      </c>
      <c r="I88" s="128">
        <v>1.659</v>
      </c>
      <c r="J88" s="129">
        <v>2.9</v>
      </c>
      <c r="K88" s="125">
        <v>4</v>
      </c>
      <c r="L88" s="125" t="s">
        <v>361</v>
      </c>
      <c r="M88" s="125" t="s">
        <v>137</v>
      </c>
      <c r="N88" s="125" t="s">
        <v>42</v>
      </c>
    </row>
    <row r="89" spans="1:15" s="82" customFormat="1" ht="15">
      <c r="A89" s="125" t="s">
        <v>322</v>
      </c>
      <c r="B89" s="125" t="s">
        <v>140</v>
      </c>
      <c r="C89" s="128">
        <v>3.7810000000000001</v>
      </c>
      <c r="D89" s="128">
        <v>3.879</v>
      </c>
      <c r="E89" s="128">
        <v>3.78</v>
      </c>
      <c r="F89" s="128">
        <v>3.8690000000000002</v>
      </c>
      <c r="G89" s="128">
        <v>3.8690000000000002</v>
      </c>
      <c r="H89" s="128">
        <v>3.8690000000000002</v>
      </c>
      <c r="I89" s="128">
        <v>3.8690000000000002</v>
      </c>
      <c r="J89" s="129">
        <v>23.4</v>
      </c>
      <c r="K89" s="125">
        <v>4</v>
      </c>
      <c r="L89" s="125" t="s">
        <v>361</v>
      </c>
      <c r="M89" s="125" t="s">
        <v>141</v>
      </c>
      <c r="N89" s="125" t="s">
        <v>42</v>
      </c>
    </row>
    <row r="90" spans="1:15" s="82" customFormat="1" ht="15">
      <c r="A90" s="125" t="s">
        <v>323</v>
      </c>
      <c r="B90" s="125" t="s">
        <v>143</v>
      </c>
      <c r="C90" s="128">
        <v>1.2629999999999999</v>
      </c>
      <c r="D90" s="128">
        <v>0.94599999999999995</v>
      </c>
      <c r="E90" s="128">
        <v>0.753</v>
      </c>
      <c r="F90" s="128">
        <v>0.97599999999999998</v>
      </c>
      <c r="G90" s="128">
        <v>0.97599999999999998</v>
      </c>
      <c r="H90" s="128">
        <v>1.141</v>
      </c>
      <c r="I90" s="128">
        <v>1.141</v>
      </c>
      <c r="J90" s="129">
        <v>2.2000000000000002</v>
      </c>
      <c r="K90" s="125">
        <v>2</v>
      </c>
      <c r="L90" s="125" t="s">
        <v>131</v>
      </c>
      <c r="M90" s="125" t="s">
        <v>32</v>
      </c>
      <c r="N90" s="125" t="s">
        <v>42</v>
      </c>
    </row>
    <row r="91" spans="1:15" s="82" customFormat="1" ht="15">
      <c r="A91" s="125" t="s">
        <v>318</v>
      </c>
      <c r="B91" s="125" t="s">
        <v>317</v>
      </c>
      <c r="C91" s="128">
        <v>1.29</v>
      </c>
      <c r="D91" s="128">
        <v>1.28</v>
      </c>
      <c r="E91" s="128">
        <v>1.3280000000000001</v>
      </c>
      <c r="F91" s="128">
        <v>1.2549999999999999</v>
      </c>
      <c r="G91" s="128">
        <v>1.3560000000000001</v>
      </c>
      <c r="H91" s="128">
        <v>0.752</v>
      </c>
      <c r="I91" s="128">
        <v>0.502</v>
      </c>
      <c r="J91" s="129">
        <v>2.2999999999999998</v>
      </c>
      <c r="K91" s="125">
        <v>4</v>
      </c>
      <c r="L91" s="125" t="s">
        <v>361</v>
      </c>
      <c r="M91" s="125" t="s">
        <v>22</v>
      </c>
      <c r="N91" s="125" t="s">
        <v>42</v>
      </c>
    </row>
    <row r="92" spans="1:15" s="82" customFormat="1" ht="15">
      <c r="A92" s="162" t="s">
        <v>409</v>
      </c>
      <c r="B92" s="125" t="s">
        <v>410</v>
      </c>
      <c r="C92" s="128">
        <v>0.5</v>
      </c>
      <c r="D92" s="128">
        <v>0.5</v>
      </c>
      <c r="E92" s="128">
        <v>0.5</v>
      </c>
      <c r="F92" s="128">
        <v>0.5</v>
      </c>
      <c r="G92" s="128">
        <v>0.5</v>
      </c>
      <c r="H92" s="128">
        <v>0.5</v>
      </c>
      <c r="I92" s="128">
        <v>0.5</v>
      </c>
      <c r="J92" s="129">
        <v>1.1000000000000001</v>
      </c>
      <c r="K92" s="125">
        <v>2</v>
      </c>
      <c r="L92" s="125" t="s">
        <v>131</v>
      </c>
      <c r="M92" s="125" t="s">
        <v>29</v>
      </c>
      <c r="N92" s="125" t="s">
        <v>42</v>
      </c>
    </row>
    <row r="93" spans="1:15" s="82" customFormat="1" ht="15">
      <c r="A93" s="125" t="s">
        <v>316</v>
      </c>
      <c r="B93" s="125" t="s">
        <v>134</v>
      </c>
      <c r="C93" s="128">
        <v>3.5999999999999997E-2</v>
      </c>
      <c r="D93" s="128">
        <v>3.6999999999999998E-2</v>
      </c>
      <c r="E93" s="128">
        <v>0.05</v>
      </c>
      <c r="F93" s="128">
        <v>0.05</v>
      </c>
      <c r="G93" s="128">
        <v>0.05</v>
      </c>
      <c r="H93" s="128">
        <v>0.05</v>
      </c>
      <c r="I93" s="128">
        <v>0.05</v>
      </c>
      <c r="J93" s="129">
        <v>0.3</v>
      </c>
      <c r="K93" s="125">
        <v>4</v>
      </c>
      <c r="L93" s="125" t="s">
        <v>361</v>
      </c>
      <c r="M93" s="125" t="s">
        <v>135</v>
      </c>
      <c r="N93" s="125" t="s">
        <v>43</v>
      </c>
      <c r="O93" s="131"/>
    </row>
    <row r="94" spans="1:15" s="82" customFormat="1" ht="15">
      <c r="A94" s="146" t="s">
        <v>321</v>
      </c>
      <c r="B94" s="125" t="s">
        <v>406</v>
      </c>
      <c r="C94" s="128">
        <v>0.3</v>
      </c>
      <c r="D94" s="128">
        <v>0.3</v>
      </c>
      <c r="E94" s="128">
        <v>0.3</v>
      </c>
      <c r="F94" s="128">
        <v>0.3</v>
      </c>
      <c r="G94" s="128">
        <v>0.3</v>
      </c>
      <c r="H94" s="128">
        <v>0.3</v>
      </c>
      <c r="I94" s="128">
        <v>0.3</v>
      </c>
      <c r="J94" s="129">
        <v>0.5</v>
      </c>
      <c r="K94" s="125">
        <v>4</v>
      </c>
      <c r="L94" s="125" t="s">
        <v>361</v>
      </c>
      <c r="M94" s="125" t="s">
        <v>137</v>
      </c>
      <c r="N94" s="125" t="s">
        <v>43</v>
      </c>
    </row>
    <row r="95" spans="1:15" s="82" customFormat="1" ht="15">
      <c r="A95" s="162" t="s">
        <v>408</v>
      </c>
      <c r="B95" s="125" t="s">
        <v>407</v>
      </c>
      <c r="C95" s="128">
        <v>0.63600000000000001</v>
      </c>
      <c r="D95" s="128">
        <v>0</v>
      </c>
      <c r="E95" s="128">
        <v>0</v>
      </c>
      <c r="F95" s="128">
        <v>0</v>
      </c>
      <c r="G95" s="128">
        <v>0</v>
      </c>
      <c r="H95" s="128">
        <v>0</v>
      </c>
      <c r="I95" s="128">
        <v>0</v>
      </c>
      <c r="J95" s="129">
        <v>0</v>
      </c>
      <c r="K95" s="125">
        <v>4</v>
      </c>
      <c r="L95" s="125" t="s">
        <v>361</v>
      </c>
      <c r="M95" s="125" t="s">
        <v>73</v>
      </c>
      <c r="N95" s="125" t="s">
        <v>43</v>
      </c>
    </row>
    <row r="96" spans="1:15" s="82" customFormat="1" ht="15">
      <c r="A96" s="125" t="s">
        <v>146</v>
      </c>
      <c r="B96" s="125" t="s">
        <v>147</v>
      </c>
      <c r="C96" s="128">
        <v>0.41299999999999998</v>
      </c>
      <c r="D96" s="128">
        <v>0.35</v>
      </c>
      <c r="E96" s="128">
        <v>0.22500000000000001</v>
      </c>
      <c r="F96" s="128">
        <v>0.22500000000000001</v>
      </c>
      <c r="G96" s="128">
        <v>0.22500000000000001</v>
      </c>
      <c r="H96" s="128">
        <v>0.22500000000000001</v>
      </c>
      <c r="I96" s="128">
        <v>0.22500000000000001</v>
      </c>
      <c r="J96" s="129">
        <v>0</v>
      </c>
      <c r="K96" s="125">
        <v>4</v>
      </c>
      <c r="L96" s="125" t="s">
        <v>361</v>
      </c>
      <c r="M96" s="125" t="s">
        <v>7</v>
      </c>
      <c r="N96" s="125" t="s">
        <v>43</v>
      </c>
    </row>
    <row r="97" spans="1:14" s="82" customFormat="1" ht="15">
      <c r="A97" s="125" t="s">
        <v>146</v>
      </c>
      <c r="B97" s="125" t="s">
        <v>324</v>
      </c>
      <c r="C97" s="128">
        <v>0.4</v>
      </c>
      <c r="D97" s="128">
        <v>0.1</v>
      </c>
      <c r="E97" s="128">
        <v>0.35</v>
      </c>
      <c r="F97" s="128">
        <v>0.35</v>
      </c>
      <c r="G97" s="128">
        <v>0.35</v>
      </c>
      <c r="H97" s="128">
        <v>0.35</v>
      </c>
      <c r="I97" s="128">
        <v>0.35</v>
      </c>
      <c r="J97" s="129">
        <v>7.0458260526464089E-2</v>
      </c>
      <c r="K97" s="125">
        <v>4</v>
      </c>
      <c r="L97" s="125" t="s">
        <v>361</v>
      </c>
      <c r="M97" s="125" t="s">
        <v>139</v>
      </c>
      <c r="N97" s="125" t="s">
        <v>43</v>
      </c>
    </row>
    <row r="98" spans="1:14" s="82" customFormat="1" ht="15">
      <c r="A98" s="125" t="s">
        <v>146</v>
      </c>
      <c r="B98" s="125" t="s">
        <v>149</v>
      </c>
      <c r="C98" s="128">
        <v>3.125</v>
      </c>
      <c r="D98" s="128">
        <v>2.4489999999999998</v>
      </c>
      <c r="E98" s="128">
        <v>2.0710000000000002</v>
      </c>
      <c r="F98" s="128">
        <v>3.218</v>
      </c>
      <c r="G98" s="128">
        <v>3.218</v>
      </c>
      <c r="H98" s="128">
        <v>3.2879999999999998</v>
      </c>
      <c r="I98" s="128">
        <v>3.2879999999999998</v>
      </c>
      <c r="J98" s="129">
        <v>0.4</v>
      </c>
      <c r="K98" s="125">
        <v>4</v>
      </c>
      <c r="L98" s="125" t="s">
        <v>361</v>
      </c>
      <c r="M98" s="125" t="s">
        <v>7</v>
      </c>
      <c r="N98" s="125" t="s">
        <v>43</v>
      </c>
    </row>
    <row r="99" spans="1:14" s="82" customFormat="1" ht="15">
      <c r="A99" s="125" t="s">
        <v>325</v>
      </c>
      <c r="B99" s="125" t="s">
        <v>148</v>
      </c>
      <c r="C99" s="128">
        <v>3.01</v>
      </c>
      <c r="D99" s="128">
        <v>3.04</v>
      </c>
      <c r="E99" s="128">
        <v>2.96</v>
      </c>
      <c r="F99" s="128">
        <v>3.16</v>
      </c>
      <c r="G99" s="128">
        <v>3.16</v>
      </c>
      <c r="H99" s="128">
        <v>3.16</v>
      </c>
      <c r="I99" s="128">
        <v>3.16</v>
      </c>
      <c r="J99" s="129">
        <v>1.3</v>
      </c>
      <c r="K99" s="125">
        <v>4</v>
      </c>
      <c r="L99" s="125" t="s">
        <v>361</v>
      </c>
      <c r="M99" s="125" t="s">
        <v>7</v>
      </c>
      <c r="N99" s="125" t="s">
        <v>43</v>
      </c>
    </row>
    <row r="100" spans="1:14" s="82" customFormat="1" ht="15">
      <c r="A100" s="125" t="s">
        <v>326</v>
      </c>
      <c r="B100" s="125" t="s">
        <v>150</v>
      </c>
      <c r="C100" s="128">
        <v>2.2170000000000001</v>
      </c>
      <c r="D100" s="128">
        <v>2.4</v>
      </c>
      <c r="E100" s="128">
        <v>2.4649999999999999</v>
      </c>
      <c r="F100" s="128">
        <v>2.2149999999999999</v>
      </c>
      <c r="G100" s="128">
        <v>2.2149999999999999</v>
      </c>
      <c r="H100" s="128">
        <v>2.2149999999999999</v>
      </c>
      <c r="I100" s="128">
        <v>2.2149999999999999</v>
      </c>
      <c r="J100" s="129">
        <v>5.5</v>
      </c>
      <c r="K100" s="125">
        <v>4</v>
      </c>
      <c r="L100" s="125" t="s">
        <v>361</v>
      </c>
      <c r="M100" s="125" t="s">
        <v>151</v>
      </c>
      <c r="N100" s="125" t="s">
        <v>43</v>
      </c>
    </row>
    <row r="101" spans="1:14" s="82" customFormat="1" ht="15">
      <c r="A101" s="125" t="s">
        <v>327</v>
      </c>
      <c r="B101" s="125" t="s">
        <v>415</v>
      </c>
      <c r="C101" s="128">
        <v>1.29</v>
      </c>
      <c r="D101" s="128">
        <v>1.31</v>
      </c>
      <c r="E101" s="128">
        <v>0.87</v>
      </c>
      <c r="F101" s="128">
        <v>0.65</v>
      </c>
      <c r="G101" s="128">
        <v>0.64999999999999991</v>
      </c>
      <c r="H101" s="128">
        <v>0.115</v>
      </c>
      <c r="I101" s="128">
        <v>0</v>
      </c>
      <c r="J101" s="129">
        <f>0.00197511356903022*100</f>
        <v>0.19751135690302202</v>
      </c>
      <c r="K101" s="125">
        <v>4</v>
      </c>
      <c r="L101" s="125" t="s">
        <v>361</v>
      </c>
      <c r="M101" s="125" t="s">
        <v>151</v>
      </c>
      <c r="N101" s="125" t="s">
        <v>43</v>
      </c>
    </row>
    <row r="102" spans="1:14" s="82" customFormat="1" ht="15">
      <c r="A102" s="125" t="s">
        <v>327</v>
      </c>
      <c r="B102" s="125" t="s">
        <v>414</v>
      </c>
      <c r="C102" s="128">
        <v>9.8689999999999998</v>
      </c>
      <c r="D102" s="128">
        <v>13.787000000000001</v>
      </c>
      <c r="E102" s="128">
        <v>6.4809999999999999</v>
      </c>
      <c r="F102" s="128">
        <v>3.0550000000000002</v>
      </c>
      <c r="G102" s="128">
        <v>2.7959999999999998</v>
      </c>
      <c r="H102" s="128">
        <v>3.4060000000000001</v>
      </c>
      <c r="I102" s="128">
        <v>2.9060000000000001</v>
      </c>
      <c r="J102" s="129">
        <v>1.2</v>
      </c>
      <c r="K102" s="125">
        <v>4</v>
      </c>
      <c r="L102" s="125" t="s">
        <v>361</v>
      </c>
      <c r="M102" s="125" t="s">
        <v>396</v>
      </c>
      <c r="N102" s="125" t="s">
        <v>43</v>
      </c>
    </row>
    <row r="103" spans="1:14">
      <c r="A103" s="4" t="s">
        <v>417</v>
      </c>
      <c r="B103" s="4" t="s">
        <v>416</v>
      </c>
      <c r="C103" s="5">
        <v>1.488</v>
      </c>
      <c r="D103" s="4">
        <v>1.605</v>
      </c>
      <c r="E103" s="4">
        <v>12.1</v>
      </c>
      <c r="F103" s="5">
        <v>2.2999999999999998</v>
      </c>
      <c r="G103" s="5">
        <v>2.9</v>
      </c>
      <c r="H103" s="5">
        <v>0</v>
      </c>
      <c r="I103" s="4">
        <v>0</v>
      </c>
      <c r="J103" s="129">
        <v>2.2999999999999998</v>
      </c>
      <c r="K103" s="4">
        <v>4</v>
      </c>
      <c r="L103" s="125" t="s">
        <v>361</v>
      </c>
      <c r="M103" s="125" t="s">
        <v>396</v>
      </c>
      <c r="N103" s="125" t="s">
        <v>43</v>
      </c>
    </row>
    <row r="104" spans="1:14">
      <c r="A104" s="4" t="s">
        <v>418</v>
      </c>
      <c r="B104" s="4" t="s">
        <v>419</v>
      </c>
      <c r="C104" s="5">
        <v>0.28000000000000003</v>
      </c>
      <c r="D104" s="4">
        <v>2.2799999999999998</v>
      </c>
      <c r="E104" s="4">
        <v>3.1949999999999998</v>
      </c>
      <c r="F104" s="4">
        <v>4.6849999999999996</v>
      </c>
      <c r="G104" s="4">
        <v>5.585</v>
      </c>
      <c r="H104" s="4">
        <v>9.99</v>
      </c>
      <c r="I104" s="5">
        <v>8.4499999999999993</v>
      </c>
      <c r="J104" s="129">
        <v>0.1</v>
      </c>
      <c r="K104" s="4">
        <v>4</v>
      </c>
      <c r="L104" s="125" t="s">
        <v>361</v>
      </c>
      <c r="M104" s="125" t="s">
        <v>396</v>
      </c>
      <c r="N104" s="125" t="s">
        <v>43</v>
      </c>
    </row>
    <row r="105" spans="1:14" s="3" customFormat="1" ht="15">
      <c r="A105" s="82"/>
      <c r="B105" s="3" t="s">
        <v>84</v>
      </c>
      <c r="C105" s="12">
        <f t="shared" ref="C105:I105" si="7">SUM(C75:C104)</f>
        <v>70.521999999999991</v>
      </c>
      <c r="D105" s="12">
        <f t="shared" si="7"/>
        <v>76.268000000000001</v>
      </c>
      <c r="E105" s="12">
        <f t="shared" si="7"/>
        <v>78.518000000000001</v>
      </c>
      <c r="F105" s="12">
        <f t="shared" si="7"/>
        <v>62.408999999999992</v>
      </c>
      <c r="G105" s="12">
        <f t="shared" si="7"/>
        <v>63.577999999999989</v>
      </c>
      <c r="H105" s="12">
        <f t="shared" si="7"/>
        <v>64.751999999999995</v>
      </c>
      <c r="I105" s="12">
        <f t="shared" si="7"/>
        <v>62.182000000000002</v>
      </c>
      <c r="L105" s="1"/>
    </row>
    <row r="106" spans="1:14" s="1" customFormat="1">
      <c r="C106" s="58"/>
      <c r="D106" s="58"/>
      <c r="E106" s="58"/>
      <c r="F106" s="58"/>
      <c r="G106" s="58"/>
      <c r="H106" s="58"/>
      <c r="I106" s="58"/>
    </row>
    <row r="107" spans="1:14" s="2" customFormat="1" ht="15">
      <c r="A107" s="16"/>
      <c r="B107" s="15" t="s">
        <v>607</v>
      </c>
      <c r="C107" s="16"/>
      <c r="D107" s="16"/>
      <c r="E107" s="16"/>
      <c r="F107" s="16"/>
      <c r="G107" s="16"/>
      <c r="H107" s="16"/>
      <c r="I107" s="16"/>
      <c r="J107" s="16"/>
      <c r="K107" s="16"/>
      <c r="L107" s="17"/>
      <c r="M107" s="16"/>
      <c r="N107" s="16"/>
    </row>
    <row r="108" spans="1:14" s="3" customFormat="1" ht="15">
      <c r="A108" s="82"/>
      <c r="C108" s="158"/>
      <c r="D108" s="158"/>
      <c r="E108" s="158"/>
      <c r="F108" s="158"/>
      <c r="G108" s="158"/>
      <c r="H108" s="158"/>
      <c r="I108" s="158"/>
      <c r="L108" s="1"/>
    </row>
    <row r="109" spans="1:14" s="7" customFormat="1" ht="15" customHeight="1">
      <c r="A109" s="126" t="s">
        <v>402</v>
      </c>
      <c r="B109" s="7" t="s">
        <v>483</v>
      </c>
      <c r="C109" s="66">
        <v>0.66</v>
      </c>
      <c r="D109" s="66">
        <v>0.68700000000000006</v>
      </c>
      <c r="E109" s="66">
        <v>0.95599999999999996</v>
      </c>
      <c r="F109" s="66">
        <v>1.173</v>
      </c>
      <c r="G109" s="66">
        <v>0.95199999999999996</v>
      </c>
      <c r="H109" s="66">
        <v>1.1719999999999999</v>
      </c>
      <c r="I109" s="66">
        <v>1.1719999999999999</v>
      </c>
      <c r="J109" s="10">
        <v>20</v>
      </c>
      <c r="K109" s="10">
        <v>4</v>
      </c>
      <c r="L109" s="125" t="s">
        <v>361</v>
      </c>
      <c r="M109" s="10" t="s">
        <v>5</v>
      </c>
      <c r="N109" s="10" t="s">
        <v>42</v>
      </c>
    </row>
    <row r="110" spans="1:14" s="7" customFormat="1" ht="15" customHeight="1">
      <c r="A110" s="126" t="s">
        <v>402</v>
      </c>
      <c r="B110" s="7" t="s">
        <v>484</v>
      </c>
      <c r="C110" s="66">
        <v>0.16</v>
      </c>
      <c r="D110" s="66">
        <v>0.14000000000000001</v>
      </c>
      <c r="E110" s="66">
        <v>0.14000000000000001</v>
      </c>
      <c r="F110" s="66">
        <v>0.14000000000000001</v>
      </c>
      <c r="G110" s="66">
        <v>0.14000000000000001</v>
      </c>
      <c r="H110" s="66">
        <v>0.14000000000000001</v>
      </c>
      <c r="I110" s="66">
        <v>0.14000000000000001</v>
      </c>
      <c r="J110" s="10">
        <v>20</v>
      </c>
      <c r="K110" s="10">
        <v>4</v>
      </c>
      <c r="L110" s="125" t="s">
        <v>361</v>
      </c>
      <c r="M110" s="10" t="s">
        <v>7</v>
      </c>
      <c r="N110" s="10" t="s">
        <v>42</v>
      </c>
    </row>
    <row r="111" spans="1:14" s="7" customFormat="1">
      <c r="A111" s="126" t="s">
        <v>403</v>
      </c>
      <c r="B111" s="7" t="s">
        <v>6</v>
      </c>
      <c r="C111" s="66">
        <v>2.5459999999999998</v>
      </c>
      <c r="D111" s="66">
        <v>2.4079999999999999</v>
      </c>
      <c r="E111" s="66">
        <v>2.2839999999999998</v>
      </c>
      <c r="F111" s="66">
        <v>2.2839999999999998</v>
      </c>
      <c r="G111" s="66">
        <v>2.2839999999999998</v>
      </c>
      <c r="H111" s="66">
        <v>2.2839999999999998</v>
      </c>
      <c r="I111" s="66">
        <v>2.2839999999999998</v>
      </c>
      <c r="J111" s="10">
        <v>25</v>
      </c>
      <c r="K111" s="10">
        <v>6</v>
      </c>
      <c r="L111" s="10" t="s">
        <v>186</v>
      </c>
      <c r="M111" s="10" t="s">
        <v>7</v>
      </c>
      <c r="N111" s="10" t="s">
        <v>42</v>
      </c>
    </row>
    <row r="112" spans="1:14" s="7" customFormat="1">
      <c r="A112" s="126" t="s">
        <v>403</v>
      </c>
      <c r="B112" s="7" t="s">
        <v>8</v>
      </c>
      <c r="C112" s="66">
        <v>5.2030000000000003</v>
      </c>
      <c r="D112" s="66">
        <v>5.0810000000000004</v>
      </c>
      <c r="E112" s="66">
        <v>4.8769999999999998</v>
      </c>
      <c r="F112" s="66">
        <v>4.8710000000000004</v>
      </c>
      <c r="G112" s="66">
        <v>4.8710000000000004</v>
      </c>
      <c r="H112" s="66">
        <v>4.8710000000000004</v>
      </c>
      <c r="I112" s="66">
        <v>4.8710000000000004</v>
      </c>
      <c r="J112" s="10">
        <v>3.5</v>
      </c>
      <c r="K112" s="10">
        <v>11</v>
      </c>
      <c r="L112" s="125" t="s">
        <v>61</v>
      </c>
      <c r="M112" s="10" t="s">
        <v>9</v>
      </c>
      <c r="N112" s="10" t="s">
        <v>42</v>
      </c>
    </row>
    <row r="113" spans="1:14" s="7" customFormat="1">
      <c r="A113" s="7" t="s">
        <v>14</v>
      </c>
      <c r="B113" s="7" t="s">
        <v>488</v>
      </c>
      <c r="C113" s="106">
        <v>0.25</v>
      </c>
      <c r="D113" s="106">
        <v>0.25700000000000001</v>
      </c>
      <c r="E113" s="106">
        <v>0.25700000000000001</v>
      </c>
      <c r="F113" s="106">
        <v>0.25700000000000001</v>
      </c>
      <c r="G113" s="106">
        <v>0.25700000000000001</v>
      </c>
      <c r="H113" s="106">
        <v>0.25700000000000001</v>
      </c>
      <c r="I113" s="106">
        <v>0.25700000000000001</v>
      </c>
      <c r="J113" s="7">
        <v>100</v>
      </c>
      <c r="K113" s="7">
        <v>4</v>
      </c>
      <c r="L113" s="125" t="s">
        <v>361</v>
      </c>
      <c r="M113" s="7" t="s">
        <v>7</v>
      </c>
      <c r="N113" s="10" t="s">
        <v>42</v>
      </c>
    </row>
    <row r="114" spans="1:14" s="7" customFormat="1">
      <c r="A114" s="7" t="s">
        <v>14</v>
      </c>
      <c r="B114" s="7" t="s">
        <v>490</v>
      </c>
      <c r="C114" s="106">
        <v>0.17699999999999999</v>
      </c>
      <c r="D114" s="106">
        <v>0.17499999999999999</v>
      </c>
      <c r="E114" s="106">
        <v>0.16500000000000001</v>
      </c>
      <c r="F114" s="106">
        <v>0.156</v>
      </c>
      <c r="G114" s="106">
        <v>0.156</v>
      </c>
      <c r="H114" s="106">
        <v>0.156</v>
      </c>
      <c r="I114" s="106">
        <v>0.156</v>
      </c>
      <c r="J114" s="7">
        <v>100</v>
      </c>
      <c r="K114" s="7">
        <v>11</v>
      </c>
      <c r="L114" s="125" t="s">
        <v>61</v>
      </c>
      <c r="M114" s="7" t="s">
        <v>7</v>
      </c>
      <c r="N114" s="10" t="s">
        <v>42</v>
      </c>
    </row>
    <row r="115" spans="1:14" s="7" customFormat="1">
      <c r="A115" s="7" t="s">
        <v>16</v>
      </c>
      <c r="B115" s="7" t="s">
        <v>48</v>
      </c>
      <c r="C115" s="106">
        <v>139.96100000000001</v>
      </c>
      <c r="D115" s="106">
        <v>135.33600000000001</v>
      </c>
      <c r="E115" s="106">
        <v>132.685</v>
      </c>
      <c r="F115" s="106">
        <v>127.88500000000001</v>
      </c>
      <c r="G115" s="106">
        <v>127.785</v>
      </c>
      <c r="H115" s="106">
        <v>127.785</v>
      </c>
      <c r="I115" s="106">
        <v>127.785</v>
      </c>
      <c r="J115" s="7">
        <v>100</v>
      </c>
      <c r="K115" s="7" t="s">
        <v>17</v>
      </c>
      <c r="L115" s="10" t="s">
        <v>186</v>
      </c>
      <c r="M115" s="7" t="s">
        <v>18</v>
      </c>
      <c r="N115" s="7" t="s">
        <v>42</v>
      </c>
    </row>
    <row r="116" spans="1:14" s="7" customFormat="1">
      <c r="A116" s="7" t="s">
        <v>20</v>
      </c>
      <c r="B116" s="7" t="s">
        <v>50</v>
      </c>
      <c r="C116" s="106">
        <v>3.8370000000000002</v>
      </c>
      <c r="D116" s="106">
        <v>3.3319999999999999</v>
      </c>
      <c r="E116" s="106">
        <v>3.3130000000000002</v>
      </c>
      <c r="F116" s="106">
        <v>3.3130000000000002</v>
      </c>
      <c r="G116" s="106">
        <v>3.3130000000000002</v>
      </c>
      <c r="H116" s="106">
        <v>3.3130000000000002</v>
      </c>
      <c r="I116" s="106">
        <v>3.3130000000000002</v>
      </c>
      <c r="J116" s="7">
        <v>100</v>
      </c>
      <c r="K116" s="7">
        <v>4</v>
      </c>
      <c r="L116" s="125" t="s">
        <v>361</v>
      </c>
      <c r="M116" s="7" t="s">
        <v>7</v>
      </c>
      <c r="N116" s="7" t="s">
        <v>42</v>
      </c>
    </row>
    <row r="117" spans="1:14" s="7" customFormat="1">
      <c r="A117" s="7" t="s">
        <v>20</v>
      </c>
      <c r="B117" s="7" t="s">
        <v>51</v>
      </c>
      <c r="C117" s="106">
        <v>10.553000000000001</v>
      </c>
      <c r="D117" s="106">
        <v>9.57</v>
      </c>
      <c r="E117" s="106">
        <v>9.5150000000000006</v>
      </c>
      <c r="F117" s="106">
        <v>9.5150000000000006</v>
      </c>
      <c r="G117" s="106">
        <v>9.5150000000000006</v>
      </c>
      <c r="H117" s="106">
        <v>9.5150000000000006</v>
      </c>
      <c r="I117" s="106">
        <v>9.5150000000000006</v>
      </c>
      <c r="J117" s="7">
        <v>100</v>
      </c>
      <c r="K117" s="7">
        <v>4</v>
      </c>
      <c r="L117" s="125" t="s">
        <v>361</v>
      </c>
      <c r="M117" s="7" t="s">
        <v>7</v>
      </c>
      <c r="N117" s="7" t="s">
        <v>42</v>
      </c>
    </row>
    <row r="118" spans="1:14" s="7" customFormat="1">
      <c r="A118" s="7" t="s">
        <v>20</v>
      </c>
      <c r="B118" s="7" t="s">
        <v>52</v>
      </c>
      <c r="C118" s="106">
        <v>20.201000000000001</v>
      </c>
      <c r="D118" s="106">
        <v>19.446000000000002</v>
      </c>
      <c r="E118" s="106">
        <v>18.587</v>
      </c>
      <c r="F118" s="106">
        <v>18.587</v>
      </c>
      <c r="G118" s="106">
        <v>18.587</v>
      </c>
      <c r="H118" s="106">
        <v>18.587</v>
      </c>
      <c r="I118" s="106">
        <v>18.587</v>
      </c>
      <c r="J118" s="7">
        <v>100</v>
      </c>
      <c r="K118" s="7">
        <v>3</v>
      </c>
      <c r="L118" s="7" t="s">
        <v>103</v>
      </c>
      <c r="M118" s="7" t="s">
        <v>7</v>
      </c>
      <c r="N118" s="10" t="s">
        <v>42</v>
      </c>
    </row>
    <row r="119" spans="1:14" s="7" customFormat="1">
      <c r="A119" s="7" t="s">
        <v>20</v>
      </c>
      <c r="B119" s="7" t="s">
        <v>499</v>
      </c>
      <c r="C119" s="106">
        <v>22.405999999999999</v>
      </c>
      <c r="D119" s="106">
        <v>19.408999999999999</v>
      </c>
      <c r="E119" s="106">
        <v>24.969000000000001</v>
      </c>
      <c r="F119" s="106">
        <v>23.378</v>
      </c>
      <c r="G119" s="106">
        <v>23.786000000000001</v>
      </c>
      <c r="H119" s="106">
        <v>24.498999999999999</v>
      </c>
      <c r="I119" s="106">
        <v>24.498999999999999</v>
      </c>
      <c r="J119" s="7">
        <v>100</v>
      </c>
      <c r="K119" s="7">
        <v>6</v>
      </c>
      <c r="L119" s="10" t="s">
        <v>186</v>
      </c>
      <c r="M119" s="7" t="s">
        <v>22</v>
      </c>
      <c r="N119" s="10" t="s">
        <v>42</v>
      </c>
    </row>
    <row r="120" spans="1:14" s="7" customFormat="1">
      <c r="A120" s="7" t="s">
        <v>20</v>
      </c>
      <c r="B120" s="7" t="s">
        <v>507</v>
      </c>
      <c r="C120" s="106">
        <v>0</v>
      </c>
      <c r="D120" s="106">
        <v>0.13600000000000001</v>
      </c>
      <c r="E120" s="106">
        <v>0</v>
      </c>
      <c r="F120" s="106">
        <v>1E-3</v>
      </c>
      <c r="G120" s="106">
        <v>8.0000000000000002E-3</v>
      </c>
      <c r="H120" s="106">
        <v>8.0000000000000002E-3</v>
      </c>
      <c r="I120" s="106">
        <v>8.0000000000000002E-3</v>
      </c>
      <c r="J120" s="7">
        <v>100</v>
      </c>
      <c r="K120" s="7">
        <v>6.13</v>
      </c>
      <c r="L120" s="125" t="s">
        <v>361</v>
      </c>
      <c r="M120" s="7" t="s">
        <v>23</v>
      </c>
      <c r="N120" s="7" t="s">
        <v>42</v>
      </c>
    </row>
    <row r="121" spans="1:14" s="7" customFormat="1">
      <c r="A121" s="7" t="s">
        <v>20</v>
      </c>
      <c r="B121" s="7" t="s">
        <v>501</v>
      </c>
      <c r="C121" s="106">
        <v>2.1749999999999998</v>
      </c>
      <c r="D121" s="106">
        <v>0</v>
      </c>
      <c r="E121" s="106">
        <v>0</v>
      </c>
      <c r="F121" s="106">
        <v>0</v>
      </c>
      <c r="G121" s="106">
        <v>0</v>
      </c>
      <c r="H121" s="106">
        <v>0</v>
      </c>
      <c r="I121" s="106">
        <v>0</v>
      </c>
      <c r="J121" s="7">
        <v>100</v>
      </c>
      <c r="K121" s="7">
        <v>6</v>
      </c>
      <c r="L121" s="10" t="s">
        <v>186</v>
      </c>
      <c r="M121" s="7" t="s">
        <v>7</v>
      </c>
      <c r="N121" s="10" t="s">
        <v>42</v>
      </c>
    </row>
    <row r="122" spans="1:14" s="7" customFormat="1">
      <c r="A122" s="126" t="s">
        <v>387</v>
      </c>
      <c r="B122" s="7" t="s">
        <v>305</v>
      </c>
      <c r="C122" s="106">
        <v>0</v>
      </c>
      <c r="D122" s="106">
        <v>14.951000000000001</v>
      </c>
      <c r="E122" s="106">
        <v>7.6509999999999998</v>
      </c>
      <c r="F122" s="106">
        <v>7.6509999999999998</v>
      </c>
      <c r="G122" s="106">
        <v>7.6509999999999998</v>
      </c>
      <c r="H122" s="106">
        <v>7.6509999999999998</v>
      </c>
      <c r="I122" s="106">
        <v>7.6509999999999998</v>
      </c>
      <c r="J122" s="7">
        <v>100</v>
      </c>
      <c r="K122" s="7">
        <v>5</v>
      </c>
      <c r="L122" s="7" t="s">
        <v>185</v>
      </c>
      <c r="M122" s="7" t="s">
        <v>28</v>
      </c>
      <c r="N122" s="7" t="s">
        <v>42</v>
      </c>
    </row>
    <row r="123" spans="1:14" s="7" customFormat="1">
      <c r="A123" s="126" t="s">
        <v>389</v>
      </c>
      <c r="B123" s="7" t="s">
        <v>31</v>
      </c>
      <c r="C123" s="106">
        <v>27.981999999999999</v>
      </c>
      <c r="D123" s="106">
        <v>23.704000000000001</v>
      </c>
      <c r="E123" s="106">
        <v>23.373000000000001</v>
      </c>
      <c r="F123" s="106">
        <v>23.373000000000001</v>
      </c>
      <c r="G123" s="106">
        <v>23.373000000000001</v>
      </c>
      <c r="H123" s="106">
        <v>23.373000000000001</v>
      </c>
      <c r="I123" s="106">
        <v>23.373000000000001</v>
      </c>
      <c r="J123" s="7">
        <v>100</v>
      </c>
      <c r="K123" s="7">
        <v>5</v>
      </c>
      <c r="L123" s="7" t="s">
        <v>185</v>
      </c>
      <c r="M123" s="7" t="s">
        <v>32</v>
      </c>
      <c r="N123" s="7" t="s">
        <v>42</v>
      </c>
    </row>
    <row r="124" spans="1:14" s="7" customFormat="1">
      <c r="A124" s="126" t="s">
        <v>390</v>
      </c>
      <c r="B124" s="7" t="s">
        <v>391</v>
      </c>
      <c r="C124" s="106">
        <v>5.1769999999999996</v>
      </c>
      <c r="D124" s="106">
        <v>4.45</v>
      </c>
      <c r="E124" s="106">
        <v>2.98</v>
      </c>
      <c r="F124" s="106">
        <v>2.98</v>
      </c>
      <c r="G124" s="106">
        <v>2.98</v>
      </c>
      <c r="H124" s="106">
        <v>2.98</v>
      </c>
      <c r="I124" s="106">
        <v>2.98</v>
      </c>
      <c r="J124" s="7">
        <v>100</v>
      </c>
      <c r="K124" s="7">
        <v>5</v>
      </c>
      <c r="L124" s="7" t="s">
        <v>185</v>
      </c>
      <c r="M124" s="7" t="s">
        <v>18</v>
      </c>
      <c r="N124" s="7" t="s">
        <v>42</v>
      </c>
    </row>
    <row r="125" spans="1:14" s="7" customFormat="1">
      <c r="A125" s="126" t="s">
        <v>551</v>
      </c>
      <c r="B125" s="7" t="s">
        <v>552</v>
      </c>
      <c r="C125" s="106">
        <v>0</v>
      </c>
      <c r="D125" s="106">
        <v>1.36</v>
      </c>
      <c r="E125" s="106">
        <v>1.7</v>
      </c>
      <c r="F125" s="106">
        <v>1.7</v>
      </c>
      <c r="G125" s="106">
        <v>1.7</v>
      </c>
      <c r="H125" s="106">
        <v>1.7</v>
      </c>
      <c r="I125" s="106">
        <v>1.7</v>
      </c>
      <c r="J125" s="7">
        <v>100</v>
      </c>
      <c r="K125" s="7">
        <v>5</v>
      </c>
      <c r="L125" s="7" t="s">
        <v>185</v>
      </c>
      <c r="M125" s="7" t="s">
        <v>18</v>
      </c>
      <c r="N125" s="7" t="s">
        <v>42</v>
      </c>
    </row>
    <row r="126" spans="1:14" s="7" customFormat="1">
      <c r="A126" s="126" t="s">
        <v>402</v>
      </c>
      <c r="B126" s="7" t="s">
        <v>3</v>
      </c>
      <c r="C126" s="66">
        <v>1.956</v>
      </c>
      <c r="D126" s="66">
        <v>1.84</v>
      </c>
      <c r="E126" s="66">
        <v>1.605</v>
      </c>
      <c r="F126" s="66">
        <v>2.1880000000000002</v>
      </c>
      <c r="G126" s="66">
        <v>1.488</v>
      </c>
      <c r="H126" s="66">
        <v>1.488</v>
      </c>
      <c r="I126" s="66">
        <v>1.488</v>
      </c>
      <c r="J126" s="10">
        <v>100</v>
      </c>
      <c r="K126" s="10">
        <v>6</v>
      </c>
      <c r="L126" s="10" t="s">
        <v>186</v>
      </c>
      <c r="M126" s="10" t="s">
        <v>4</v>
      </c>
      <c r="N126" s="10" t="s">
        <v>43</v>
      </c>
    </row>
    <row r="127" spans="1:14" s="7" customFormat="1">
      <c r="A127" s="7" t="s">
        <v>10</v>
      </c>
      <c r="B127" s="7" t="s">
        <v>485</v>
      </c>
      <c r="C127" s="106">
        <v>0.153</v>
      </c>
      <c r="D127" s="106">
        <v>0</v>
      </c>
      <c r="E127" s="106">
        <v>0</v>
      </c>
      <c r="F127" s="106">
        <v>0</v>
      </c>
      <c r="G127" s="106">
        <v>0</v>
      </c>
      <c r="H127" s="106">
        <v>0</v>
      </c>
      <c r="I127" s="106">
        <v>0</v>
      </c>
      <c r="J127" s="7">
        <v>100</v>
      </c>
      <c r="K127" s="7">
        <v>3</v>
      </c>
      <c r="L127" s="7" t="s">
        <v>103</v>
      </c>
      <c r="M127" s="7" t="s">
        <v>11</v>
      </c>
      <c r="N127" s="10" t="s">
        <v>43</v>
      </c>
    </row>
    <row r="128" spans="1:14" s="7" customFormat="1">
      <c r="A128" s="7" t="s">
        <v>10</v>
      </c>
      <c r="B128" s="7" t="s">
        <v>486</v>
      </c>
      <c r="C128" s="106">
        <v>1.845</v>
      </c>
      <c r="D128" s="106">
        <v>2.532</v>
      </c>
      <c r="E128" s="106">
        <v>0</v>
      </c>
      <c r="F128" s="106">
        <v>0</v>
      </c>
      <c r="G128" s="106">
        <v>0</v>
      </c>
      <c r="H128" s="106">
        <v>0</v>
      </c>
      <c r="I128" s="106">
        <v>0</v>
      </c>
      <c r="J128" s="7">
        <v>100</v>
      </c>
      <c r="K128" s="7">
        <v>6</v>
      </c>
      <c r="L128" s="10" t="s">
        <v>186</v>
      </c>
      <c r="M128" s="7" t="s">
        <v>12</v>
      </c>
      <c r="N128" s="10" t="s">
        <v>43</v>
      </c>
    </row>
    <row r="129" spans="1:14" s="7" customFormat="1">
      <c r="A129" s="7" t="s">
        <v>39</v>
      </c>
      <c r="B129" s="7" t="s">
        <v>285</v>
      </c>
      <c r="C129" s="106">
        <v>17.068999999999999</v>
      </c>
      <c r="D129" s="106">
        <v>26.497</v>
      </c>
      <c r="E129" s="106">
        <v>26.544</v>
      </c>
      <c r="F129" s="106">
        <v>25.757000000000001</v>
      </c>
      <c r="G129" s="106">
        <v>26.177</v>
      </c>
      <c r="H129" s="106">
        <v>26.177</v>
      </c>
      <c r="I129" s="106">
        <v>26.177</v>
      </c>
      <c r="J129" s="7">
        <v>90</v>
      </c>
      <c r="K129" s="7">
        <v>6</v>
      </c>
      <c r="L129" s="10" t="s">
        <v>186</v>
      </c>
      <c r="M129" s="7" t="s">
        <v>15</v>
      </c>
      <c r="N129" s="10" t="s">
        <v>43</v>
      </c>
    </row>
    <row r="130" spans="1:14" s="7" customFormat="1">
      <c r="A130" s="7" t="s">
        <v>14</v>
      </c>
      <c r="B130" s="7" t="s">
        <v>487</v>
      </c>
      <c r="C130" s="106">
        <v>12.044</v>
      </c>
      <c r="D130" s="106">
        <v>14.689</v>
      </c>
      <c r="E130" s="106">
        <v>17.808</v>
      </c>
      <c r="F130" s="106">
        <v>17.957999999999998</v>
      </c>
      <c r="G130" s="106">
        <v>17.957999999999998</v>
      </c>
      <c r="H130" s="106">
        <v>17.957999999999998</v>
      </c>
      <c r="I130" s="106">
        <v>17.957999999999998</v>
      </c>
      <c r="J130" s="7">
        <v>100</v>
      </c>
      <c r="K130" s="7">
        <v>6</v>
      </c>
      <c r="L130" s="10" t="s">
        <v>186</v>
      </c>
      <c r="M130" s="7" t="s">
        <v>15</v>
      </c>
      <c r="N130" s="10" t="s">
        <v>43</v>
      </c>
    </row>
    <row r="131" spans="1:14" s="7" customFormat="1">
      <c r="A131" s="7" t="s">
        <v>14</v>
      </c>
      <c r="B131" s="7" t="s">
        <v>489</v>
      </c>
      <c r="C131" s="106">
        <v>3.3</v>
      </c>
      <c r="D131" s="106">
        <v>2.097</v>
      </c>
      <c r="E131" s="106">
        <v>0.502</v>
      </c>
      <c r="F131" s="106">
        <v>0.502</v>
      </c>
      <c r="G131" s="106">
        <v>0.502</v>
      </c>
      <c r="H131" s="106">
        <v>0.502</v>
      </c>
      <c r="I131" s="106">
        <v>0.502</v>
      </c>
      <c r="J131" s="7">
        <v>100</v>
      </c>
      <c r="K131" s="7">
        <v>6</v>
      </c>
      <c r="L131" s="10" t="s">
        <v>186</v>
      </c>
      <c r="M131" s="7" t="s">
        <v>25</v>
      </c>
      <c r="N131" s="10" t="s">
        <v>43</v>
      </c>
    </row>
    <row r="132" spans="1:14" s="7" customFormat="1">
      <c r="A132" s="7" t="s">
        <v>16</v>
      </c>
      <c r="B132" s="7" t="s">
        <v>492</v>
      </c>
      <c r="C132" s="106">
        <v>0.60499999999999998</v>
      </c>
      <c r="D132" s="106">
        <v>0</v>
      </c>
      <c r="E132" s="106">
        <v>0</v>
      </c>
      <c r="F132" s="106">
        <v>0</v>
      </c>
      <c r="G132" s="106">
        <v>0</v>
      </c>
      <c r="H132" s="106">
        <v>0</v>
      </c>
      <c r="I132" s="106">
        <v>0</v>
      </c>
      <c r="J132" s="7">
        <v>100</v>
      </c>
      <c r="K132" s="7">
        <v>6</v>
      </c>
      <c r="L132" s="10" t="s">
        <v>186</v>
      </c>
      <c r="M132" s="7" t="s">
        <v>25</v>
      </c>
      <c r="N132" s="10" t="s">
        <v>43</v>
      </c>
    </row>
    <row r="133" spans="1:14" s="7" customFormat="1">
      <c r="A133" s="7" t="s">
        <v>16</v>
      </c>
      <c r="B133" s="7" t="s">
        <v>493</v>
      </c>
      <c r="C133" s="106">
        <v>0.47899999999999998</v>
      </c>
      <c r="D133" s="106">
        <v>0</v>
      </c>
      <c r="E133" s="106">
        <v>0</v>
      </c>
      <c r="F133" s="106">
        <v>0</v>
      </c>
      <c r="G133" s="106">
        <v>0</v>
      </c>
      <c r="H133" s="106">
        <v>0</v>
      </c>
      <c r="I133" s="106">
        <v>0</v>
      </c>
      <c r="J133" s="7">
        <v>100</v>
      </c>
      <c r="K133" s="7">
        <v>6</v>
      </c>
      <c r="L133" s="10" t="s">
        <v>186</v>
      </c>
      <c r="M133" s="7" t="s">
        <v>15</v>
      </c>
      <c r="N133" s="10" t="s">
        <v>43</v>
      </c>
    </row>
    <row r="134" spans="1:14" s="7" customFormat="1">
      <c r="A134" s="7" t="s">
        <v>16</v>
      </c>
      <c r="B134" s="7" t="s">
        <v>491</v>
      </c>
      <c r="C134" s="106">
        <v>2.39</v>
      </c>
      <c r="D134" s="106">
        <v>2.7890000000000001</v>
      </c>
      <c r="E134" s="106">
        <v>0</v>
      </c>
      <c r="F134" s="106">
        <v>0</v>
      </c>
      <c r="G134" s="106">
        <v>0</v>
      </c>
      <c r="H134" s="106">
        <v>0</v>
      </c>
      <c r="I134" s="106">
        <v>0</v>
      </c>
      <c r="J134" s="7">
        <v>80</v>
      </c>
      <c r="K134" s="7">
        <v>6</v>
      </c>
      <c r="L134" s="10" t="s">
        <v>186</v>
      </c>
      <c r="M134" s="7" t="s">
        <v>12</v>
      </c>
      <c r="N134" s="10" t="s">
        <v>43</v>
      </c>
    </row>
    <row r="135" spans="1:14" s="7" customFormat="1">
      <c r="A135" s="7" t="s">
        <v>16</v>
      </c>
      <c r="B135" s="7" t="s">
        <v>494</v>
      </c>
      <c r="C135" s="106">
        <v>8.8999999999999996E-2</v>
      </c>
      <c r="D135" s="106">
        <v>0</v>
      </c>
      <c r="E135" s="106">
        <v>0</v>
      </c>
      <c r="F135" s="106">
        <v>0</v>
      </c>
      <c r="G135" s="106">
        <v>0</v>
      </c>
      <c r="H135" s="106">
        <v>0</v>
      </c>
      <c r="I135" s="106">
        <v>0</v>
      </c>
      <c r="J135" s="7">
        <v>100</v>
      </c>
      <c r="K135" s="7">
        <v>6</v>
      </c>
      <c r="L135" s="10" t="s">
        <v>186</v>
      </c>
      <c r="M135" s="7" t="s">
        <v>15</v>
      </c>
      <c r="N135" s="10" t="s">
        <v>43</v>
      </c>
    </row>
    <row r="136" spans="1:14" s="7" customFormat="1">
      <c r="A136" s="7" t="s">
        <v>19</v>
      </c>
      <c r="B136" s="7" t="s">
        <v>49</v>
      </c>
      <c r="C136" s="106">
        <v>27.094999999999999</v>
      </c>
      <c r="D136" s="106">
        <v>35.109000000000002</v>
      </c>
      <c r="E136" s="106">
        <v>40.021999999999998</v>
      </c>
      <c r="F136" s="106">
        <v>41.256999999999998</v>
      </c>
      <c r="G136" s="106">
        <v>41.256999999999998</v>
      </c>
      <c r="H136" s="106">
        <v>41.256999999999998</v>
      </c>
      <c r="I136" s="106">
        <v>41.256999999999998</v>
      </c>
      <c r="J136" s="7">
        <v>100</v>
      </c>
      <c r="K136" s="7">
        <v>6</v>
      </c>
      <c r="L136" s="10" t="s">
        <v>186</v>
      </c>
      <c r="M136" s="7" t="s">
        <v>15</v>
      </c>
      <c r="N136" s="10" t="s">
        <v>43</v>
      </c>
    </row>
    <row r="137" spans="1:14" s="7" customFormat="1">
      <c r="A137" s="7" t="s">
        <v>19</v>
      </c>
      <c r="B137" s="7" t="s">
        <v>496</v>
      </c>
      <c r="C137" s="106">
        <v>2.8279999999999998</v>
      </c>
      <c r="D137" s="106">
        <v>3.4449999999999998</v>
      </c>
      <c r="E137" s="106">
        <v>4.0919999999999996</v>
      </c>
      <c r="F137" s="106">
        <v>4.0670000000000002</v>
      </c>
      <c r="G137" s="106">
        <v>4.0670000000000002</v>
      </c>
      <c r="H137" s="106">
        <v>4.0670000000000002</v>
      </c>
      <c r="I137" s="106">
        <v>4.0670000000000002</v>
      </c>
      <c r="J137" s="7">
        <v>100</v>
      </c>
      <c r="K137" s="70" t="s">
        <v>590</v>
      </c>
      <c r="M137" s="7" t="s">
        <v>15</v>
      </c>
      <c r="N137" s="10" t="s">
        <v>43</v>
      </c>
    </row>
    <row r="138" spans="1:14" s="7" customFormat="1">
      <c r="A138" s="7" t="s">
        <v>19</v>
      </c>
      <c r="B138" s="7" t="s">
        <v>497</v>
      </c>
      <c r="C138" s="106">
        <v>68.331000000000003</v>
      </c>
      <c r="D138" s="106">
        <v>96.018000000000001</v>
      </c>
      <c r="E138" s="106">
        <v>103.41</v>
      </c>
      <c r="F138" s="106">
        <v>111.069</v>
      </c>
      <c r="G138" s="106">
        <v>116.136</v>
      </c>
      <c r="H138" s="106">
        <v>116.136</v>
      </c>
      <c r="I138" s="106">
        <v>116.136</v>
      </c>
      <c r="J138" s="7">
        <v>100</v>
      </c>
      <c r="K138" s="70" t="s">
        <v>590</v>
      </c>
      <c r="M138" s="7" t="s">
        <v>15</v>
      </c>
      <c r="N138" s="10" t="s">
        <v>43</v>
      </c>
    </row>
    <row r="139" spans="1:14" s="7" customFormat="1">
      <c r="A139" s="7" t="s">
        <v>19</v>
      </c>
      <c r="B139" s="7" t="s">
        <v>498</v>
      </c>
      <c r="C139" s="106">
        <v>4.9969999999999999</v>
      </c>
      <c r="D139" s="106">
        <v>1.4419999999999999</v>
      </c>
      <c r="E139" s="106">
        <v>0.30399999999999999</v>
      </c>
      <c r="F139" s="106">
        <v>0</v>
      </c>
      <c r="G139" s="106">
        <v>0</v>
      </c>
      <c r="H139" s="106">
        <v>0</v>
      </c>
      <c r="I139" s="106">
        <v>0</v>
      </c>
      <c r="J139" s="7">
        <v>100</v>
      </c>
      <c r="K139" s="70" t="s">
        <v>590</v>
      </c>
      <c r="M139" s="7" t="s">
        <v>15</v>
      </c>
      <c r="N139" s="10" t="s">
        <v>43</v>
      </c>
    </row>
    <row r="140" spans="1:14" s="7" customFormat="1">
      <c r="A140" s="7" t="s">
        <v>20</v>
      </c>
      <c r="B140" s="7" t="s">
        <v>500</v>
      </c>
      <c r="C140" s="106">
        <v>3.2000000000000001E-2</v>
      </c>
      <c r="D140" s="106">
        <v>0</v>
      </c>
      <c r="E140" s="106">
        <v>0</v>
      </c>
      <c r="F140" s="106">
        <v>0</v>
      </c>
      <c r="G140" s="106">
        <v>0</v>
      </c>
      <c r="H140" s="106">
        <v>0</v>
      </c>
      <c r="I140" s="106">
        <v>0</v>
      </c>
      <c r="J140" s="7">
        <v>100</v>
      </c>
      <c r="K140" s="7">
        <v>6</v>
      </c>
      <c r="L140" s="10" t="s">
        <v>186</v>
      </c>
      <c r="M140" s="7" t="s">
        <v>25</v>
      </c>
      <c r="N140" s="10" t="s">
        <v>43</v>
      </c>
    </row>
    <row r="141" spans="1:14" s="7" customFormat="1">
      <c r="A141" s="7" t="s">
        <v>20</v>
      </c>
      <c r="B141" s="7" t="s">
        <v>502</v>
      </c>
      <c r="C141" s="106">
        <v>0.51200000000000001</v>
      </c>
      <c r="D141" s="106">
        <v>7.3999999999999996E-2</v>
      </c>
      <c r="E141" s="106">
        <v>0</v>
      </c>
      <c r="F141" s="106">
        <v>0</v>
      </c>
      <c r="G141" s="106">
        <v>0</v>
      </c>
      <c r="H141" s="106">
        <v>0</v>
      </c>
      <c r="I141" s="106">
        <v>0</v>
      </c>
      <c r="J141" s="7">
        <v>100</v>
      </c>
      <c r="K141" s="7">
        <v>6</v>
      </c>
      <c r="L141" s="10" t="s">
        <v>186</v>
      </c>
      <c r="M141" s="7" t="s">
        <v>12</v>
      </c>
      <c r="N141" s="10" t="s">
        <v>43</v>
      </c>
    </row>
    <row r="142" spans="1:14" s="7" customFormat="1">
      <c r="A142" s="7" t="s">
        <v>20</v>
      </c>
      <c r="B142" s="7" t="s">
        <v>503</v>
      </c>
      <c r="C142" s="106">
        <v>0.21299999999999999</v>
      </c>
      <c r="D142" s="106">
        <v>0</v>
      </c>
      <c r="E142" s="106">
        <v>0</v>
      </c>
      <c r="F142" s="106">
        <v>0</v>
      </c>
      <c r="G142" s="106">
        <v>0</v>
      </c>
      <c r="H142" s="106">
        <v>0</v>
      </c>
      <c r="I142" s="106">
        <v>0</v>
      </c>
      <c r="J142" s="7">
        <v>100</v>
      </c>
      <c r="K142" s="7">
        <v>6</v>
      </c>
      <c r="L142" s="10" t="s">
        <v>186</v>
      </c>
      <c r="M142" s="7" t="s">
        <v>7</v>
      </c>
      <c r="N142" s="10" t="s">
        <v>43</v>
      </c>
    </row>
    <row r="143" spans="1:14" s="7" customFormat="1">
      <c r="A143" s="7" t="s">
        <v>20</v>
      </c>
      <c r="B143" s="7" t="s">
        <v>504</v>
      </c>
      <c r="C143" s="106">
        <v>4.41</v>
      </c>
      <c r="D143" s="106">
        <v>12.49</v>
      </c>
      <c r="E143" s="106">
        <v>3.5999999999999997E-2</v>
      </c>
      <c r="F143" s="106">
        <v>0.14099999999999999</v>
      </c>
      <c r="G143" s="106">
        <v>0.16600000000000001</v>
      </c>
      <c r="H143" s="106">
        <v>6.4000000000000001E-2</v>
      </c>
      <c r="I143" s="106">
        <v>6.4000000000000001E-2</v>
      </c>
      <c r="J143" s="7">
        <v>100</v>
      </c>
      <c r="K143" s="7">
        <v>6</v>
      </c>
      <c r="L143" s="10" t="s">
        <v>186</v>
      </c>
      <c r="M143" s="7" t="s">
        <v>508</v>
      </c>
      <c r="N143" s="10" t="s">
        <v>43</v>
      </c>
    </row>
    <row r="144" spans="1:14" s="7" customFormat="1">
      <c r="A144" s="7" t="s">
        <v>20</v>
      </c>
      <c r="B144" s="7" t="s">
        <v>505</v>
      </c>
      <c r="C144" s="106">
        <v>1.236</v>
      </c>
      <c r="D144" s="106">
        <v>4.3529999999999998</v>
      </c>
      <c r="E144" s="106">
        <v>0</v>
      </c>
      <c r="F144" s="106">
        <v>0</v>
      </c>
      <c r="G144" s="106">
        <v>0</v>
      </c>
      <c r="H144" s="106">
        <v>0</v>
      </c>
      <c r="I144" s="106">
        <v>0</v>
      </c>
      <c r="J144" s="7">
        <v>100</v>
      </c>
      <c r="K144" s="7">
        <v>6</v>
      </c>
      <c r="L144" s="10" t="s">
        <v>186</v>
      </c>
      <c r="M144" s="7" t="s">
        <v>508</v>
      </c>
      <c r="N144" s="10" t="s">
        <v>43</v>
      </c>
    </row>
    <row r="145" spans="1:14" s="7" customFormat="1">
      <c r="A145" s="7" t="s">
        <v>20</v>
      </c>
      <c r="B145" s="7" t="s">
        <v>506</v>
      </c>
      <c r="C145" s="106">
        <v>0.9</v>
      </c>
      <c r="D145" s="106">
        <v>1.3859999999999999</v>
      </c>
      <c r="E145" s="106">
        <v>0</v>
      </c>
      <c r="F145" s="106">
        <v>1.75</v>
      </c>
      <c r="G145" s="106">
        <v>0</v>
      </c>
      <c r="H145" s="106">
        <v>0</v>
      </c>
      <c r="I145" s="106">
        <v>0</v>
      </c>
      <c r="J145" s="7">
        <v>100</v>
      </c>
      <c r="K145" s="7">
        <v>6</v>
      </c>
      <c r="L145" s="10" t="s">
        <v>186</v>
      </c>
      <c r="M145" s="7" t="s">
        <v>7</v>
      </c>
      <c r="N145" s="10" t="s">
        <v>43</v>
      </c>
    </row>
    <row r="146" spans="1:14" s="7" customFormat="1">
      <c r="A146" s="7" t="s">
        <v>21</v>
      </c>
      <c r="B146" s="7" t="s">
        <v>509</v>
      </c>
      <c r="C146" s="106">
        <v>12.202</v>
      </c>
      <c r="D146" s="106">
        <v>6.2949999999999999</v>
      </c>
      <c r="E146" s="106">
        <v>0</v>
      </c>
      <c r="F146" s="106">
        <v>0</v>
      </c>
      <c r="G146" s="106">
        <v>0</v>
      </c>
      <c r="H146" s="106">
        <v>0</v>
      </c>
      <c r="I146" s="106">
        <v>0</v>
      </c>
      <c r="J146" s="7">
        <v>100</v>
      </c>
      <c r="K146" s="7">
        <v>6</v>
      </c>
      <c r="L146" s="10" t="s">
        <v>186</v>
      </c>
      <c r="M146" s="7" t="s">
        <v>514</v>
      </c>
      <c r="N146" s="10" t="s">
        <v>43</v>
      </c>
    </row>
    <row r="147" spans="1:14" s="7" customFormat="1">
      <c r="A147" s="7" t="s">
        <v>21</v>
      </c>
      <c r="B147" s="7" t="s">
        <v>510</v>
      </c>
      <c r="C147" s="106">
        <v>0.54700000000000004</v>
      </c>
      <c r="D147" s="106">
        <v>0</v>
      </c>
      <c r="E147" s="106">
        <v>0</v>
      </c>
      <c r="F147" s="106">
        <v>0</v>
      </c>
      <c r="G147" s="106">
        <v>0</v>
      </c>
      <c r="H147" s="106">
        <v>0</v>
      </c>
      <c r="I147" s="106">
        <v>0</v>
      </c>
      <c r="J147" s="7">
        <v>100</v>
      </c>
      <c r="K147" s="7">
        <v>6</v>
      </c>
      <c r="L147" s="10" t="s">
        <v>186</v>
      </c>
      <c r="M147" s="7" t="s">
        <v>514</v>
      </c>
      <c r="N147" s="10" t="s">
        <v>43</v>
      </c>
    </row>
    <row r="148" spans="1:14" s="7" customFormat="1">
      <c r="A148" s="7" t="s">
        <v>21</v>
      </c>
      <c r="B148" s="7" t="s">
        <v>511</v>
      </c>
      <c r="C148" s="106">
        <v>7.3040000000000003</v>
      </c>
      <c r="D148" s="106">
        <v>2.3E-2</v>
      </c>
      <c r="E148" s="106">
        <v>8.9999999999999993E-3</v>
      </c>
      <c r="F148" s="106">
        <v>0.01</v>
      </c>
      <c r="G148" s="106">
        <v>0.01</v>
      </c>
      <c r="H148" s="106">
        <v>0.01</v>
      </c>
      <c r="I148" s="106">
        <v>0.01</v>
      </c>
      <c r="J148" s="7">
        <v>100</v>
      </c>
      <c r="K148" s="7">
        <v>6</v>
      </c>
      <c r="L148" s="10" t="s">
        <v>186</v>
      </c>
      <c r="M148" s="7" t="s">
        <v>515</v>
      </c>
      <c r="N148" s="10" t="s">
        <v>43</v>
      </c>
    </row>
    <row r="149" spans="1:14" s="7" customFormat="1">
      <c r="A149" s="7" t="s">
        <v>21</v>
      </c>
      <c r="B149" s="7" t="s">
        <v>512</v>
      </c>
      <c r="C149" s="106">
        <v>1.712</v>
      </c>
      <c r="D149" s="106">
        <v>0.94799999999999995</v>
      </c>
      <c r="E149" s="106">
        <v>0</v>
      </c>
      <c r="F149" s="106">
        <v>0</v>
      </c>
      <c r="G149" s="106">
        <v>0</v>
      </c>
      <c r="H149" s="106">
        <v>0</v>
      </c>
      <c r="I149" s="106">
        <v>0</v>
      </c>
      <c r="J149" s="7">
        <v>100</v>
      </c>
      <c r="K149" s="7">
        <v>4</v>
      </c>
      <c r="L149" s="125" t="s">
        <v>361</v>
      </c>
      <c r="M149" s="7" t="s">
        <v>7</v>
      </c>
      <c r="N149" s="10" t="s">
        <v>43</v>
      </c>
    </row>
    <row r="150" spans="1:14" s="7" customFormat="1">
      <c r="A150" s="7" t="s">
        <v>21</v>
      </c>
      <c r="B150" s="7" t="s">
        <v>516</v>
      </c>
      <c r="C150" s="106">
        <v>0.74</v>
      </c>
      <c r="D150" s="106">
        <v>8.6999999999999994E-2</v>
      </c>
      <c r="E150" s="106">
        <v>0</v>
      </c>
      <c r="F150" s="106">
        <v>0</v>
      </c>
      <c r="G150" s="106">
        <v>0</v>
      </c>
      <c r="H150" s="106">
        <v>0</v>
      </c>
      <c r="I150" s="106">
        <v>0</v>
      </c>
      <c r="J150" s="7">
        <v>100</v>
      </c>
      <c r="K150" s="7">
        <v>6</v>
      </c>
      <c r="L150" s="10" t="s">
        <v>186</v>
      </c>
      <c r="M150" s="7" t="s">
        <v>7</v>
      </c>
      <c r="N150" s="10" t="s">
        <v>43</v>
      </c>
    </row>
    <row r="151" spans="1:14" s="7" customFormat="1">
      <c r="A151" s="7" t="s">
        <v>21</v>
      </c>
      <c r="B151" s="7" t="s">
        <v>328</v>
      </c>
      <c r="C151" s="106">
        <v>2.278</v>
      </c>
      <c r="D151" s="106">
        <v>1.8109999999999999</v>
      </c>
      <c r="E151" s="106">
        <v>1.863</v>
      </c>
      <c r="F151" s="106">
        <v>1.393</v>
      </c>
      <c r="G151" s="106">
        <v>0.77100000000000002</v>
      </c>
      <c r="H151" s="106">
        <v>0.49</v>
      </c>
      <c r="I151" s="106">
        <v>0.49</v>
      </c>
      <c r="J151" s="7">
        <v>100</v>
      </c>
      <c r="K151" s="7" t="s">
        <v>329</v>
      </c>
      <c r="M151" s="7" t="s">
        <v>22</v>
      </c>
      <c r="N151" s="10" t="s">
        <v>43</v>
      </c>
    </row>
    <row r="152" spans="1:14" s="7" customFormat="1">
      <c r="A152" s="7" t="s">
        <v>21</v>
      </c>
      <c r="B152" s="7" t="s">
        <v>513</v>
      </c>
      <c r="C152" s="106">
        <v>5.5E-2</v>
      </c>
      <c r="D152" s="106">
        <v>4.9000000000000002E-2</v>
      </c>
      <c r="E152" s="106">
        <v>0</v>
      </c>
      <c r="F152" s="106">
        <v>0</v>
      </c>
      <c r="G152" s="106">
        <v>0</v>
      </c>
      <c r="H152" s="106">
        <v>0</v>
      </c>
      <c r="I152" s="106">
        <v>0</v>
      </c>
      <c r="J152" s="7">
        <v>20</v>
      </c>
      <c r="K152" s="70">
        <v>10</v>
      </c>
      <c r="L152" s="125" t="s">
        <v>71</v>
      </c>
      <c r="M152" s="7" t="s">
        <v>514</v>
      </c>
      <c r="N152" s="10" t="s">
        <v>43</v>
      </c>
    </row>
    <row r="153" spans="1:14" s="7" customFormat="1">
      <c r="A153" s="7" t="s">
        <v>517</v>
      </c>
      <c r="B153" s="7" t="s">
        <v>574</v>
      </c>
      <c r="C153" s="106">
        <v>4.2999999999999997E-2</v>
      </c>
      <c r="D153" s="106">
        <v>1E-3</v>
      </c>
      <c r="E153" s="106">
        <v>12.743</v>
      </c>
      <c r="F153" s="106">
        <v>13.247999999999999</v>
      </c>
      <c r="G153" s="106">
        <v>42.655999999999999</v>
      </c>
      <c r="H153" s="106">
        <v>42.655999999999999</v>
      </c>
      <c r="I153" s="106">
        <v>42.655999999999999</v>
      </c>
      <c r="J153" s="7">
        <v>100</v>
      </c>
      <c r="K153" s="7">
        <v>3</v>
      </c>
      <c r="L153" s="7" t="s">
        <v>103</v>
      </c>
      <c r="M153" s="7" t="s">
        <v>11</v>
      </c>
      <c r="N153" s="10" t="s">
        <v>43</v>
      </c>
    </row>
    <row r="154" spans="1:14" s="7" customFormat="1">
      <c r="A154" s="7" t="s">
        <v>517</v>
      </c>
      <c r="B154" s="7" t="s">
        <v>575</v>
      </c>
      <c r="C154" s="106">
        <v>9.3829999999999991</v>
      </c>
      <c r="D154" s="106">
        <v>4.5430000000000001</v>
      </c>
      <c r="E154" s="106">
        <v>2.4279999999999999</v>
      </c>
      <c r="F154" s="106">
        <v>0.34599999999999997</v>
      </c>
      <c r="G154" s="106">
        <v>0.34499999999999997</v>
      </c>
      <c r="H154" s="106">
        <v>5.0000000000000001E-3</v>
      </c>
      <c r="I154" s="106">
        <v>5.0000000000000001E-3</v>
      </c>
      <c r="J154" s="7">
        <v>100</v>
      </c>
      <c r="K154" s="7">
        <v>3</v>
      </c>
      <c r="L154" s="7" t="s">
        <v>103</v>
      </c>
      <c r="M154" s="7" t="s">
        <v>11</v>
      </c>
      <c r="N154" s="10" t="s">
        <v>43</v>
      </c>
    </row>
    <row r="155" spans="1:14" s="7" customFormat="1">
      <c r="A155" s="7" t="s">
        <v>517</v>
      </c>
      <c r="B155" s="7" t="s">
        <v>576</v>
      </c>
      <c r="C155" s="106">
        <v>81.861000000000004</v>
      </c>
      <c r="D155" s="106">
        <v>48.238999999999997</v>
      </c>
      <c r="E155" s="106">
        <v>51.89</v>
      </c>
      <c r="F155" s="106">
        <v>53.966999999999999</v>
      </c>
      <c r="G155" s="106">
        <v>24.707000000000001</v>
      </c>
      <c r="H155" s="106">
        <v>24.707000000000001</v>
      </c>
      <c r="I155" s="106">
        <v>24.707000000000001</v>
      </c>
      <c r="J155" s="7">
        <v>100</v>
      </c>
      <c r="K155" s="7">
        <v>3</v>
      </c>
      <c r="L155" s="7" t="s">
        <v>103</v>
      </c>
      <c r="M155" s="7" t="s">
        <v>11</v>
      </c>
      <c r="N155" s="10" t="s">
        <v>43</v>
      </c>
    </row>
    <row r="156" spans="1:14" s="7" customFormat="1">
      <c r="A156" s="7" t="s">
        <v>375</v>
      </c>
      <c r="B156" s="7" t="s">
        <v>578</v>
      </c>
      <c r="C156" s="106">
        <v>1.069</v>
      </c>
      <c r="D156" s="106">
        <v>1.423</v>
      </c>
      <c r="E156" s="106">
        <v>2.839</v>
      </c>
      <c r="F156" s="106">
        <v>1.8120000000000001</v>
      </c>
      <c r="G156" s="106">
        <v>1.8120000000000001</v>
      </c>
      <c r="H156" s="106">
        <v>1.8120000000000001</v>
      </c>
      <c r="I156" s="106">
        <v>1.8120000000000001</v>
      </c>
      <c r="J156" s="7">
        <v>100</v>
      </c>
      <c r="K156" s="7">
        <v>6</v>
      </c>
      <c r="L156" s="10" t="s">
        <v>186</v>
      </c>
      <c r="M156" s="7" t="s">
        <v>374</v>
      </c>
      <c r="N156" s="10" t="s">
        <v>43</v>
      </c>
    </row>
    <row r="157" spans="1:14" s="7" customFormat="1">
      <c r="A157" s="7" t="s">
        <v>375</v>
      </c>
      <c r="B157" s="7" t="s">
        <v>579</v>
      </c>
      <c r="C157" s="106">
        <v>0.38300000000000001</v>
      </c>
      <c r="D157" s="106">
        <v>0.29299999999999998</v>
      </c>
      <c r="E157" s="106">
        <v>0.59499999999999997</v>
      </c>
      <c r="F157" s="106">
        <v>0.56200000000000006</v>
      </c>
      <c r="G157" s="106">
        <v>0.56200000000000006</v>
      </c>
      <c r="H157" s="106">
        <v>0.56200000000000006</v>
      </c>
      <c r="I157" s="106">
        <v>0.56200000000000006</v>
      </c>
      <c r="J157" s="7">
        <v>100</v>
      </c>
      <c r="K157" s="7">
        <v>6</v>
      </c>
      <c r="L157" s="10" t="s">
        <v>186</v>
      </c>
      <c r="M157" s="7" t="s">
        <v>374</v>
      </c>
      <c r="N157" s="10" t="s">
        <v>43</v>
      </c>
    </row>
    <row r="158" spans="1:14" s="7" customFormat="1">
      <c r="A158" s="7" t="s">
        <v>577</v>
      </c>
      <c r="B158" s="7" t="s">
        <v>580</v>
      </c>
      <c r="C158" s="106">
        <v>1.2210000000000001</v>
      </c>
      <c r="D158" s="106">
        <v>0.77500000000000002</v>
      </c>
      <c r="E158" s="106">
        <v>0</v>
      </c>
      <c r="F158" s="106">
        <v>0</v>
      </c>
      <c r="G158" s="106">
        <v>0</v>
      </c>
      <c r="H158" s="106">
        <v>0</v>
      </c>
      <c r="I158" s="106">
        <v>0</v>
      </c>
      <c r="J158" s="7">
        <v>100</v>
      </c>
      <c r="K158" s="7">
        <v>6</v>
      </c>
      <c r="L158" s="10" t="s">
        <v>186</v>
      </c>
      <c r="M158" s="7" t="s">
        <v>374</v>
      </c>
      <c r="N158" s="10" t="s">
        <v>43</v>
      </c>
    </row>
    <row r="159" spans="1:14" s="7" customFormat="1">
      <c r="A159" s="7" t="s">
        <v>577</v>
      </c>
      <c r="B159" s="7" t="s">
        <v>579</v>
      </c>
      <c r="C159" s="106">
        <v>0.13</v>
      </c>
      <c r="D159" s="106">
        <v>0.26200000000000001</v>
      </c>
      <c r="E159" s="106">
        <v>0</v>
      </c>
      <c r="F159" s="106">
        <v>0</v>
      </c>
      <c r="G159" s="106">
        <v>0</v>
      </c>
      <c r="H159" s="106">
        <v>0</v>
      </c>
      <c r="I159" s="106">
        <v>0</v>
      </c>
      <c r="J159" s="7">
        <v>100</v>
      </c>
      <c r="K159" s="7">
        <v>6</v>
      </c>
      <c r="L159" s="10" t="s">
        <v>186</v>
      </c>
      <c r="M159" s="7" t="s">
        <v>374</v>
      </c>
      <c r="N159" s="10" t="s">
        <v>43</v>
      </c>
    </row>
    <row r="160" spans="1:14" s="7" customFormat="1">
      <c r="A160" s="7" t="s">
        <v>282</v>
      </c>
      <c r="B160" s="7" t="s">
        <v>581</v>
      </c>
      <c r="C160" s="106">
        <v>9.6000000000000002E-2</v>
      </c>
      <c r="D160" s="106">
        <v>0.498</v>
      </c>
      <c r="E160" s="106">
        <v>0</v>
      </c>
      <c r="F160" s="106">
        <v>0</v>
      </c>
      <c r="G160" s="106">
        <v>0</v>
      </c>
      <c r="H160" s="106">
        <v>0</v>
      </c>
      <c r="I160" s="106">
        <v>0</v>
      </c>
      <c r="J160" s="7">
        <v>100</v>
      </c>
      <c r="K160" s="7">
        <v>6</v>
      </c>
      <c r="L160" s="10" t="s">
        <v>186</v>
      </c>
      <c r="M160" s="7" t="s">
        <v>374</v>
      </c>
      <c r="N160" s="10" t="s">
        <v>43</v>
      </c>
    </row>
    <row r="161" spans="1:14" s="7" customFormat="1">
      <c r="A161" s="7" t="s">
        <v>375</v>
      </c>
      <c r="B161" s="7" t="s">
        <v>376</v>
      </c>
      <c r="C161" s="106">
        <v>1.0009999999999999</v>
      </c>
      <c r="D161" s="106">
        <v>1.716</v>
      </c>
      <c r="E161" s="106">
        <v>0.71599999999999997</v>
      </c>
      <c r="F161" s="106">
        <v>0</v>
      </c>
      <c r="G161" s="106">
        <v>0</v>
      </c>
      <c r="H161" s="106">
        <v>0</v>
      </c>
      <c r="I161" s="106">
        <v>0</v>
      </c>
      <c r="J161" s="7">
        <v>100</v>
      </c>
      <c r="K161" s="7">
        <v>1.6</v>
      </c>
      <c r="M161" s="7" t="s">
        <v>12</v>
      </c>
      <c r="N161" s="10" t="s">
        <v>43</v>
      </c>
    </row>
    <row r="162" spans="1:14" s="7" customFormat="1">
      <c r="A162" s="7" t="s">
        <v>330</v>
      </c>
      <c r="B162" s="7" t="s">
        <v>518</v>
      </c>
      <c r="C162" s="106">
        <v>1.5129999999999999</v>
      </c>
      <c r="D162" s="106">
        <v>0</v>
      </c>
      <c r="E162" s="106">
        <v>0</v>
      </c>
      <c r="F162" s="106">
        <v>0</v>
      </c>
      <c r="G162" s="106">
        <v>0</v>
      </c>
      <c r="H162" s="106">
        <v>0</v>
      </c>
      <c r="I162" s="106">
        <v>0</v>
      </c>
      <c r="J162" s="7">
        <v>70</v>
      </c>
      <c r="K162" s="7">
        <v>4</v>
      </c>
      <c r="L162" s="125" t="s">
        <v>361</v>
      </c>
      <c r="M162" s="7" t="s">
        <v>4</v>
      </c>
      <c r="N162" s="10" t="s">
        <v>43</v>
      </c>
    </row>
    <row r="163" spans="1:14" s="7" customFormat="1">
      <c r="A163" s="7" t="s">
        <v>330</v>
      </c>
      <c r="B163" s="7" t="s">
        <v>519</v>
      </c>
      <c r="C163" s="106">
        <v>4.8470000000000004</v>
      </c>
      <c r="D163" s="106">
        <v>5.2549999999999999</v>
      </c>
      <c r="E163" s="106">
        <v>5.9210000000000003</v>
      </c>
      <c r="F163" s="106">
        <v>5.16</v>
      </c>
      <c r="G163" s="106">
        <v>5.56</v>
      </c>
      <c r="H163" s="106">
        <v>5.56</v>
      </c>
      <c r="I163" s="106">
        <v>5.56</v>
      </c>
      <c r="J163" s="7">
        <v>30</v>
      </c>
      <c r="K163" s="7">
        <v>4</v>
      </c>
      <c r="L163" s="125" t="s">
        <v>361</v>
      </c>
      <c r="M163" s="7" t="s">
        <v>25</v>
      </c>
      <c r="N163" s="10" t="s">
        <v>43</v>
      </c>
    </row>
    <row r="164" spans="1:14" s="7" customFormat="1">
      <c r="A164" s="127" t="s">
        <v>282</v>
      </c>
      <c r="B164" s="154" t="s">
        <v>283</v>
      </c>
      <c r="C164" s="155">
        <v>4.617</v>
      </c>
      <c r="D164" s="155">
        <v>12.365</v>
      </c>
      <c r="E164" s="155">
        <v>9.4120000000000008</v>
      </c>
      <c r="F164" s="155">
        <v>8.2129999999999992</v>
      </c>
      <c r="G164" s="155">
        <v>7.2409999999999997</v>
      </c>
      <c r="H164" s="155">
        <v>7.7030000000000003</v>
      </c>
      <c r="I164" s="155">
        <v>7.7030000000000003</v>
      </c>
      <c r="J164" s="156">
        <v>30</v>
      </c>
      <c r="K164" s="11">
        <v>5</v>
      </c>
      <c r="L164" s="7" t="s">
        <v>185</v>
      </c>
      <c r="M164" s="127" t="s">
        <v>12</v>
      </c>
      <c r="N164" s="7" t="s">
        <v>43</v>
      </c>
    </row>
    <row r="165" spans="1:14" s="7" customFormat="1">
      <c r="A165" s="127" t="s">
        <v>282</v>
      </c>
      <c r="B165" s="10" t="s">
        <v>258</v>
      </c>
      <c r="C165" s="155">
        <v>1.645</v>
      </c>
      <c r="D165" s="155">
        <v>0</v>
      </c>
      <c r="E165" s="155">
        <v>0</v>
      </c>
      <c r="F165" s="155">
        <v>0</v>
      </c>
      <c r="G165" s="155">
        <v>0</v>
      </c>
      <c r="H165" s="155">
        <v>0</v>
      </c>
      <c r="I165" s="155">
        <v>0</v>
      </c>
      <c r="J165" s="156">
        <v>35</v>
      </c>
      <c r="K165" s="11">
        <v>6</v>
      </c>
      <c r="L165" s="10" t="s">
        <v>186</v>
      </c>
      <c r="M165" s="127" t="s">
        <v>25</v>
      </c>
      <c r="N165" s="7" t="s">
        <v>43</v>
      </c>
    </row>
    <row r="166" spans="1:14" s="7" customFormat="1">
      <c r="A166" s="7" t="s">
        <v>39</v>
      </c>
      <c r="B166" s="7" t="s">
        <v>521</v>
      </c>
      <c r="C166" s="106">
        <v>25.87</v>
      </c>
      <c r="D166" s="106">
        <v>28.196000000000002</v>
      </c>
      <c r="E166" s="106">
        <v>29.067</v>
      </c>
      <c r="F166" s="106">
        <v>30.77</v>
      </c>
      <c r="G166" s="106">
        <v>29.472999999999999</v>
      </c>
      <c r="H166" s="106">
        <v>27.56</v>
      </c>
      <c r="I166" s="106">
        <v>21.521000000000001</v>
      </c>
      <c r="J166" s="7">
        <v>100</v>
      </c>
      <c r="K166" s="7" t="s">
        <v>591</v>
      </c>
      <c r="M166" s="7" t="s">
        <v>12</v>
      </c>
      <c r="N166" s="10" t="s">
        <v>43</v>
      </c>
    </row>
    <row r="167" spans="1:14" s="7" customFormat="1">
      <c r="A167" s="7" t="s">
        <v>39</v>
      </c>
      <c r="B167" s="7" t="s">
        <v>522</v>
      </c>
      <c r="C167" s="106">
        <v>14.04</v>
      </c>
      <c r="D167" s="106">
        <v>26.658999999999999</v>
      </c>
      <c r="E167" s="106">
        <v>18.486000000000001</v>
      </c>
      <c r="F167" s="106">
        <v>17.777999999999999</v>
      </c>
      <c r="G167" s="106">
        <v>19.489000000000001</v>
      </c>
      <c r="H167" s="106">
        <v>20.294</v>
      </c>
      <c r="I167" s="106">
        <v>16.972000000000001</v>
      </c>
      <c r="J167" s="7">
        <v>100</v>
      </c>
      <c r="K167" s="7" t="s">
        <v>591</v>
      </c>
      <c r="M167" s="7" t="s">
        <v>12</v>
      </c>
      <c r="N167" s="10" t="s">
        <v>43</v>
      </c>
    </row>
    <row r="168" spans="1:14" s="7" customFormat="1">
      <c r="A168" s="7" t="s">
        <v>40</v>
      </c>
      <c r="B168" s="7" t="s">
        <v>284</v>
      </c>
      <c r="C168" s="106">
        <v>11.577</v>
      </c>
      <c r="D168" s="106">
        <v>33.603000000000002</v>
      </c>
      <c r="E168" s="106">
        <v>28.207999999999998</v>
      </c>
      <c r="F168" s="106">
        <v>32.554000000000002</v>
      </c>
      <c r="G168" s="106">
        <v>32.417999999999999</v>
      </c>
      <c r="H168" s="106">
        <v>33.402000000000001</v>
      </c>
      <c r="I168" s="106">
        <v>20.452000000000002</v>
      </c>
      <c r="J168" s="7">
        <v>70</v>
      </c>
      <c r="K168" s="7" t="s">
        <v>591</v>
      </c>
      <c r="M168" s="7" t="s">
        <v>12</v>
      </c>
      <c r="N168" s="10" t="s">
        <v>43</v>
      </c>
    </row>
    <row r="169" spans="1:14" s="7" customFormat="1">
      <c r="A169" s="7" t="s">
        <v>382</v>
      </c>
      <c r="B169" s="7" t="s">
        <v>383</v>
      </c>
      <c r="C169" s="106">
        <v>0</v>
      </c>
      <c r="D169" s="106">
        <v>0.1239</v>
      </c>
      <c r="E169" s="106">
        <v>1.5239</v>
      </c>
      <c r="F169" s="106">
        <v>4.3239000000000001</v>
      </c>
      <c r="G169" s="106">
        <v>7.8239000000000001</v>
      </c>
      <c r="H169" s="106">
        <v>6.4169</v>
      </c>
      <c r="I169" s="106">
        <v>16.194500000000001</v>
      </c>
      <c r="J169" s="7">
        <v>70</v>
      </c>
      <c r="K169" s="7" t="s">
        <v>591</v>
      </c>
      <c r="M169" s="7" t="s">
        <v>12</v>
      </c>
      <c r="N169" s="10" t="s">
        <v>43</v>
      </c>
    </row>
    <row r="170" spans="1:14" s="7" customFormat="1">
      <c r="A170" s="7" t="s">
        <v>13</v>
      </c>
      <c r="B170" s="154" t="s">
        <v>286</v>
      </c>
      <c r="C170" s="106">
        <v>13</v>
      </c>
      <c r="D170" s="106">
        <v>18.001000000000001</v>
      </c>
      <c r="E170" s="106">
        <v>15.396000000000001</v>
      </c>
      <c r="F170" s="106">
        <v>10.526</v>
      </c>
      <c r="G170" s="106">
        <v>12.567</v>
      </c>
      <c r="H170" s="106">
        <v>12.996</v>
      </c>
      <c r="I170" s="106">
        <v>19.795999999999999</v>
      </c>
      <c r="J170" s="7">
        <v>50</v>
      </c>
      <c r="K170" s="7" t="s">
        <v>591</v>
      </c>
      <c r="M170" s="7" t="s">
        <v>12</v>
      </c>
      <c r="N170" s="10" t="s">
        <v>43</v>
      </c>
    </row>
    <row r="171" spans="1:14" s="7" customFormat="1" ht="25.5">
      <c r="A171" s="127">
        <v>19</v>
      </c>
      <c r="B171" s="154" t="s">
        <v>360</v>
      </c>
      <c r="C171" s="155">
        <v>0</v>
      </c>
      <c r="D171" s="155">
        <v>7.1239999999999997</v>
      </c>
      <c r="E171" s="155">
        <v>5</v>
      </c>
      <c r="F171" s="155">
        <v>5</v>
      </c>
      <c r="G171" s="155">
        <v>5</v>
      </c>
      <c r="H171" s="155">
        <v>5</v>
      </c>
      <c r="I171" s="155">
        <v>5</v>
      </c>
      <c r="J171" s="156">
        <v>100</v>
      </c>
      <c r="K171" s="11" t="s">
        <v>17</v>
      </c>
      <c r="M171" s="127" t="s">
        <v>523</v>
      </c>
      <c r="N171" s="7" t="s">
        <v>331</v>
      </c>
    </row>
    <row r="172" spans="1:14" s="7" customFormat="1" ht="25.5">
      <c r="A172" s="127">
        <v>19</v>
      </c>
      <c r="B172" s="154" t="s">
        <v>360</v>
      </c>
      <c r="C172" s="155">
        <v>10.423999999999999</v>
      </c>
      <c r="D172" s="155">
        <v>18.576000000000001</v>
      </c>
      <c r="E172" s="155">
        <v>15</v>
      </c>
      <c r="F172" s="155">
        <v>11</v>
      </c>
      <c r="G172" s="155">
        <v>3</v>
      </c>
      <c r="H172" s="155">
        <v>2</v>
      </c>
      <c r="I172" s="155">
        <v>0</v>
      </c>
      <c r="J172" s="156">
        <v>100</v>
      </c>
      <c r="K172" s="11" t="s">
        <v>17</v>
      </c>
      <c r="M172" s="127" t="s">
        <v>384</v>
      </c>
      <c r="N172" s="7" t="s">
        <v>331</v>
      </c>
    </row>
    <row r="173" spans="1:14" s="7" customFormat="1" ht="25.5">
      <c r="A173" s="127">
        <v>19</v>
      </c>
      <c r="B173" s="154" t="s">
        <v>525</v>
      </c>
      <c r="C173" s="155">
        <v>0</v>
      </c>
      <c r="D173" s="155">
        <v>2.5</v>
      </c>
      <c r="E173" s="155">
        <v>2.5</v>
      </c>
      <c r="F173" s="155">
        <v>2.5</v>
      </c>
      <c r="G173" s="155">
        <v>2.5</v>
      </c>
      <c r="H173" s="155">
        <v>2.5</v>
      </c>
      <c r="I173" s="155">
        <v>0</v>
      </c>
      <c r="J173" s="156">
        <v>100</v>
      </c>
      <c r="K173" s="11" t="s">
        <v>76</v>
      </c>
      <c r="L173" s="7" t="s">
        <v>597</v>
      </c>
      <c r="M173" s="127" t="s">
        <v>524</v>
      </c>
      <c r="N173" s="7" t="s">
        <v>331</v>
      </c>
    </row>
    <row r="174" spans="1:14" s="7" customFormat="1">
      <c r="A174" s="127"/>
      <c r="B174" s="154" t="s">
        <v>526</v>
      </c>
      <c r="C174" s="155">
        <v>0</v>
      </c>
      <c r="D174" s="155">
        <v>0.6</v>
      </c>
      <c r="E174" s="155">
        <v>0.6</v>
      </c>
      <c r="F174" s="155">
        <v>0.6</v>
      </c>
      <c r="G174" s="155">
        <v>0.6</v>
      </c>
      <c r="H174" s="155">
        <v>0.6</v>
      </c>
      <c r="I174" s="155">
        <v>0</v>
      </c>
      <c r="J174" s="156">
        <v>6</v>
      </c>
      <c r="K174" s="11" t="s">
        <v>592</v>
      </c>
      <c r="M174" s="127" t="s">
        <v>12</v>
      </c>
      <c r="N174" s="7" t="s">
        <v>331</v>
      </c>
    </row>
    <row r="175" spans="1:14" s="7" customFormat="1">
      <c r="A175" s="127"/>
      <c r="B175" s="154" t="s">
        <v>527</v>
      </c>
      <c r="C175" s="155">
        <v>0</v>
      </c>
      <c r="D175" s="155">
        <v>0.06</v>
      </c>
      <c r="E175" s="155">
        <v>0.15</v>
      </c>
      <c r="F175" s="155">
        <v>0.15</v>
      </c>
      <c r="G175" s="155">
        <v>0.12</v>
      </c>
      <c r="H175" s="155">
        <v>0.12</v>
      </c>
      <c r="I175" s="155">
        <v>0</v>
      </c>
      <c r="J175" s="156">
        <v>6</v>
      </c>
      <c r="K175" s="11" t="s">
        <v>592</v>
      </c>
      <c r="M175" s="127" t="s">
        <v>12</v>
      </c>
      <c r="N175" s="7" t="s">
        <v>331</v>
      </c>
    </row>
    <row r="176" spans="1:14" s="7" customFormat="1">
      <c r="A176" s="7" t="s">
        <v>385</v>
      </c>
      <c r="B176" s="7" t="s">
        <v>528</v>
      </c>
      <c r="C176" s="106">
        <v>2.9780000000000002</v>
      </c>
      <c r="D176" s="106">
        <v>3.6989999999999998</v>
      </c>
      <c r="E176" s="106">
        <v>5.5140000000000002</v>
      </c>
      <c r="F176" s="106">
        <v>5.8019999999999996</v>
      </c>
      <c r="G176" s="106">
        <v>5.8019999999999996</v>
      </c>
      <c r="H176" s="106">
        <v>5.8019999999999996</v>
      </c>
      <c r="I176" s="106">
        <v>5.8019999999999996</v>
      </c>
      <c r="J176" s="7">
        <v>50</v>
      </c>
      <c r="K176" s="70">
        <v>6</v>
      </c>
      <c r="L176" s="10" t="s">
        <v>186</v>
      </c>
      <c r="M176" s="7" t="s">
        <v>12</v>
      </c>
      <c r="N176" s="10" t="s">
        <v>43</v>
      </c>
    </row>
    <row r="177" spans="1:14" s="7" customFormat="1">
      <c r="A177" s="7" t="s">
        <v>385</v>
      </c>
      <c r="B177" s="7" t="s">
        <v>529</v>
      </c>
      <c r="C177" s="106">
        <v>2.2999999999999998</v>
      </c>
      <c r="D177" s="106">
        <v>2.5659999999999998</v>
      </c>
      <c r="E177" s="106">
        <v>2.827</v>
      </c>
      <c r="F177" s="106">
        <v>2.82</v>
      </c>
      <c r="G177" s="106">
        <v>2.87</v>
      </c>
      <c r="H177" s="106">
        <v>3.0179999999999998</v>
      </c>
      <c r="I177" s="106">
        <v>2.2679999999999998</v>
      </c>
      <c r="J177" s="7">
        <v>50</v>
      </c>
      <c r="K177" s="70">
        <v>6</v>
      </c>
      <c r="L177" s="10" t="s">
        <v>186</v>
      </c>
      <c r="M177" s="7" t="s">
        <v>12</v>
      </c>
      <c r="N177" s="10" t="s">
        <v>43</v>
      </c>
    </row>
    <row r="178" spans="1:14" s="7" customFormat="1">
      <c r="A178" s="7" t="s">
        <v>385</v>
      </c>
      <c r="B178" s="7" t="s">
        <v>531</v>
      </c>
      <c r="C178" s="106">
        <v>0</v>
      </c>
      <c r="D178" s="106">
        <v>0.4</v>
      </c>
      <c r="E178" s="106">
        <v>0.4</v>
      </c>
      <c r="F178" s="106">
        <v>0.4</v>
      </c>
      <c r="G178" s="106">
        <v>0.4</v>
      </c>
      <c r="H178" s="106">
        <v>0.4</v>
      </c>
      <c r="I178" s="106">
        <v>0</v>
      </c>
      <c r="J178" s="7">
        <v>50</v>
      </c>
      <c r="K178" s="70">
        <v>6</v>
      </c>
      <c r="L178" s="10" t="s">
        <v>186</v>
      </c>
      <c r="M178" s="7" t="s">
        <v>12</v>
      </c>
      <c r="N178" s="10" t="s">
        <v>43</v>
      </c>
    </row>
    <row r="179" spans="1:14" s="7" customFormat="1">
      <c r="B179" s="7" t="s">
        <v>532</v>
      </c>
      <c r="C179" s="106">
        <v>0</v>
      </c>
      <c r="D179" s="106">
        <v>4.8550000000000004</v>
      </c>
      <c r="E179" s="106">
        <v>0</v>
      </c>
      <c r="F179" s="106">
        <v>0</v>
      </c>
      <c r="G179" s="106">
        <v>0</v>
      </c>
      <c r="H179" s="106">
        <v>0</v>
      </c>
      <c r="I179" s="106">
        <v>0</v>
      </c>
      <c r="J179" s="7">
        <v>100</v>
      </c>
      <c r="K179" s="70">
        <v>6</v>
      </c>
      <c r="L179" s="10" t="s">
        <v>186</v>
      </c>
      <c r="M179" s="7" t="s">
        <v>12</v>
      </c>
      <c r="N179" s="10" t="s">
        <v>43</v>
      </c>
    </row>
    <row r="180" spans="1:14" s="7" customFormat="1">
      <c r="B180" s="7" t="s">
        <v>533</v>
      </c>
      <c r="C180" s="106">
        <v>0</v>
      </c>
      <c r="D180" s="106">
        <v>0</v>
      </c>
      <c r="E180" s="106">
        <v>5</v>
      </c>
      <c r="F180" s="106">
        <v>5</v>
      </c>
      <c r="G180" s="106">
        <v>0</v>
      </c>
      <c r="H180" s="106">
        <v>0</v>
      </c>
      <c r="I180" s="106">
        <v>0</v>
      </c>
      <c r="J180" s="7">
        <v>100</v>
      </c>
      <c r="K180" s="70">
        <v>6</v>
      </c>
      <c r="L180" s="10" t="s">
        <v>186</v>
      </c>
      <c r="M180" s="7" t="s">
        <v>12</v>
      </c>
      <c r="N180" s="10" t="s">
        <v>43</v>
      </c>
    </row>
    <row r="181" spans="1:14" s="7" customFormat="1">
      <c r="A181" s="126" t="s">
        <v>387</v>
      </c>
      <c r="B181" s="7" t="s">
        <v>534</v>
      </c>
      <c r="C181" s="106">
        <v>9.7289999999999992</v>
      </c>
      <c r="D181" s="106">
        <v>8.2720000000000002</v>
      </c>
      <c r="E181" s="106">
        <v>6.6929999999999996</v>
      </c>
      <c r="F181" s="106">
        <v>7.8730000000000002</v>
      </c>
      <c r="G181" s="106">
        <v>7.8730000000000002</v>
      </c>
      <c r="H181" s="106">
        <v>7.8730000000000002</v>
      </c>
      <c r="I181" s="106">
        <v>7.8730000000000002</v>
      </c>
      <c r="J181" s="7">
        <v>25</v>
      </c>
      <c r="K181" s="7">
        <v>5</v>
      </c>
      <c r="L181" s="7" t="s">
        <v>185</v>
      </c>
      <c r="M181" s="7" t="s">
        <v>12</v>
      </c>
      <c r="N181" s="10" t="s">
        <v>43</v>
      </c>
    </row>
    <row r="182" spans="1:14" s="7" customFormat="1">
      <c r="A182" s="126" t="s">
        <v>387</v>
      </c>
      <c r="B182" s="7" t="s">
        <v>535</v>
      </c>
      <c r="C182" s="106">
        <v>7.8739999999999997</v>
      </c>
      <c r="D182" s="106">
        <v>12.15</v>
      </c>
      <c r="E182" s="106">
        <v>12.08</v>
      </c>
      <c r="F182" s="106">
        <v>12.5</v>
      </c>
      <c r="G182" s="106">
        <v>12.5</v>
      </c>
      <c r="H182" s="106">
        <v>4.375</v>
      </c>
      <c r="I182" s="106">
        <v>1.25</v>
      </c>
      <c r="J182" s="7">
        <v>25</v>
      </c>
      <c r="K182" s="7">
        <v>5</v>
      </c>
      <c r="L182" s="7" t="s">
        <v>185</v>
      </c>
      <c r="M182" s="7" t="s">
        <v>12</v>
      </c>
      <c r="N182" s="10" t="s">
        <v>43</v>
      </c>
    </row>
    <row r="183" spans="1:14" s="7" customFormat="1">
      <c r="A183" s="126" t="s">
        <v>387</v>
      </c>
      <c r="B183" s="7" t="s">
        <v>536</v>
      </c>
      <c r="C183" s="106">
        <v>5.7990000000000004</v>
      </c>
      <c r="D183" s="106">
        <v>8.625</v>
      </c>
      <c r="E183" s="106">
        <v>14.4</v>
      </c>
      <c r="F183" s="106">
        <v>15.3</v>
      </c>
      <c r="G183" s="106">
        <v>15.6</v>
      </c>
      <c r="H183" s="106">
        <v>14.4</v>
      </c>
      <c r="I183" s="106">
        <v>14.7</v>
      </c>
      <c r="J183" s="7">
        <v>30</v>
      </c>
      <c r="K183" s="7">
        <v>5</v>
      </c>
      <c r="L183" s="7" t="s">
        <v>185</v>
      </c>
      <c r="M183" s="7" t="s">
        <v>12</v>
      </c>
      <c r="N183" s="10" t="s">
        <v>43</v>
      </c>
    </row>
    <row r="184" spans="1:14" s="7" customFormat="1">
      <c r="A184" s="126" t="s">
        <v>387</v>
      </c>
      <c r="B184" s="7" t="s">
        <v>537</v>
      </c>
      <c r="C184" s="106">
        <v>0</v>
      </c>
      <c r="D184" s="106">
        <v>7.4999999999999997E-2</v>
      </c>
      <c r="E184" s="106">
        <v>0.3</v>
      </c>
      <c r="F184" s="106">
        <v>0.3</v>
      </c>
      <c r="G184" s="106">
        <v>0.3</v>
      </c>
      <c r="H184" s="106">
        <v>0.3</v>
      </c>
      <c r="I184" s="106">
        <v>0</v>
      </c>
      <c r="J184" s="7">
        <v>30</v>
      </c>
      <c r="K184" s="7">
        <v>5</v>
      </c>
      <c r="L184" s="7" t="s">
        <v>185</v>
      </c>
      <c r="M184" s="7" t="s">
        <v>12</v>
      </c>
      <c r="N184" s="10" t="s">
        <v>43</v>
      </c>
    </row>
    <row r="185" spans="1:14" s="7" customFormat="1">
      <c r="A185" s="126" t="s">
        <v>387</v>
      </c>
      <c r="B185" s="7" t="s">
        <v>538</v>
      </c>
      <c r="C185" s="106">
        <v>1.0609999999999999</v>
      </c>
      <c r="D185" s="106">
        <v>0.71699999999999997</v>
      </c>
      <c r="E185" s="106">
        <v>0.59199999999999997</v>
      </c>
      <c r="F185" s="106">
        <v>0.59199999999999997</v>
      </c>
      <c r="G185" s="106">
        <v>0.59199999999999997</v>
      </c>
      <c r="H185" s="106">
        <v>0.59199999999999997</v>
      </c>
      <c r="I185" s="106">
        <v>0.59199999999999997</v>
      </c>
      <c r="J185" s="7">
        <v>25</v>
      </c>
      <c r="K185" s="7">
        <v>5</v>
      </c>
      <c r="L185" s="7" t="s">
        <v>185</v>
      </c>
      <c r="M185" s="7" t="s">
        <v>12</v>
      </c>
      <c r="N185" s="10" t="s">
        <v>43</v>
      </c>
    </row>
    <row r="186" spans="1:14" s="7" customFormat="1">
      <c r="A186" s="126" t="s">
        <v>387</v>
      </c>
      <c r="B186" s="7" t="s">
        <v>539</v>
      </c>
      <c r="C186" s="106">
        <v>0.17499999999999999</v>
      </c>
      <c r="D186" s="106">
        <v>3.7999999999999999E-2</v>
      </c>
      <c r="E186" s="106">
        <v>0</v>
      </c>
      <c r="F186" s="106">
        <v>0</v>
      </c>
      <c r="G186" s="106">
        <v>0</v>
      </c>
      <c r="H186" s="106">
        <v>0</v>
      </c>
      <c r="I186" s="106">
        <v>0</v>
      </c>
      <c r="J186" s="7">
        <v>25</v>
      </c>
      <c r="K186" s="7">
        <v>5</v>
      </c>
      <c r="L186" s="7" t="s">
        <v>185</v>
      </c>
      <c r="M186" s="7" t="s">
        <v>12</v>
      </c>
      <c r="N186" s="10" t="s">
        <v>43</v>
      </c>
    </row>
    <row r="187" spans="1:14" s="7" customFormat="1">
      <c r="A187" s="126" t="s">
        <v>387</v>
      </c>
      <c r="B187" s="7" t="s">
        <v>540</v>
      </c>
      <c r="C187" s="106">
        <v>1.2E-2</v>
      </c>
      <c r="D187" s="106">
        <v>0</v>
      </c>
      <c r="E187" s="106">
        <v>0</v>
      </c>
      <c r="F187" s="106">
        <v>0</v>
      </c>
      <c r="G187" s="106">
        <v>0</v>
      </c>
      <c r="H187" s="106">
        <v>0</v>
      </c>
      <c r="I187" s="106">
        <v>0</v>
      </c>
      <c r="J187" s="7">
        <v>25</v>
      </c>
      <c r="K187" s="7">
        <v>5</v>
      </c>
      <c r="L187" s="7" t="s">
        <v>185</v>
      </c>
      <c r="M187" s="7" t="s">
        <v>12</v>
      </c>
      <c r="N187" s="10" t="s">
        <v>43</v>
      </c>
    </row>
    <row r="188" spans="1:14" s="7" customFormat="1">
      <c r="A188" s="126" t="s">
        <v>387</v>
      </c>
      <c r="B188" s="7" t="s">
        <v>541</v>
      </c>
      <c r="C188" s="106">
        <v>0.75800000000000001</v>
      </c>
      <c r="D188" s="106">
        <v>0</v>
      </c>
      <c r="E188" s="106">
        <v>0</v>
      </c>
      <c r="F188" s="106">
        <v>0</v>
      </c>
      <c r="G188" s="106">
        <v>0</v>
      </c>
      <c r="H188" s="106">
        <v>0</v>
      </c>
      <c r="I188" s="106">
        <v>0</v>
      </c>
      <c r="J188" s="7">
        <v>25</v>
      </c>
      <c r="K188" s="7">
        <v>5</v>
      </c>
      <c r="L188" s="7" t="s">
        <v>185</v>
      </c>
      <c r="M188" s="7" t="s">
        <v>12</v>
      </c>
      <c r="N188" s="10" t="s">
        <v>43</v>
      </c>
    </row>
    <row r="189" spans="1:14" s="7" customFormat="1">
      <c r="A189" s="126" t="s">
        <v>387</v>
      </c>
      <c r="B189" s="7" t="s">
        <v>542</v>
      </c>
      <c r="C189" s="106">
        <v>0.218</v>
      </c>
      <c r="D189" s="106">
        <v>0</v>
      </c>
      <c r="E189" s="106">
        <v>0</v>
      </c>
      <c r="F189" s="106">
        <v>0</v>
      </c>
      <c r="G189" s="106">
        <v>0</v>
      </c>
      <c r="H189" s="106">
        <v>0</v>
      </c>
      <c r="I189" s="106">
        <v>0</v>
      </c>
      <c r="J189" s="7">
        <v>25</v>
      </c>
      <c r="K189" s="7">
        <v>5</v>
      </c>
      <c r="L189" s="7" t="s">
        <v>185</v>
      </c>
      <c r="M189" s="7" t="s">
        <v>12</v>
      </c>
      <c r="N189" s="10" t="s">
        <v>43</v>
      </c>
    </row>
    <row r="190" spans="1:14" s="7" customFormat="1">
      <c r="A190" s="126" t="s">
        <v>387</v>
      </c>
      <c r="B190" s="7" t="s">
        <v>543</v>
      </c>
      <c r="C190" s="106">
        <v>1.8240000000000001</v>
      </c>
      <c r="D190" s="106">
        <v>0</v>
      </c>
      <c r="E190" s="106">
        <v>0</v>
      </c>
      <c r="F190" s="106">
        <v>0</v>
      </c>
      <c r="G190" s="106">
        <v>0</v>
      </c>
      <c r="H190" s="106">
        <v>0</v>
      </c>
      <c r="I190" s="106">
        <v>0</v>
      </c>
      <c r="J190" s="7">
        <v>25</v>
      </c>
      <c r="K190" s="7">
        <v>5</v>
      </c>
      <c r="L190" s="7" t="s">
        <v>185</v>
      </c>
      <c r="M190" s="7" t="s">
        <v>12</v>
      </c>
      <c r="N190" s="10" t="s">
        <v>43</v>
      </c>
    </row>
    <row r="191" spans="1:14" s="7" customFormat="1">
      <c r="A191" s="126" t="s">
        <v>387</v>
      </c>
      <c r="B191" s="7" t="s">
        <v>544</v>
      </c>
      <c r="C191" s="106">
        <v>0.22</v>
      </c>
      <c r="D191" s="106">
        <v>0</v>
      </c>
      <c r="E191" s="106">
        <v>0</v>
      </c>
      <c r="F191" s="106">
        <v>0</v>
      </c>
      <c r="G191" s="106">
        <v>0</v>
      </c>
      <c r="H191" s="106">
        <v>0</v>
      </c>
      <c r="I191" s="106">
        <v>0</v>
      </c>
      <c r="J191" s="7">
        <v>25</v>
      </c>
      <c r="K191" s="7">
        <v>5</v>
      </c>
      <c r="L191" s="7" t="s">
        <v>185</v>
      </c>
      <c r="M191" s="7" t="s">
        <v>12</v>
      </c>
      <c r="N191" s="10" t="s">
        <v>43</v>
      </c>
    </row>
    <row r="192" spans="1:14" s="7" customFormat="1">
      <c r="A192" s="126" t="s">
        <v>387</v>
      </c>
      <c r="B192" s="7" t="s">
        <v>27</v>
      </c>
      <c r="C192" s="106">
        <v>0.17100000000000001</v>
      </c>
      <c r="D192" s="106">
        <v>4.3620000000000001</v>
      </c>
      <c r="E192" s="106">
        <v>5.08</v>
      </c>
      <c r="F192" s="106">
        <v>3.08</v>
      </c>
      <c r="G192" s="106">
        <v>8.08</v>
      </c>
      <c r="H192" s="106">
        <v>8.08</v>
      </c>
      <c r="I192" s="106">
        <v>8.08</v>
      </c>
      <c r="J192" s="7">
        <v>100</v>
      </c>
      <c r="K192" s="7">
        <v>5</v>
      </c>
      <c r="L192" s="7" t="s">
        <v>185</v>
      </c>
      <c r="M192" s="7" t="s">
        <v>12</v>
      </c>
      <c r="N192" s="10" t="s">
        <v>43</v>
      </c>
    </row>
    <row r="193" spans="1:14" s="7" customFormat="1">
      <c r="A193" s="126" t="s">
        <v>388</v>
      </c>
      <c r="B193" s="7" t="s">
        <v>545</v>
      </c>
      <c r="C193" s="106">
        <v>0.81299999999999994</v>
      </c>
      <c r="D193" s="106">
        <v>0.1</v>
      </c>
      <c r="E193" s="106">
        <v>0</v>
      </c>
      <c r="F193" s="106">
        <v>0</v>
      </c>
      <c r="G193" s="106">
        <v>0</v>
      </c>
      <c r="H193" s="106">
        <v>0</v>
      </c>
      <c r="I193" s="106">
        <v>0</v>
      </c>
      <c r="J193" s="7">
        <v>100</v>
      </c>
      <c r="K193" s="7">
        <v>5</v>
      </c>
      <c r="L193" s="7" t="s">
        <v>185</v>
      </c>
      <c r="M193" s="10" t="s">
        <v>43</v>
      </c>
      <c r="N193" s="7" t="s">
        <v>43</v>
      </c>
    </row>
    <row r="194" spans="1:14" s="7" customFormat="1">
      <c r="A194" s="126" t="s">
        <v>388</v>
      </c>
      <c r="B194" s="7" t="s">
        <v>546</v>
      </c>
      <c r="C194" s="106">
        <v>1.157</v>
      </c>
      <c r="D194" s="106">
        <v>8.3559999999999999</v>
      </c>
      <c r="E194" s="106">
        <v>4.5670000000000002</v>
      </c>
      <c r="F194" s="106">
        <v>2.827</v>
      </c>
      <c r="G194" s="106">
        <v>3.827</v>
      </c>
      <c r="H194" s="106">
        <v>3.1669999999999998</v>
      </c>
      <c r="I194" s="106">
        <v>3.1669999999999998</v>
      </c>
      <c r="J194" s="7">
        <v>100</v>
      </c>
      <c r="K194" s="7">
        <v>5</v>
      </c>
      <c r="L194" s="7" t="s">
        <v>185</v>
      </c>
      <c r="M194" s="10" t="s">
        <v>43</v>
      </c>
      <c r="N194" s="7" t="s">
        <v>43</v>
      </c>
    </row>
    <row r="195" spans="1:14" s="7" customFormat="1">
      <c r="A195" s="126" t="s">
        <v>388</v>
      </c>
      <c r="B195" s="7" t="s">
        <v>547</v>
      </c>
      <c r="C195" s="106">
        <v>0.32300000000000001</v>
      </c>
      <c r="D195" s="106">
        <v>2</v>
      </c>
      <c r="E195" s="106">
        <v>2.5</v>
      </c>
      <c r="F195" s="106">
        <v>2.5</v>
      </c>
      <c r="G195" s="106">
        <v>2.5</v>
      </c>
      <c r="H195" s="106">
        <v>2.5</v>
      </c>
      <c r="I195" s="106">
        <v>2.5</v>
      </c>
      <c r="J195" s="7">
        <v>100</v>
      </c>
      <c r="K195" s="7">
        <v>1</v>
      </c>
      <c r="L195" s="103" t="s">
        <v>117</v>
      </c>
      <c r="M195" s="10" t="s">
        <v>43</v>
      </c>
      <c r="N195" s="7" t="s">
        <v>43</v>
      </c>
    </row>
    <row r="196" spans="1:14" s="7" customFormat="1">
      <c r="A196" s="126" t="s">
        <v>388</v>
      </c>
      <c r="B196" s="7" t="s">
        <v>548</v>
      </c>
      <c r="C196" s="106">
        <v>0.25800000000000001</v>
      </c>
      <c r="D196" s="106">
        <v>0.3</v>
      </c>
      <c r="E196" s="106">
        <v>0.1</v>
      </c>
      <c r="F196" s="106">
        <v>0.1</v>
      </c>
      <c r="G196" s="106">
        <v>0.1</v>
      </c>
      <c r="H196" s="106">
        <v>0.1</v>
      </c>
      <c r="I196" s="106">
        <v>0.1</v>
      </c>
      <c r="J196" s="7">
        <v>100</v>
      </c>
      <c r="K196" s="7">
        <v>1</v>
      </c>
      <c r="L196" s="103" t="s">
        <v>117</v>
      </c>
      <c r="M196" s="10" t="s">
        <v>43</v>
      </c>
      <c r="N196" s="7" t="s">
        <v>43</v>
      </c>
    </row>
    <row r="197" spans="1:14" s="7" customFormat="1">
      <c r="A197" s="126" t="s">
        <v>388</v>
      </c>
      <c r="B197" s="7" t="s">
        <v>30</v>
      </c>
      <c r="C197" s="106">
        <v>0</v>
      </c>
      <c r="D197" s="106">
        <v>5.407</v>
      </c>
      <c r="E197" s="106">
        <v>0</v>
      </c>
      <c r="F197" s="106">
        <v>0</v>
      </c>
      <c r="G197" s="106">
        <v>0</v>
      </c>
      <c r="H197" s="106">
        <v>0</v>
      </c>
      <c r="I197" s="106">
        <v>0</v>
      </c>
      <c r="J197" s="7">
        <v>60</v>
      </c>
      <c r="K197" s="7">
        <v>5</v>
      </c>
      <c r="L197" s="7" t="s">
        <v>185</v>
      </c>
      <c r="M197" s="10" t="s">
        <v>43</v>
      </c>
      <c r="N197" s="10" t="s">
        <v>43</v>
      </c>
    </row>
    <row r="198" spans="1:14" s="7" customFormat="1">
      <c r="A198" s="126" t="s">
        <v>388</v>
      </c>
      <c r="B198" s="7" t="s">
        <v>549</v>
      </c>
      <c r="C198" s="106">
        <v>8.5000000000000006E-2</v>
      </c>
      <c r="D198" s="106">
        <v>8.5999999999999993E-2</v>
      </c>
      <c r="E198" s="106">
        <v>0</v>
      </c>
      <c r="F198" s="106">
        <v>0</v>
      </c>
      <c r="G198" s="106">
        <v>0</v>
      </c>
      <c r="H198" s="106">
        <v>0</v>
      </c>
      <c r="I198" s="106">
        <v>0</v>
      </c>
      <c r="J198" s="7">
        <v>100</v>
      </c>
      <c r="K198" s="7">
        <v>5</v>
      </c>
      <c r="L198" s="7" t="s">
        <v>185</v>
      </c>
      <c r="M198" s="10" t="s">
        <v>43</v>
      </c>
      <c r="N198" s="7" t="s">
        <v>43</v>
      </c>
    </row>
    <row r="199" spans="1:14" s="7" customFormat="1">
      <c r="A199" s="126" t="s">
        <v>388</v>
      </c>
      <c r="B199" s="7" t="s">
        <v>550</v>
      </c>
      <c r="C199" s="106">
        <v>7.6429999999999998</v>
      </c>
      <c r="D199" s="106">
        <v>2.145</v>
      </c>
      <c r="E199" s="106">
        <v>2.0070000000000001</v>
      </c>
      <c r="F199" s="106">
        <v>2.0150000000000001</v>
      </c>
      <c r="G199" s="106">
        <v>2.0219999999999998</v>
      </c>
      <c r="H199" s="106">
        <v>2.0219999999999998</v>
      </c>
      <c r="I199" s="106">
        <v>2.0219999999999998</v>
      </c>
      <c r="J199" s="7">
        <v>100</v>
      </c>
      <c r="K199" s="7">
        <v>5</v>
      </c>
      <c r="L199" s="7" t="s">
        <v>185</v>
      </c>
      <c r="M199" s="10" t="s">
        <v>43</v>
      </c>
      <c r="N199" s="7" t="s">
        <v>43</v>
      </c>
    </row>
    <row r="200" spans="1:14" s="7" customFormat="1">
      <c r="A200" s="126" t="s">
        <v>395</v>
      </c>
      <c r="B200" s="7" t="s">
        <v>394</v>
      </c>
      <c r="C200" s="106">
        <v>2.4039999999999999</v>
      </c>
      <c r="D200" s="106">
        <v>7</v>
      </c>
      <c r="E200" s="106">
        <v>7</v>
      </c>
      <c r="F200" s="106">
        <v>7</v>
      </c>
      <c r="G200" s="106">
        <v>7</v>
      </c>
      <c r="H200" s="106">
        <v>6</v>
      </c>
      <c r="I200" s="106">
        <v>5</v>
      </c>
      <c r="J200" s="7">
        <v>100</v>
      </c>
      <c r="K200" s="7">
        <v>5</v>
      </c>
      <c r="L200" s="7" t="s">
        <v>185</v>
      </c>
      <c r="M200" s="7" t="s">
        <v>43</v>
      </c>
      <c r="N200" s="7" t="s">
        <v>43</v>
      </c>
    </row>
    <row r="201" spans="1:14" s="7" customFormat="1">
      <c r="A201" s="127" t="s">
        <v>398</v>
      </c>
      <c r="B201" s="10" t="s">
        <v>559</v>
      </c>
      <c r="C201" s="63">
        <v>0.36599999999999999</v>
      </c>
      <c r="D201" s="63">
        <v>0.32800000000000001</v>
      </c>
      <c r="E201" s="63">
        <v>0.25800000000000001</v>
      </c>
      <c r="F201" s="63">
        <v>0.25800000000000001</v>
      </c>
      <c r="G201" s="63">
        <v>0.25800000000000001</v>
      </c>
      <c r="H201" s="63">
        <v>0.25800000000000001</v>
      </c>
      <c r="I201" s="63">
        <v>0.25800000000000001</v>
      </c>
      <c r="J201" s="10">
        <v>100</v>
      </c>
      <c r="K201" s="11">
        <v>8</v>
      </c>
      <c r="L201" s="10" t="s">
        <v>184</v>
      </c>
      <c r="M201" s="10" t="s">
        <v>7</v>
      </c>
      <c r="N201" s="10" t="s">
        <v>43</v>
      </c>
    </row>
    <row r="202" spans="1:14" s="7" customFormat="1">
      <c r="A202" s="127" t="s">
        <v>398</v>
      </c>
      <c r="B202" s="10" t="s">
        <v>560</v>
      </c>
      <c r="C202" s="63">
        <v>1.0960000000000001</v>
      </c>
      <c r="D202" s="63">
        <v>1.375</v>
      </c>
      <c r="E202" s="63">
        <v>3.093</v>
      </c>
      <c r="F202" s="63">
        <v>2.4079999999999999</v>
      </c>
      <c r="G202" s="63">
        <v>2.4079999999999999</v>
      </c>
      <c r="H202" s="63">
        <v>2.4079999999999999</v>
      </c>
      <c r="I202" s="63">
        <v>2.4079999999999999</v>
      </c>
      <c r="J202" s="10">
        <v>100</v>
      </c>
      <c r="K202" s="11">
        <v>6</v>
      </c>
      <c r="L202" s="10" t="s">
        <v>186</v>
      </c>
      <c r="M202" s="10" t="s">
        <v>7</v>
      </c>
      <c r="N202" s="10" t="s">
        <v>43</v>
      </c>
    </row>
    <row r="203" spans="1:14" s="7" customFormat="1">
      <c r="A203" s="127" t="s">
        <v>398</v>
      </c>
      <c r="B203" s="10" t="s">
        <v>561</v>
      </c>
      <c r="C203" s="63">
        <v>9.2999999999999999E-2</v>
      </c>
      <c r="D203" s="63">
        <v>0.11899999999999999</v>
      </c>
      <c r="E203" s="63">
        <v>0.996</v>
      </c>
      <c r="F203" s="63">
        <v>1.276</v>
      </c>
      <c r="G203" s="63">
        <v>1.3919999999999999</v>
      </c>
      <c r="H203" s="63">
        <v>1.3919999999999999</v>
      </c>
      <c r="I203" s="63">
        <v>1.3919999999999999</v>
      </c>
      <c r="J203" s="10">
        <v>100</v>
      </c>
      <c r="K203" s="10">
        <v>6</v>
      </c>
      <c r="L203" s="10" t="s">
        <v>186</v>
      </c>
      <c r="M203" s="10" t="s">
        <v>7</v>
      </c>
      <c r="N203" s="10" t="s">
        <v>43</v>
      </c>
    </row>
    <row r="204" spans="1:14" s="7" customFormat="1">
      <c r="A204" s="127" t="s">
        <v>398</v>
      </c>
      <c r="B204" s="10" t="s">
        <v>562</v>
      </c>
      <c r="C204" s="63">
        <v>0.81499999999999995</v>
      </c>
      <c r="D204" s="63">
        <v>0.43</v>
      </c>
      <c r="E204" s="63">
        <v>0.503</v>
      </c>
      <c r="F204" s="63">
        <v>0.503</v>
      </c>
      <c r="G204" s="63">
        <v>0.503</v>
      </c>
      <c r="H204" s="63">
        <v>0.503</v>
      </c>
      <c r="I204" s="63">
        <v>0.503</v>
      </c>
      <c r="J204" s="10">
        <v>100</v>
      </c>
      <c r="K204" s="10">
        <v>6</v>
      </c>
      <c r="L204" s="10" t="s">
        <v>186</v>
      </c>
      <c r="M204" s="10" t="s">
        <v>7</v>
      </c>
      <c r="N204" s="10" t="s">
        <v>43</v>
      </c>
    </row>
    <row r="205" spans="1:14" s="161" customFormat="1">
      <c r="A205" s="94" t="s">
        <v>400</v>
      </c>
      <c r="B205" s="203" t="s">
        <v>563</v>
      </c>
      <c r="C205" s="209">
        <v>16.100000000000001</v>
      </c>
      <c r="D205" s="209">
        <v>9.6999999999999993</v>
      </c>
      <c r="E205" s="209">
        <v>9.6999999999999993</v>
      </c>
      <c r="F205" s="209">
        <v>9.6999999999999993</v>
      </c>
      <c r="G205" s="209">
        <v>9.6999999999999993</v>
      </c>
      <c r="H205" s="209">
        <v>9.6999999999999993</v>
      </c>
      <c r="I205" s="209">
        <v>4.032</v>
      </c>
      <c r="J205" s="205">
        <v>100</v>
      </c>
      <c r="K205" s="208" t="s">
        <v>399</v>
      </c>
      <c r="L205" s="205" t="s">
        <v>182</v>
      </c>
      <c r="M205" s="205" t="s">
        <v>34</v>
      </c>
      <c r="N205" s="205" t="s">
        <v>43</v>
      </c>
    </row>
    <row r="206" spans="1:14" s="161" customFormat="1">
      <c r="A206" s="94" t="s">
        <v>400</v>
      </c>
      <c r="B206" s="203" t="s">
        <v>564</v>
      </c>
      <c r="C206" s="209">
        <v>3.8889999999999998</v>
      </c>
      <c r="D206" s="209">
        <v>4.0220000000000002</v>
      </c>
      <c r="E206" s="209">
        <v>4.0220000000000002</v>
      </c>
      <c r="F206" s="209">
        <v>4.0220000000000002</v>
      </c>
      <c r="G206" s="209">
        <v>4.0220000000000002</v>
      </c>
      <c r="H206" s="209">
        <v>4.0220000000000002</v>
      </c>
      <c r="I206" s="209">
        <v>3.996</v>
      </c>
      <c r="J206" s="205">
        <v>100</v>
      </c>
      <c r="K206" s="208" t="s">
        <v>399</v>
      </c>
      <c r="L206" s="205" t="s">
        <v>182</v>
      </c>
      <c r="M206" s="205" t="s">
        <v>34</v>
      </c>
      <c r="N206" s="205" t="s">
        <v>43</v>
      </c>
    </row>
    <row r="207" spans="1:14" s="161" customFormat="1">
      <c r="A207" s="94" t="s">
        <v>400</v>
      </c>
      <c r="B207" s="203" t="s">
        <v>183</v>
      </c>
      <c r="C207" s="204">
        <v>55.243000000000002</v>
      </c>
      <c r="D207" s="204">
        <v>64.372</v>
      </c>
      <c r="E207" s="204">
        <v>63.290999999999997</v>
      </c>
      <c r="F207" s="204">
        <v>60.92</v>
      </c>
      <c r="G207" s="204">
        <v>60.92</v>
      </c>
      <c r="H207" s="204">
        <v>60.92</v>
      </c>
      <c r="I207" s="204">
        <v>73.605999999999995</v>
      </c>
      <c r="J207" s="205">
        <v>100</v>
      </c>
      <c r="K207" s="208" t="s">
        <v>399</v>
      </c>
      <c r="L207" s="205" t="s">
        <v>182</v>
      </c>
      <c r="M207" s="205" t="s">
        <v>34</v>
      </c>
      <c r="N207" s="205" t="s">
        <v>43</v>
      </c>
    </row>
    <row r="208" spans="1:14" s="161" customFormat="1">
      <c r="A208" s="94" t="s">
        <v>400</v>
      </c>
      <c r="B208" s="203" t="s">
        <v>565</v>
      </c>
      <c r="C208" s="204">
        <v>28.161000000000001</v>
      </c>
      <c r="D208" s="204">
        <v>21.481999999999999</v>
      </c>
      <c r="E208" s="204">
        <v>11.988</v>
      </c>
      <c r="F208" s="204">
        <v>11.315</v>
      </c>
      <c r="G208" s="204">
        <v>11.29</v>
      </c>
      <c r="H208" s="204">
        <v>11.365</v>
      </c>
      <c r="I208" s="204">
        <v>5.34</v>
      </c>
      <c r="J208" s="205">
        <v>100</v>
      </c>
      <c r="K208" s="205">
        <v>8</v>
      </c>
      <c r="L208" s="205" t="s">
        <v>184</v>
      </c>
      <c r="M208" s="205" t="s">
        <v>34</v>
      </c>
      <c r="N208" s="205" t="s">
        <v>43</v>
      </c>
    </row>
    <row r="209" spans="1:14" s="7" customFormat="1">
      <c r="A209" s="127" t="s">
        <v>400</v>
      </c>
      <c r="B209" s="9" t="s">
        <v>35</v>
      </c>
      <c r="C209" s="63">
        <v>47.68</v>
      </c>
      <c r="D209" s="63">
        <v>46.805</v>
      </c>
      <c r="E209" s="63">
        <v>41.715000000000003</v>
      </c>
      <c r="F209" s="63">
        <v>40.567999999999998</v>
      </c>
      <c r="G209" s="63">
        <v>40.570999999999998</v>
      </c>
      <c r="H209" s="63">
        <v>40.500999999999998</v>
      </c>
      <c r="I209" s="63">
        <v>39.588000000000001</v>
      </c>
      <c r="J209" s="10">
        <v>100</v>
      </c>
      <c r="K209" s="10">
        <v>8</v>
      </c>
      <c r="L209" s="10" t="s">
        <v>184</v>
      </c>
      <c r="M209" s="10" t="s">
        <v>34</v>
      </c>
      <c r="N209" s="10" t="s">
        <v>43</v>
      </c>
    </row>
    <row r="210" spans="1:14" s="7" customFormat="1">
      <c r="A210" s="127" t="s">
        <v>400</v>
      </c>
      <c r="B210" s="10" t="s">
        <v>566</v>
      </c>
      <c r="C210" s="63">
        <v>0</v>
      </c>
      <c r="D210" s="63">
        <v>4.0000000000000001E-3</v>
      </c>
      <c r="E210" s="63">
        <v>1.9319999999999999</v>
      </c>
      <c r="F210" s="63">
        <v>1.9279999999999999</v>
      </c>
      <c r="G210" s="63">
        <v>1.9279999999999999</v>
      </c>
      <c r="H210" s="63">
        <v>1.9279999999999999</v>
      </c>
      <c r="I210" s="63">
        <v>1.9279999999999999</v>
      </c>
      <c r="J210" s="10">
        <v>100</v>
      </c>
      <c r="K210" s="10">
        <v>8</v>
      </c>
      <c r="L210" s="10" t="s">
        <v>184</v>
      </c>
      <c r="M210" s="10" t="s">
        <v>36</v>
      </c>
      <c r="N210" s="10" t="s">
        <v>43</v>
      </c>
    </row>
    <row r="211" spans="1:14" s="7" customFormat="1">
      <c r="A211" s="127" t="s">
        <v>400</v>
      </c>
      <c r="B211" s="10" t="s">
        <v>567</v>
      </c>
      <c r="C211" s="63">
        <v>7.1280000000000001</v>
      </c>
      <c r="D211" s="63">
        <v>1.038</v>
      </c>
      <c r="E211" s="63">
        <v>1.387</v>
      </c>
      <c r="F211" s="63">
        <v>1.905</v>
      </c>
      <c r="G211" s="63">
        <v>2.044</v>
      </c>
      <c r="H211" s="63">
        <v>2.044</v>
      </c>
      <c r="I211" s="63">
        <v>2.044</v>
      </c>
      <c r="J211" s="10">
        <v>100</v>
      </c>
      <c r="K211" s="11">
        <v>8</v>
      </c>
      <c r="L211" s="10" t="s">
        <v>184</v>
      </c>
      <c r="M211" s="10" t="s">
        <v>12</v>
      </c>
      <c r="N211" s="10" t="s">
        <v>43</v>
      </c>
    </row>
    <row r="212" spans="1:14" s="7" customFormat="1">
      <c r="A212" s="127" t="s">
        <v>400</v>
      </c>
      <c r="B212" s="10" t="s">
        <v>568</v>
      </c>
      <c r="C212" s="63">
        <v>2.1</v>
      </c>
      <c r="D212" s="63">
        <v>2.452</v>
      </c>
      <c r="E212" s="63">
        <v>2.944</v>
      </c>
      <c r="F212" s="63">
        <v>2.944</v>
      </c>
      <c r="G212" s="63">
        <v>2.944</v>
      </c>
      <c r="H212" s="63">
        <v>2.944</v>
      </c>
      <c r="I212" s="63">
        <v>2.944</v>
      </c>
      <c r="J212" s="10">
        <v>100</v>
      </c>
      <c r="K212" s="11">
        <v>8</v>
      </c>
      <c r="L212" s="10" t="s">
        <v>184</v>
      </c>
      <c r="M212" s="10" t="s">
        <v>12</v>
      </c>
      <c r="N212" s="10" t="s">
        <v>43</v>
      </c>
    </row>
    <row r="213" spans="1:14" s="7" customFormat="1">
      <c r="A213" s="127" t="s">
        <v>400</v>
      </c>
      <c r="B213" s="10" t="s">
        <v>569</v>
      </c>
      <c r="C213" s="63">
        <v>0</v>
      </c>
      <c r="D213" s="63">
        <v>0.219</v>
      </c>
      <c r="E213" s="63">
        <v>1.845</v>
      </c>
      <c r="F213" s="63">
        <v>1.8460000000000001</v>
      </c>
      <c r="G213" s="63">
        <v>1.627</v>
      </c>
      <c r="H213" s="63">
        <v>1.627</v>
      </c>
      <c r="I213" s="63">
        <v>1.627</v>
      </c>
      <c r="J213" s="10">
        <v>100</v>
      </c>
      <c r="K213" s="11">
        <v>8</v>
      </c>
      <c r="L213" s="10" t="s">
        <v>184</v>
      </c>
      <c r="M213" s="10" t="s">
        <v>12</v>
      </c>
      <c r="N213" s="10" t="s">
        <v>43</v>
      </c>
    </row>
    <row r="214" spans="1:14" s="7" customFormat="1">
      <c r="A214" s="127" t="s">
        <v>400</v>
      </c>
      <c r="B214" s="10" t="s">
        <v>570</v>
      </c>
      <c r="C214" s="63">
        <v>0</v>
      </c>
      <c r="D214" s="63">
        <v>0.90100000000000002</v>
      </c>
      <c r="E214" s="63">
        <v>0.20100000000000001</v>
      </c>
      <c r="F214" s="63">
        <v>0.20100000000000001</v>
      </c>
      <c r="G214" s="63">
        <v>0.20100000000000001</v>
      </c>
      <c r="H214" s="63">
        <v>0.20100000000000001</v>
      </c>
      <c r="I214" s="63">
        <v>0.20100000000000001</v>
      </c>
      <c r="J214" s="10">
        <v>100</v>
      </c>
      <c r="K214" s="11">
        <v>8</v>
      </c>
      <c r="L214" s="10" t="s">
        <v>184</v>
      </c>
      <c r="M214" s="10" t="s">
        <v>12</v>
      </c>
      <c r="N214" s="10" t="s">
        <v>43</v>
      </c>
    </row>
    <row r="215" spans="1:14" s="7" customFormat="1">
      <c r="A215" s="127" t="s">
        <v>400</v>
      </c>
      <c r="B215" s="10" t="s">
        <v>571</v>
      </c>
      <c r="C215" s="63">
        <v>1.33</v>
      </c>
      <c r="D215" s="63">
        <v>2.2999999999999998</v>
      </c>
      <c r="E215" s="63">
        <v>0</v>
      </c>
      <c r="F215" s="63">
        <v>0</v>
      </c>
      <c r="G215" s="63">
        <v>0</v>
      </c>
      <c r="H215" s="63">
        <v>0</v>
      </c>
      <c r="I215" s="63">
        <v>0</v>
      </c>
      <c r="J215" s="10">
        <v>100</v>
      </c>
      <c r="K215" s="11">
        <v>8</v>
      </c>
      <c r="L215" s="10" t="s">
        <v>184</v>
      </c>
      <c r="M215" s="10" t="s">
        <v>12</v>
      </c>
      <c r="N215" s="10" t="s">
        <v>43</v>
      </c>
    </row>
    <row r="216" spans="1:14" s="7" customFormat="1">
      <c r="A216" s="127" t="s">
        <v>400</v>
      </c>
      <c r="B216" s="10" t="s">
        <v>572</v>
      </c>
      <c r="C216" s="63">
        <v>0.92900000000000005</v>
      </c>
      <c r="D216" s="63">
        <v>2.0699999999999998</v>
      </c>
      <c r="E216" s="63">
        <v>1.6950000000000001</v>
      </c>
      <c r="F216" s="63">
        <v>1.6439999999999999</v>
      </c>
      <c r="G216" s="63">
        <v>1.645</v>
      </c>
      <c r="H216" s="63">
        <v>2.3919999999999999</v>
      </c>
      <c r="I216" s="63">
        <v>2.3919999999999999</v>
      </c>
      <c r="J216" s="10">
        <v>100</v>
      </c>
      <c r="K216" s="11">
        <v>8</v>
      </c>
      <c r="L216" s="10" t="s">
        <v>184</v>
      </c>
      <c r="M216" s="10" t="s">
        <v>12</v>
      </c>
      <c r="N216" s="10" t="s">
        <v>43</v>
      </c>
    </row>
    <row r="217" spans="1:14" s="7" customFormat="1">
      <c r="A217" s="127" t="s">
        <v>400</v>
      </c>
      <c r="B217" s="10" t="s">
        <v>573</v>
      </c>
      <c r="C217" s="63">
        <v>0.19800000000000001</v>
      </c>
      <c r="D217" s="63">
        <v>8.0000000000000002E-3</v>
      </c>
      <c r="E217" s="63">
        <v>8.0000000000000002E-3</v>
      </c>
      <c r="F217" s="63">
        <v>8.0000000000000002E-3</v>
      </c>
      <c r="G217" s="63">
        <v>8.0000000000000002E-3</v>
      </c>
      <c r="H217" s="63">
        <v>8.0000000000000002E-3</v>
      </c>
      <c r="I217" s="63">
        <v>8.0000000000000002E-3</v>
      </c>
      <c r="J217" s="10">
        <v>100</v>
      </c>
      <c r="K217" s="11">
        <v>8</v>
      </c>
      <c r="L217" s="10" t="s">
        <v>184</v>
      </c>
      <c r="M217" s="10" t="s">
        <v>12</v>
      </c>
      <c r="N217" s="10" t="s">
        <v>43</v>
      </c>
    </row>
    <row r="218" spans="1:14" s="7" customFormat="1">
      <c r="A218" s="127" t="s">
        <v>400</v>
      </c>
      <c r="B218" s="10" t="s">
        <v>401</v>
      </c>
      <c r="C218" s="63">
        <v>0</v>
      </c>
      <c r="D218" s="63">
        <v>5.0609999999999999</v>
      </c>
      <c r="E218" s="63">
        <v>4.7789999999999999</v>
      </c>
      <c r="F218" s="63">
        <v>4.3869999999999996</v>
      </c>
      <c r="G218" s="63">
        <v>4.2830000000000004</v>
      </c>
      <c r="H218" s="63">
        <v>4.25</v>
      </c>
      <c r="I218" s="63">
        <v>2.66</v>
      </c>
      <c r="J218" s="10">
        <v>100</v>
      </c>
      <c r="K218" s="11">
        <v>8</v>
      </c>
      <c r="L218" s="10" t="s">
        <v>184</v>
      </c>
      <c r="M218" s="10" t="s">
        <v>12</v>
      </c>
      <c r="N218" s="10" t="s">
        <v>43</v>
      </c>
    </row>
    <row r="219" spans="1:14" s="3" customFormat="1" ht="15">
      <c r="A219" s="82"/>
      <c r="B219" s="3" t="s">
        <v>608</v>
      </c>
      <c r="C219" s="12">
        <f t="shared" ref="C219:I219" si="8">SUM(C109:C218)</f>
        <v>810.26</v>
      </c>
      <c r="D219" s="12">
        <f t="shared" si="8"/>
        <v>899.06790000000001</v>
      </c>
      <c r="E219" s="12">
        <f t="shared" si="8"/>
        <v>851.53890000000001</v>
      </c>
      <c r="F219" s="12">
        <f t="shared" si="8"/>
        <v>845.80790000000002</v>
      </c>
      <c r="G219" s="12">
        <f t="shared" si="8"/>
        <v>846.9739000000003</v>
      </c>
      <c r="H219" s="12">
        <f t="shared" si="8"/>
        <v>835.42590000000041</v>
      </c>
      <c r="I219" s="12">
        <f t="shared" si="8"/>
        <v>817.66150000000039</v>
      </c>
      <c r="L219" s="1"/>
    </row>
    <row r="220" spans="1:14" s="149" customFormat="1">
      <c r="C220" s="171"/>
      <c r="D220" s="171"/>
      <c r="E220" s="171"/>
      <c r="F220" s="171"/>
      <c r="G220" s="171"/>
      <c r="H220" s="171"/>
      <c r="I220" s="171"/>
      <c r="M220" s="4"/>
    </row>
    <row r="221" spans="1:14" ht="15">
      <c r="A221" s="31"/>
      <c r="B221" s="28" t="s">
        <v>85</v>
      </c>
      <c r="C221" s="62"/>
      <c r="D221" s="62"/>
      <c r="E221" s="62"/>
      <c r="F221" s="62"/>
      <c r="G221" s="62"/>
      <c r="H221" s="62"/>
      <c r="I221" s="62"/>
      <c r="J221" s="28"/>
      <c r="K221" s="30"/>
      <c r="L221" s="101"/>
      <c r="M221" s="28"/>
      <c r="N221" s="28"/>
    </row>
    <row r="222" spans="1:14">
      <c r="A222" s="7">
        <v>1</v>
      </c>
      <c r="B222" s="4" t="s">
        <v>364</v>
      </c>
      <c r="C222" s="61">
        <v>3.8159999999999998</v>
      </c>
      <c r="D222" s="61">
        <v>3.831</v>
      </c>
      <c r="E222" s="61">
        <v>3.831</v>
      </c>
      <c r="F222" s="61">
        <v>7.5309999999999997</v>
      </c>
      <c r="G222" s="61">
        <v>7.5309999999999997</v>
      </c>
      <c r="H222" s="61">
        <v>7.5309999999999997</v>
      </c>
      <c r="I222" s="61">
        <v>7.5309999999999997</v>
      </c>
      <c r="J222" s="172">
        <v>100</v>
      </c>
      <c r="K222" s="4">
        <v>7</v>
      </c>
      <c r="L222" s="103" t="s">
        <v>107</v>
      </c>
      <c r="M222" s="4" t="s">
        <v>475</v>
      </c>
      <c r="N222" s="4" t="s">
        <v>42</v>
      </c>
    </row>
    <row r="223" spans="1:14">
      <c r="A223" s="7">
        <v>1</v>
      </c>
      <c r="B223" s="4" t="s">
        <v>364</v>
      </c>
      <c r="C223" s="61">
        <v>1.4690000000000001</v>
      </c>
      <c r="D223" s="61">
        <v>2.1920000000000002</v>
      </c>
      <c r="E223" s="61">
        <v>1.78</v>
      </c>
      <c r="F223" s="61">
        <v>1.95</v>
      </c>
      <c r="G223" s="61">
        <v>2.2320000000000002</v>
      </c>
      <c r="H223" s="61">
        <v>2.2320000000000002</v>
      </c>
      <c r="I223" s="61">
        <v>2.2320000000000002</v>
      </c>
      <c r="J223" s="172">
        <v>100</v>
      </c>
      <c r="K223" s="4">
        <v>11</v>
      </c>
      <c r="L223" s="103" t="s">
        <v>61</v>
      </c>
      <c r="N223" s="4" t="s">
        <v>43</v>
      </c>
    </row>
    <row r="224" spans="1:14">
      <c r="A224" s="7">
        <v>1</v>
      </c>
      <c r="B224" s="4" t="s">
        <v>364</v>
      </c>
      <c r="C224" s="61">
        <v>0.42499999999999999</v>
      </c>
      <c r="D224" s="61">
        <v>0.42499999999999999</v>
      </c>
      <c r="E224" s="61">
        <v>0.42499999999999999</v>
      </c>
      <c r="F224" s="61">
        <v>0.12</v>
      </c>
      <c r="G224" s="61">
        <v>0</v>
      </c>
      <c r="H224" s="61">
        <v>0</v>
      </c>
      <c r="I224" s="61">
        <v>0</v>
      </c>
      <c r="J224" s="172">
        <v>100</v>
      </c>
      <c r="K224" s="4">
        <v>11</v>
      </c>
      <c r="L224" s="103" t="s">
        <v>61</v>
      </c>
      <c r="M224" s="4" t="s">
        <v>476</v>
      </c>
      <c r="N224" s="4" t="s">
        <v>43</v>
      </c>
    </row>
    <row r="225" spans="1:14">
      <c r="A225" s="7">
        <v>13</v>
      </c>
      <c r="B225" s="4" t="s">
        <v>365</v>
      </c>
      <c r="C225" s="61">
        <v>0.29499999999999998</v>
      </c>
      <c r="D225" s="61">
        <v>0.91</v>
      </c>
      <c r="E225" s="61">
        <v>0.66</v>
      </c>
      <c r="F225" s="61">
        <v>0.66</v>
      </c>
      <c r="G225" s="61">
        <v>0.66</v>
      </c>
      <c r="H225" s="61">
        <v>0.66</v>
      </c>
      <c r="I225" s="61">
        <v>0.66</v>
      </c>
      <c r="J225" s="74">
        <v>100</v>
      </c>
      <c r="K225" s="4">
        <v>11</v>
      </c>
      <c r="L225" s="103" t="s">
        <v>61</v>
      </c>
      <c r="N225" s="4" t="s">
        <v>43</v>
      </c>
    </row>
    <row r="226" spans="1:14">
      <c r="A226" s="7">
        <v>98</v>
      </c>
      <c r="B226" s="4" t="s">
        <v>124</v>
      </c>
      <c r="C226" s="61">
        <v>1.927</v>
      </c>
      <c r="D226" s="61">
        <v>4.0359999999999996</v>
      </c>
      <c r="E226" s="61">
        <v>1.8819999999999999</v>
      </c>
      <c r="F226" s="61">
        <v>1.8819999999999999</v>
      </c>
      <c r="G226" s="61">
        <v>1.8819999999999999</v>
      </c>
      <c r="H226" s="61">
        <v>1.8819999999999999</v>
      </c>
      <c r="I226" s="61">
        <v>1.8819999999999999</v>
      </c>
      <c r="J226" s="74">
        <v>100</v>
      </c>
      <c r="K226" s="4">
        <v>11</v>
      </c>
      <c r="L226" s="103" t="s">
        <v>61</v>
      </c>
      <c r="M226" s="4" t="s">
        <v>43</v>
      </c>
      <c r="N226" s="4" t="s">
        <v>43</v>
      </c>
    </row>
    <row r="227" spans="1:14" s="3" customFormat="1" ht="15">
      <c r="A227" s="82"/>
      <c r="B227" s="3" t="s">
        <v>88</v>
      </c>
      <c r="C227" s="12">
        <f>SUM(C222:C226)</f>
        <v>7.9320000000000004</v>
      </c>
      <c r="D227" s="12">
        <f t="shared" ref="D227:I227" si="9">SUM(D222:D226)</f>
        <v>11.393999999999998</v>
      </c>
      <c r="E227" s="12">
        <f t="shared" si="9"/>
        <v>8.5779999999999994</v>
      </c>
      <c r="F227" s="12">
        <f t="shared" si="9"/>
        <v>12.142999999999999</v>
      </c>
      <c r="G227" s="12">
        <f t="shared" si="9"/>
        <v>12.305</v>
      </c>
      <c r="H227" s="12">
        <f t="shared" si="9"/>
        <v>12.305</v>
      </c>
      <c r="I227" s="12">
        <f t="shared" si="9"/>
        <v>12.305</v>
      </c>
      <c r="L227" s="1"/>
    </row>
    <row r="228" spans="1:14">
      <c r="A228" s="7"/>
      <c r="C228" s="61"/>
      <c r="D228" s="61"/>
      <c r="E228" s="61"/>
      <c r="F228" s="61"/>
      <c r="G228" s="61"/>
      <c r="H228" s="61"/>
      <c r="I228" s="61"/>
    </row>
    <row r="229" spans="1:14" ht="15">
      <c r="A229" s="32"/>
      <c r="B229" s="28" t="s">
        <v>86</v>
      </c>
      <c r="C229" s="64"/>
      <c r="D229" s="64"/>
      <c r="E229" s="64"/>
      <c r="F229" s="64"/>
      <c r="G229" s="64"/>
      <c r="H229" s="64"/>
      <c r="I229" s="64"/>
      <c r="J229" s="32"/>
      <c r="K229" s="32"/>
      <c r="L229" s="102"/>
      <c r="M229" s="32"/>
      <c r="N229" s="32"/>
    </row>
    <row r="230" spans="1:14" s="7" customFormat="1">
      <c r="A230" s="125" t="s">
        <v>276</v>
      </c>
      <c r="B230" s="125" t="s">
        <v>253</v>
      </c>
      <c r="C230" s="128">
        <v>22</v>
      </c>
      <c r="D230" s="128">
        <v>22</v>
      </c>
      <c r="E230" s="128">
        <v>22</v>
      </c>
      <c r="F230" s="128">
        <v>22</v>
      </c>
      <c r="G230" s="128">
        <v>22</v>
      </c>
      <c r="H230" s="128">
        <v>22</v>
      </c>
      <c r="I230" s="128">
        <v>22</v>
      </c>
      <c r="J230" s="129">
        <v>3.3</v>
      </c>
      <c r="K230" s="134" t="s">
        <v>76</v>
      </c>
      <c r="L230" s="125" t="s">
        <v>112</v>
      </c>
      <c r="M230" s="125" t="s">
        <v>212</v>
      </c>
      <c r="N230" s="125" t="s">
        <v>42</v>
      </c>
    </row>
    <row r="231" spans="1:14" s="7" customFormat="1">
      <c r="A231" s="125" t="s">
        <v>189</v>
      </c>
      <c r="B231" s="125" t="s">
        <v>466</v>
      </c>
      <c r="C231" s="128">
        <v>15.4</v>
      </c>
      <c r="D231" s="128">
        <v>15.4</v>
      </c>
      <c r="E231" s="128">
        <v>15.4</v>
      </c>
      <c r="F231" s="128">
        <v>15.4</v>
      </c>
      <c r="G231" s="128">
        <v>15.4</v>
      </c>
      <c r="H231" s="128">
        <v>15.4</v>
      </c>
      <c r="I231" s="128">
        <v>15.4</v>
      </c>
      <c r="J231" s="129">
        <v>6.2</v>
      </c>
      <c r="K231" s="134" t="s">
        <v>76</v>
      </c>
      <c r="L231" s="125" t="s">
        <v>112</v>
      </c>
      <c r="M231" s="125" t="s">
        <v>29</v>
      </c>
      <c r="N231" s="125" t="s">
        <v>42</v>
      </c>
    </row>
    <row r="232" spans="1:14" s="7" customFormat="1">
      <c r="A232" s="125" t="s">
        <v>196</v>
      </c>
      <c r="B232" s="125" t="s">
        <v>467</v>
      </c>
      <c r="C232" s="128">
        <v>0</v>
      </c>
      <c r="D232" s="128">
        <v>2</v>
      </c>
      <c r="E232" s="128">
        <v>2</v>
      </c>
      <c r="F232" s="128">
        <v>2</v>
      </c>
      <c r="G232" s="128">
        <v>2</v>
      </c>
      <c r="H232" s="128">
        <v>2</v>
      </c>
      <c r="I232" s="128">
        <v>2</v>
      </c>
      <c r="J232" s="129">
        <v>1</v>
      </c>
      <c r="K232" s="134">
        <v>7</v>
      </c>
      <c r="L232" s="125" t="s">
        <v>107</v>
      </c>
      <c r="M232" s="125" t="s">
        <v>7</v>
      </c>
      <c r="N232" s="125" t="s">
        <v>42</v>
      </c>
    </row>
    <row r="233" spans="1:14" s="7" customFormat="1">
      <c r="A233" s="125" t="s">
        <v>196</v>
      </c>
      <c r="B233" s="125" t="s">
        <v>197</v>
      </c>
      <c r="C233" s="128">
        <v>17.331</v>
      </c>
      <c r="D233" s="128">
        <v>17.347999999999999</v>
      </c>
      <c r="E233" s="128">
        <v>17.347999999999999</v>
      </c>
      <c r="F233" s="128">
        <v>17.347999999999999</v>
      </c>
      <c r="G233" s="128">
        <v>17.347999999999999</v>
      </c>
      <c r="H233" s="128">
        <v>17.347999999999999</v>
      </c>
      <c r="I233" s="128">
        <v>17.347999999999999</v>
      </c>
      <c r="J233" s="129">
        <v>8.9</v>
      </c>
      <c r="K233" s="134">
        <v>7</v>
      </c>
      <c r="L233" s="125" t="s">
        <v>107</v>
      </c>
      <c r="M233" s="125" t="s">
        <v>198</v>
      </c>
      <c r="N233" s="125" t="s">
        <v>42</v>
      </c>
    </row>
    <row r="234" spans="1:14" s="7" customFormat="1">
      <c r="A234" s="125" t="s">
        <v>196</v>
      </c>
      <c r="B234" s="125" t="s">
        <v>280</v>
      </c>
      <c r="C234" s="128">
        <v>5.1130000000000004</v>
      </c>
      <c r="D234" s="128">
        <v>5.4320000000000004</v>
      </c>
      <c r="E234" s="128">
        <v>5.5</v>
      </c>
      <c r="F234" s="128">
        <v>5.5</v>
      </c>
      <c r="G234" s="128">
        <v>5.5</v>
      </c>
      <c r="H234" s="128">
        <v>5.5</v>
      </c>
      <c r="I234" s="128">
        <v>5.5</v>
      </c>
      <c r="J234" s="129">
        <v>17.8</v>
      </c>
      <c r="K234" s="134">
        <v>7</v>
      </c>
      <c r="L234" s="125" t="s">
        <v>107</v>
      </c>
      <c r="M234" s="125" t="s">
        <v>7</v>
      </c>
      <c r="N234" s="125" t="s">
        <v>42</v>
      </c>
    </row>
    <row r="235" spans="1:14" s="7" customFormat="1">
      <c r="A235" s="125" t="s">
        <v>187</v>
      </c>
      <c r="B235" s="125" t="s">
        <v>195</v>
      </c>
      <c r="C235" s="128">
        <v>5.71</v>
      </c>
      <c r="D235" s="128">
        <v>5.6820000000000004</v>
      </c>
      <c r="E235" s="128">
        <v>5.1219999999999999</v>
      </c>
      <c r="F235" s="128">
        <v>4.9930000000000003</v>
      </c>
      <c r="G235" s="128">
        <v>4.9930000000000003</v>
      </c>
      <c r="H235" s="128">
        <v>4.9930000000000003</v>
      </c>
      <c r="I235" s="128">
        <v>4.9930000000000003</v>
      </c>
      <c r="J235" s="129">
        <v>16.600000000000001</v>
      </c>
      <c r="K235" s="134">
        <v>7</v>
      </c>
      <c r="L235" s="125" t="s">
        <v>107</v>
      </c>
      <c r="M235" s="125" t="s">
        <v>113</v>
      </c>
      <c r="N235" s="125" t="s">
        <v>42</v>
      </c>
    </row>
    <row r="236" spans="1:14" s="7" customFormat="1">
      <c r="A236" s="125" t="s">
        <v>251</v>
      </c>
      <c r="B236" s="125" t="s">
        <v>256</v>
      </c>
      <c r="C236" s="128">
        <v>11.9</v>
      </c>
      <c r="D236" s="128">
        <v>10.9</v>
      </c>
      <c r="E236" s="128">
        <v>10.9</v>
      </c>
      <c r="F236" s="128">
        <v>10.9</v>
      </c>
      <c r="G236" s="128">
        <v>10.9</v>
      </c>
      <c r="H236" s="128">
        <v>10.9</v>
      </c>
      <c r="I236" s="128">
        <v>10.9</v>
      </c>
      <c r="J236" s="129">
        <v>59</v>
      </c>
      <c r="K236" s="134" t="s">
        <v>76</v>
      </c>
      <c r="L236" s="125" t="s">
        <v>112</v>
      </c>
      <c r="M236" s="125" t="s">
        <v>29</v>
      </c>
      <c r="N236" s="125" t="s">
        <v>42</v>
      </c>
    </row>
    <row r="237" spans="1:14" s="7" customFormat="1">
      <c r="A237" s="125" t="s">
        <v>369</v>
      </c>
      <c r="B237" s="125" t="s">
        <v>191</v>
      </c>
      <c r="C237" s="128">
        <v>5.6280000000000001</v>
      </c>
      <c r="D237" s="128">
        <v>5.5579999999999998</v>
      </c>
      <c r="E237" s="128">
        <v>5.7140000000000004</v>
      </c>
      <c r="F237" s="128">
        <v>5.8280000000000003</v>
      </c>
      <c r="G237" s="128">
        <v>5.9450000000000003</v>
      </c>
      <c r="H237" s="128">
        <v>6.0640000000000001</v>
      </c>
      <c r="I237" s="128">
        <v>6.1849999999999996</v>
      </c>
      <c r="J237" s="129">
        <v>25.2</v>
      </c>
      <c r="K237" s="134">
        <v>11</v>
      </c>
      <c r="L237" s="125" t="s">
        <v>61</v>
      </c>
      <c r="M237" s="125" t="s">
        <v>192</v>
      </c>
      <c r="N237" s="125" t="s">
        <v>42</v>
      </c>
    </row>
    <row r="238" spans="1:14" s="7" customFormat="1">
      <c r="A238" s="125" t="s">
        <v>189</v>
      </c>
      <c r="B238" s="125" t="s">
        <v>277</v>
      </c>
      <c r="C238" s="128">
        <v>0.79999999999999982</v>
      </c>
      <c r="D238" s="128">
        <v>-0.70000000000000018</v>
      </c>
      <c r="E238" s="128">
        <v>-3.5</v>
      </c>
      <c r="F238" s="128">
        <v>0</v>
      </c>
      <c r="G238" s="128">
        <v>0</v>
      </c>
      <c r="H238" s="128">
        <v>0</v>
      </c>
      <c r="I238" s="128">
        <v>0</v>
      </c>
      <c r="J238" s="129">
        <v>-1.4</v>
      </c>
      <c r="K238" s="134">
        <v>7</v>
      </c>
      <c r="L238" s="125" t="s">
        <v>107</v>
      </c>
      <c r="M238" s="125" t="s">
        <v>7</v>
      </c>
      <c r="N238" s="125" t="s">
        <v>43</v>
      </c>
    </row>
    <row r="239" spans="1:14" s="7" customFormat="1">
      <c r="A239" s="125" t="s">
        <v>199</v>
      </c>
      <c r="B239" s="125" t="s">
        <v>332</v>
      </c>
      <c r="C239" s="128">
        <v>2.395</v>
      </c>
      <c r="D239" s="128">
        <v>3.2170000000000001</v>
      </c>
      <c r="E239" s="128">
        <v>2.7160000000000002</v>
      </c>
      <c r="F239" s="128">
        <v>2.6320000000000001</v>
      </c>
      <c r="G239" s="128">
        <v>2.1339999999999999</v>
      </c>
      <c r="H239" s="128">
        <v>2.1339999999999999</v>
      </c>
      <c r="I239" s="128">
        <v>2.1339999999999999</v>
      </c>
      <c r="J239" s="129">
        <v>15.6</v>
      </c>
      <c r="K239" s="134">
        <v>7</v>
      </c>
      <c r="L239" s="125" t="s">
        <v>107</v>
      </c>
      <c r="M239" s="125" t="s">
        <v>43</v>
      </c>
      <c r="N239" s="125" t="s">
        <v>43</v>
      </c>
    </row>
    <row r="240" spans="1:14" s="7" customFormat="1">
      <c r="A240" s="125" t="s">
        <v>196</v>
      </c>
      <c r="B240" s="125" t="s">
        <v>278</v>
      </c>
      <c r="C240" s="128">
        <v>3.5470000000000002</v>
      </c>
      <c r="D240" s="128">
        <v>0</v>
      </c>
      <c r="E240" s="128">
        <v>0</v>
      </c>
      <c r="F240" s="128">
        <v>0</v>
      </c>
      <c r="G240" s="128">
        <v>0</v>
      </c>
      <c r="H240" s="128">
        <v>0</v>
      </c>
      <c r="I240" s="128">
        <v>0</v>
      </c>
      <c r="J240" s="129">
        <v>0</v>
      </c>
      <c r="K240" s="134">
        <v>7</v>
      </c>
      <c r="L240" s="125" t="s">
        <v>107</v>
      </c>
      <c r="M240" s="125" t="s">
        <v>7</v>
      </c>
      <c r="N240" s="125" t="s">
        <v>43</v>
      </c>
    </row>
    <row r="241" spans="1:14" s="7" customFormat="1">
      <c r="A241" s="125" t="s">
        <v>196</v>
      </c>
      <c r="B241" s="125" t="s">
        <v>279</v>
      </c>
      <c r="C241" s="128">
        <v>7.742</v>
      </c>
      <c r="D241" s="128">
        <v>1.085</v>
      </c>
      <c r="E241" s="128">
        <v>0</v>
      </c>
      <c r="F241" s="128">
        <v>0</v>
      </c>
      <c r="G241" s="128">
        <v>0</v>
      </c>
      <c r="H241" s="128">
        <v>0</v>
      </c>
      <c r="I241" s="128">
        <v>0</v>
      </c>
      <c r="J241" s="129">
        <v>0</v>
      </c>
      <c r="K241" s="134">
        <v>7</v>
      </c>
      <c r="L241" s="125" t="s">
        <v>107</v>
      </c>
      <c r="M241" s="125" t="s">
        <v>7</v>
      </c>
      <c r="N241" s="125" t="s">
        <v>43</v>
      </c>
    </row>
    <row r="242" spans="1:14" s="7" customFormat="1">
      <c r="A242" s="125" t="s">
        <v>333</v>
      </c>
      <c r="B242" s="125" t="s">
        <v>368</v>
      </c>
      <c r="C242" s="128">
        <v>5.5979999999999999</v>
      </c>
      <c r="D242" s="128">
        <v>3.621</v>
      </c>
      <c r="E242" s="128">
        <v>2.1509999999999998</v>
      </c>
      <c r="F242" s="128">
        <v>0</v>
      </c>
      <c r="G242" s="128">
        <v>0</v>
      </c>
      <c r="H242" s="128">
        <v>0</v>
      </c>
      <c r="I242" s="128">
        <v>0</v>
      </c>
      <c r="J242" s="129">
        <v>1.9</v>
      </c>
      <c r="K242" s="134">
        <v>7</v>
      </c>
      <c r="L242" s="125" t="s">
        <v>107</v>
      </c>
      <c r="M242" s="125" t="s">
        <v>7</v>
      </c>
      <c r="N242" s="125" t="s">
        <v>43</v>
      </c>
    </row>
    <row r="243" spans="1:14" s="7" customFormat="1">
      <c r="A243" s="125" t="s">
        <v>187</v>
      </c>
      <c r="B243" s="125" t="s">
        <v>195</v>
      </c>
      <c r="C243" s="128">
        <v>104.712</v>
      </c>
      <c r="D243" s="128">
        <v>126.149</v>
      </c>
      <c r="E243" s="128">
        <v>132.97999999999999</v>
      </c>
      <c r="F243" s="128">
        <v>127.352</v>
      </c>
      <c r="G243" s="128">
        <v>120.199</v>
      </c>
      <c r="H243" s="128">
        <v>104.509</v>
      </c>
      <c r="I243" s="128">
        <v>93.888999999999996</v>
      </c>
      <c r="J243" s="129">
        <v>89.8</v>
      </c>
      <c r="K243" s="134">
        <v>7</v>
      </c>
      <c r="L243" s="125" t="s">
        <v>107</v>
      </c>
      <c r="M243" s="125" t="s">
        <v>188</v>
      </c>
      <c r="N243" s="125" t="s">
        <v>43</v>
      </c>
    </row>
    <row r="244" spans="1:14" s="7" customFormat="1">
      <c r="A244" s="125" t="s">
        <v>187</v>
      </c>
      <c r="B244" s="125" t="s">
        <v>281</v>
      </c>
      <c r="C244" s="128">
        <v>14.385999999999999</v>
      </c>
      <c r="D244" s="128">
        <v>13.919</v>
      </c>
      <c r="E244" s="128">
        <v>15.067</v>
      </c>
      <c r="F244" s="128">
        <v>13.932</v>
      </c>
      <c r="G244" s="128">
        <v>14.199</v>
      </c>
      <c r="H244" s="128">
        <v>15.617000000000001</v>
      </c>
      <c r="I244" s="128">
        <v>15.44</v>
      </c>
      <c r="J244" s="129">
        <v>10.199999999999999</v>
      </c>
      <c r="K244" s="134">
        <v>7</v>
      </c>
      <c r="L244" s="125" t="s">
        <v>107</v>
      </c>
      <c r="M244" s="125" t="s">
        <v>188</v>
      </c>
      <c r="N244" s="125" t="s">
        <v>43</v>
      </c>
    </row>
    <row r="245" spans="1:14" s="7" customFormat="1">
      <c r="A245" s="125" t="s">
        <v>193</v>
      </c>
      <c r="B245" s="125" t="s">
        <v>194</v>
      </c>
      <c r="C245" s="128">
        <v>0</v>
      </c>
      <c r="D245" s="128">
        <v>0</v>
      </c>
      <c r="E245" s="128">
        <v>0</v>
      </c>
      <c r="F245" s="128">
        <v>0</v>
      </c>
      <c r="G245" s="128">
        <v>0</v>
      </c>
      <c r="H245" s="128">
        <v>0</v>
      </c>
      <c r="I245" s="128">
        <v>0</v>
      </c>
      <c r="J245" s="129">
        <v>0</v>
      </c>
      <c r="K245" s="134">
        <v>7</v>
      </c>
      <c r="L245" s="125" t="s">
        <v>107</v>
      </c>
      <c r="M245" s="125" t="s">
        <v>43</v>
      </c>
      <c r="N245" s="125" t="s">
        <v>43</v>
      </c>
    </row>
    <row r="246" spans="1:14" s="7" customFormat="1">
      <c r="A246" s="125" t="s">
        <v>193</v>
      </c>
      <c r="B246" s="125" t="s">
        <v>194</v>
      </c>
      <c r="C246" s="128">
        <v>0.53600000000000003</v>
      </c>
      <c r="D246" s="128">
        <v>0</v>
      </c>
      <c r="E246" s="128">
        <v>0</v>
      </c>
      <c r="F246" s="128">
        <v>0</v>
      </c>
      <c r="G246" s="128">
        <v>0</v>
      </c>
      <c r="H246" s="128">
        <v>0</v>
      </c>
      <c r="I246" s="128">
        <v>0</v>
      </c>
      <c r="J246" s="129">
        <v>0</v>
      </c>
      <c r="K246" s="134">
        <v>7</v>
      </c>
      <c r="L246" s="125" t="s">
        <v>107</v>
      </c>
      <c r="M246" s="125" t="s">
        <v>22</v>
      </c>
      <c r="N246" s="125" t="s">
        <v>43</v>
      </c>
    </row>
    <row r="247" spans="1:14" s="7" customFormat="1">
      <c r="A247" s="125" t="s">
        <v>369</v>
      </c>
      <c r="B247" s="125" t="s">
        <v>190</v>
      </c>
      <c r="C247" s="128">
        <v>3.6619999999999999</v>
      </c>
      <c r="D247" s="128">
        <v>3.8809999999999998</v>
      </c>
      <c r="E247" s="128">
        <v>1.843</v>
      </c>
      <c r="F247" s="128">
        <v>0.92500000000000004</v>
      </c>
      <c r="G247" s="128">
        <v>0.92500000000000004</v>
      </c>
      <c r="H247" s="128">
        <v>0.92500000000000004</v>
      </c>
      <c r="I247" s="128">
        <v>0.92500000000000004</v>
      </c>
      <c r="J247" s="129">
        <v>8.1</v>
      </c>
      <c r="K247" s="134">
        <v>11</v>
      </c>
      <c r="L247" s="125" t="s">
        <v>61</v>
      </c>
      <c r="M247" s="125" t="s">
        <v>7</v>
      </c>
      <c r="N247" s="125" t="s">
        <v>43</v>
      </c>
    </row>
    <row r="248" spans="1:14" s="7" customFormat="1">
      <c r="A248" s="125" t="s">
        <v>369</v>
      </c>
      <c r="B248" s="125" t="s">
        <v>190</v>
      </c>
      <c r="C248" s="128">
        <v>4.1000000000000002E-2</v>
      </c>
      <c r="D248" s="128">
        <v>4.2999999999999997E-2</v>
      </c>
      <c r="E248" s="128">
        <v>2.1000000000000001E-2</v>
      </c>
      <c r="F248" s="128">
        <v>5.0999999999999997E-2</v>
      </c>
      <c r="G248" s="128">
        <v>5.0999999999999997E-2</v>
      </c>
      <c r="H248" s="128">
        <v>5.0999999999999997E-2</v>
      </c>
      <c r="I248" s="128">
        <v>5.0999999999999997E-2</v>
      </c>
      <c r="J248" s="129">
        <v>0.1</v>
      </c>
      <c r="K248" s="134">
        <v>11</v>
      </c>
      <c r="L248" s="125" t="s">
        <v>61</v>
      </c>
      <c r="M248" s="125" t="s">
        <v>12</v>
      </c>
      <c r="N248" s="125" t="s">
        <v>43</v>
      </c>
    </row>
    <row r="249" spans="1:14" s="7" customFormat="1">
      <c r="A249" s="125" t="s">
        <v>369</v>
      </c>
      <c r="B249" s="125" t="s">
        <v>190</v>
      </c>
      <c r="C249" s="128">
        <v>3.9E-2</v>
      </c>
      <c r="D249" s="128">
        <v>4.2999999999999997E-2</v>
      </c>
      <c r="E249" s="128">
        <v>2.1000000000000001E-2</v>
      </c>
      <c r="F249" s="128">
        <v>2.4E-2</v>
      </c>
      <c r="G249" s="128">
        <v>2.4E-2</v>
      </c>
      <c r="H249" s="128">
        <v>2.4E-2</v>
      </c>
      <c r="I249" s="128">
        <v>2.4E-2</v>
      </c>
      <c r="J249" s="129">
        <v>0.1</v>
      </c>
      <c r="K249" s="134">
        <v>11</v>
      </c>
      <c r="L249" s="125" t="s">
        <v>61</v>
      </c>
      <c r="M249" s="125" t="s">
        <v>73</v>
      </c>
      <c r="N249" s="125" t="s">
        <v>43</v>
      </c>
    </row>
    <row r="250" spans="1:14" s="82" customFormat="1" ht="15">
      <c r="B250" s="82" t="s">
        <v>89</v>
      </c>
      <c r="C250" s="131">
        <f t="shared" ref="C250:I250" si="10">SUM(C230:C249)</f>
        <v>226.53999999999996</v>
      </c>
      <c r="D250" s="131">
        <f t="shared" si="10"/>
        <v>235.578</v>
      </c>
      <c r="E250" s="131">
        <f t="shared" si="10"/>
        <v>235.28299999999996</v>
      </c>
      <c r="F250" s="131">
        <f t="shared" si="10"/>
        <v>228.88500000000002</v>
      </c>
      <c r="G250" s="131">
        <f t="shared" si="10"/>
        <v>221.61800000000002</v>
      </c>
      <c r="H250" s="131">
        <f t="shared" si="10"/>
        <v>207.465</v>
      </c>
      <c r="I250" s="131">
        <f t="shared" si="10"/>
        <v>196.78899999999999</v>
      </c>
      <c r="L250" s="23"/>
    </row>
    <row r="251" spans="1:14">
      <c r="A251" s="7"/>
      <c r="C251" s="61"/>
      <c r="D251" s="61"/>
      <c r="E251" s="61"/>
      <c r="F251" s="61"/>
      <c r="G251" s="61"/>
      <c r="H251" s="61"/>
      <c r="I251" s="61"/>
    </row>
    <row r="252" spans="1:14" s="3" customFormat="1" ht="15">
      <c r="A252" s="31"/>
      <c r="B252" s="28" t="s">
        <v>87</v>
      </c>
      <c r="C252" s="59">
        <f t="shared" ref="C252:I252" si="11">SUM(C8,C16,C23,C29,C64,C72,C105,C219,C227,C250)</f>
        <v>4926.0443425581889</v>
      </c>
      <c r="D252" s="59">
        <f t="shared" si="11"/>
        <v>5107.3676633122313</v>
      </c>
      <c r="E252" s="59">
        <f t="shared" si="11"/>
        <v>5066.278324040657</v>
      </c>
      <c r="F252" s="59">
        <f t="shared" si="11"/>
        <v>5048.3886432995232</v>
      </c>
      <c r="G252" s="59">
        <f t="shared" si="11"/>
        <v>5019.8594519520111</v>
      </c>
      <c r="H252" s="59">
        <f t="shared" si="11"/>
        <v>5060.3068062153234</v>
      </c>
      <c r="I252" s="59">
        <f t="shared" si="11"/>
        <v>5052.0948756394573</v>
      </c>
      <c r="J252" s="15"/>
      <c r="K252" s="15"/>
      <c r="L252" s="15"/>
      <c r="M252" s="15"/>
      <c r="N252" s="15"/>
    </row>
    <row r="253" spans="1:14">
      <c r="C253" s="187"/>
      <c r="D253" s="187"/>
      <c r="E253" s="187"/>
      <c r="F253" s="187"/>
      <c r="G253" s="187"/>
      <c r="H253" s="187"/>
      <c r="I253" s="187"/>
    </row>
    <row r="254" spans="1:14" ht="15">
      <c r="B254" s="3" t="s">
        <v>167</v>
      </c>
      <c r="C254" s="61"/>
      <c r="D254" s="61"/>
      <c r="E254" s="61"/>
      <c r="F254" s="61"/>
      <c r="G254" s="61"/>
      <c r="H254" s="61"/>
      <c r="I254" s="61"/>
    </row>
    <row r="255" spans="1:14">
      <c r="B255" s="23"/>
      <c r="C255" s="1">
        <f t="shared" ref="C255:I255" si="12">C4</f>
        <v>2016</v>
      </c>
      <c r="D255" s="1">
        <f t="shared" si="12"/>
        <v>2017</v>
      </c>
      <c r="E255" s="1">
        <f t="shared" si="12"/>
        <v>2018</v>
      </c>
      <c r="F255" s="1">
        <f t="shared" si="12"/>
        <v>2019</v>
      </c>
      <c r="G255" s="1">
        <f t="shared" si="12"/>
        <v>2020</v>
      </c>
      <c r="H255" s="1">
        <f t="shared" si="12"/>
        <v>2021</v>
      </c>
      <c r="I255" s="1">
        <f t="shared" si="12"/>
        <v>2022</v>
      </c>
      <c r="K255" s="1" t="s">
        <v>462</v>
      </c>
      <c r="L255" s="68" t="s">
        <v>252</v>
      </c>
    </row>
    <row r="256" spans="1:14">
      <c r="B256" s="7" t="s">
        <v>159</v>
      </c>
      <c r="C256" s="106">
        <f t="shared" ref="C256:I256" si="13">C8</f>
        <v>0.52</v>
      </c>
      <c r="D256" s="106">
        <f t="shared" si="13"/>
        <v>0.59399999999999997</v>
      </c>
      <c r="E256" s="106">
        <f t="shared" si="13"/>
        <v>0.59399999999999997</v>
      </c>
      <c r="F256" s="106">
        <f t="shared" si="13"/>
        <v>0.59399999999999997</v>
      </c>
      <c r="G256" s="106">
        <f t="shared" si="13"/>
        <v>0.59399999999999997</v>
      </c>
      <c r="H256" s="106">
        <f t="shared" si="13"/>
        <v>0.59399999999999997</v>
      </c>
      <c r="I256" s="106">
        <f t="shared" si="13"/>
        <v>0.59399999999999997</v>
      </c>
      <c r="K256" s="73">
        <f t="shared" ref="K256:K266" si="14">+I256-C256</f>
        <v>7.3999999999999955E-2</v>
      </c>
      <c r="L256" s="74">
        <f t="shared" ref="L256:L266" si="15">+(I256-C256)/C256*100</f>
        <v>14.230769230769221</v>
      </c>
    </row>
    <row r="257" spans="1:13">
      <c r="B257" s="7" t="s">
        <v>160</v>
      </c>
      <c r="C257" s="106">
        <f t="shared" ref="C257:I257" si="16">C16</f>
        <v>36.960999999999999</v>
      </c>
      <c r="D257" s="106">
        <f t="shared" si="16"/>
        <v>39.951000000000001</v>
      </c>
      <c r="E257" s="106">
        <f t="shared" si="16"/>
        <v>39.951000000000001</v>
      </c>
      <c r="F257" s="106">
        <f t="shared" si="16"/>
        <v>39.951000000000001</v>
      </c>
      <c r="G257" s="106">
        <f t="shared" si="16"/>
        <v>39.951000000000001</v>
      </c>
      <c r="H257" s="106">
        <f t="shared" si="16"/>
        <v>39.951000000000001</v>
      </c>
      <c r="I257" s="106">
        <f t="shared" si="16"/>
        <v>39.951000000000001</v>
      </c>
      <c r="K257" s="73">
        <f t="shared" si="14"/>
        <v>2.990000000000002</v>
      </c>
      <c r="L257" s="74">
        <f t="shared" si="15"/>
        <v>8.0896079651524637</v>
      </c>
    </row>
    <row r="258" spans="1:13">
      <c r="B258" s="7" t="s">
        <v>600</v>
      </c>
      <c r="C258" s="106">
        <f t="shared" ref="C258:I258" si="17">C23</f>
        <v>24.293400000000002</v>
      </c>
      <c r="D258" s="106">
        <f t="shared" si="17"/>
        <v>22.012616000000001</v>
      </c>
      <c r="E258" s="106">
        <f t="shared" si="17"/>
        <v>22.004687999999998</v>
      </c>
      <c r="F258" s="106">
        <f t="shared" si="17"/>
        <v>21.864504</v>
      </c>
      <c r="G258" s="106">
        <f t="shared" si="17"/>
        <v>21.861344000000003</v>
      </c>
      <c r="H258" s="106">
        <f t="shared" si="17"/>
        <v>21.92052</v>
      </c>
      <c r="I258" s="106">
        <f t="shared" si="17"/>
        <v>21.92352</v>
      </c>
      <c r="K258" s="73">
        <f t="shared" si="14"/>
        <v>-2.369880000000002</v>
      </c>
      <c r="L258" s="74">
        <f t="shared" si="15"/>
        <v>-9.7552421645385241</v>
      </c>
    </row>
    <row r="259" spans="1:13">
      <c r="B259" s="7" t="s">
        <v>161</v>
      </c>
      <c r="C259" s="106">
        <f t="shared" ref="C259:I259" si="18">C29</f>
        <v>10.089</v>
      </c>
      <c r="D259" s="106">
        <f t="shared" si="18"/>
        <v>10.596</v>
      </c>
      <c r="E259" s="106">
        <f t="shared" si="18"/>
        <v>10.298999999999999</v>
      </c>
      <c r="F259" s="106">
        <f t="shared" si="18"/>
        <v>8.786999999999999</v>
      </c>
      <c r="G259" s="106">
        <f t="shared" si="18"/>
        <v>8.6210000000000004</v>
      </c>
      <c r="H259" s="106">
        <f t="shared" si="18"/>
        <v>10.042</v>
      </c>
      <c r="I259" s="106">
        <f t="shared" si="18"/>
        <v>10.039999999999999</v>
      </c>
      <c r="K259" s="73">
        <f t="shared" si="14"/>
        <v>-4.9000000000001265E-2</v>
      </c>
      <c r="L259" s="74">
        <f t="shared" si="15"/>
        <v>-0.4856774705124518</v>
      </c>
    </row>
    <row r="260" spans="1:13">
      <c r="B260" s="7" t="s">
        <v>162</v>
      </c>
      <c r="C260" s="106">
        <f t="shared" ref="C260:I260" si="19">C64</f>
        <v>3677.8489425581893</v>
      </c>
      <c r="D260" s="106">
        <f t="shared" si="19"/>
        <v>3749.4451473122303</v>
      </c>
      <c r="E260" s="106">
        <f t="shared" si="19"/>
        <v>3758.3217360406566</v>
      </c>
      <c r="F260" s="106">
        <f t="shared" si="19"/>
        <v>3766.7562392995233</v>
      </c>
      <c r="G260" s="106">
        <f t="shared" si="19"/>
        <v>3743.1662079520106</v>
      </c>
      <c r="H260" s="106">
        <f t="shared" si="19"/>
        <v>3806.6603862153229</v>
      </c>
      <c r="I260" s="106">
        <f t="shared" si="19"/>
        <v>3829.4578556394576</v>
      </c>
      <c r="K260" s="73">
        <f t="shared" si="14"/>
        <v>151.60891308126838</v>
      </c>
      <c r="L260" s="74">
        <f t="shared" si="15"/>
        <v>4.1222169656542302</v>
      </c>
    </row>
    <row r="261" spans="1:13">
      <c r="B261" s="7" t="s">
        <v>57</v>
      </c>
      <c r="C261" s="106">
        <f t="shared" ref="C261:I261" si="20">C72</f>
        <v>61.078000000000003</v>
      </c>
      <c r="D261" s="106">
        <f t="shared" si="20"/>
        <v>62.460999999999999</v>
      </c>
      <c r="E261" s="106">
        <f t="shared" si="20"/>
        <v>61.190000000000005</v>
      </c>
      <c r="F261" s="106">
        <f t="shared" si="20"/>
        <v>61.191000000000003</v>
      </c>
      <c r="G261" s="106">
        <f t="shared" si="20"/>
        <v>61.191000000000003</v>
      </c>
      <c r="H261" s="106">
        <f t="shared" si="20"/>
        <v>61.191000000000003</v>
      </c>
      <c r="I261" s="106">
        <f t="shared" si="20"/>
        <v>61.191000000000003</v>
      </c>
      <c r="K261" s="73">
        <f t="shared" si="14"/>
        <v>0.11299999999999955</v>
      </c>
      <c r="L261" s="74">
        <f t="shared" si="15"/>
        <v>0.18500933232915212</v>
      </c>
    </row>
    <row r="262" spans="1:13">
      <c r="B262" s="7" t="s">
        <v>601</v>
      </c>
      <c r="C262" s="106">
        <f t="shared" ref="C262:I262" si="21">C105</f>
        <v>70.521999999999991</v>
      </c>
      <c r="D262" s="106">
        <f t="shared" si="21"/>
        <v>76.268000000000001</v>
      </c>
      <c r="E262" s="106">
        <f t="shared" si="21"/>
        <v>78.518000000000001</v>
      </c>
      <c r="F262" s="106">
        <f t="shared" si="21"/>
        <v>62.408999999999992</v>
      </c>
      <c r="G262" s="106">
        <f t="shared" si="21"/>
        <v>63.577999999999989</v>
      </c>
      <c r="H262" s="106">
        <f t="shared" si="21"/>
        <v>64.751999999999995</v>
      </c>
      <c r="I262" s="106">
        <f t="shared" si="21"/>
        <v>62.182000000000002</v>
      </c>
      <c r="K262" s="73">
        <f t="shared" si="14"/>
        <v>-8.3399999999999892</v>
      </c>
      <c r="L262" s="74">
        <f t="shared" si="15"/>
        <v>-11.826096820850216</v>
      </c>
    </row>
    <row r="263" spans="1:13">
      <c r="B263" s="7" t="s">
        <v>602</v>
      </c>
      <c r="C263" s="106">
        <f t="shared" ref="C263:I263" si="22">C219</f>
        <v>810.26</v>
      </c>
      <c r="D263" s="106">
        <f t="shared" si="22"/>
        <v>899.06790000000001</v>
      </c>
      <c r="E263" s="106">
        <f t="shared" si="22"/>
        <v>851.53890000000001</v>
      </c>
      <c r="F263" s="106">
        <f t="shared" si="22"/>
        <v>845.80790000000002</v>
      </c>
      <c r="G263" s="106">
        <f t="shared" si="22"/>
        <v>846.9739000000003</v>
      </c>
      <c r="H263" s="106">
        <f t="shared" si="22"/>
        <v>835.42590000000041</v>
      </c>
      <c r="I263" s="106">
        <f t="shared" si="22"/>
        <v>817.66150000000039</v>
      </c>
      <c r="K263" s="73">
        <f t="shared" si="14"/>
        <v>7.4015000000003965</v>
      </c>
      <c r="L263" s="74">
        <f t="shared" si="15"/>
        <v>0.9134722187940163</v>
      </c>
    </row>
    <row r="264" spans="1:13">
      <c r="B264" s="7" t="s">
        <v>163</v>
      </c>
      <c r="C264" s="106">
        <f t="shared" ref="C264:I264" si="23">C227</f>
        <v>7.9320000000000004</v>
      </c>
      <c r="D264" s="106">
        <f t="shared" si="23"/>
        <v>11.393999999999998</v>
      </c>
      <c r="E264" s="106">
        <f t="shared" si="23"/>
        <v>8.5779999999999994</v>
      </c>
      <c r="F264" s="106">
        <f t="shared" si="23"/>
        <v>12.142999999999999</v>
      </c>
      <c r="G264" s="106">
        <f t="shared" si="23"/>
        <v>12.305</v>
      </c>
      <c r="H264" s="106">
        <f t="shared" si="23"/>
        <v>12.305</v>
      </c>
      <c r="I264" s="106">
        <f t="shared" si="23"/>
        <v>12.305</v>
      </c>
      <c r="K264" s="73">
        <f t="shared" si="14"/>
        <v>4.3729999999999993</v>
      </c>
      <c r="L264" s="74">
        <f t="shared" si="15"/>
        <v>55.131114473020659</v>
      </c>
    </row>
    <row r="265" spans="1:13">
      <c r="B265" s="7" t="s">
        <v>164</v>
      </c>
      <c r="C265" s="106">
        <f>C250</f>
        <v>226.53999999999996</v>
      </c>
      <c r="D265" s="106">
        <f t="shared" ref="D265:I265" si="24">D250</f>
        <v>235.578</v>
      </c>
      <c r="E265" s="106">
        <f t="shared" si="24"/>
        <v>235.28299999999996</v>
      </c>
      <c r="F265" s="106">
        <f t="shared" si="24"/>
        <v>228.88500000000002</v>
      </c>
      <c r="G265" s="106">
        <f t="shared" si="24"/>
        <v>221.61800000000002</v>
      </c>
      <c r="H265" s="106">
        <f t="shared" si="24"/>
        <v>207.465</v>
      </c>
      <c r="I265" s="106">
        <f t="shared" si="24"/>
        <v>196.78899999999999</v>
      </c>
      <c r="K265" s="73">
        <f t="shared" si="14"/>
        <v>-29.750999999999976</v>
      </c>
      <c r="L265" s="74">
        <f t="shared" si="15"/>
        <v>-13.132780082987544</v>
      </c>
    </row>
    <row r="266" spans="1:13">
      <c r="B266" s="23" t="s">
        <v>54</v>
      </c>
      <c r="C266" s="107">
        <f>SUM(C256:C265)</f>
        <v>4926.0443425581889</v>
      </c>
      <c r="D266" s="107">
        <f t="shared" ref="D266:I266" si="25">SUM(D256:D265)</f>
        <v>5107.3676633122313</v>
      </c>
      <c r="E266" s="107">
        <f t="shared" si="25"/>
        <v>5066.278324040657</v>
      </c>
      <c r="F266" s="107">
        <f t="shared" si="25"/>
        <v>5048.3886432995232</v>
      </c>
      <c r="G266" s="107">
        <f t="shared" si="25"/>
        <v>5019.8594519520111</v>
      </c>
      <c r="H266" s="107">
        <f t="shared" si="25"/>
        <v>5060.3068062153234</v>
      </c>
      <c r="I266" s="107">
        <f t="shared" si="25"/>
        <v>5052.0948756394573</v>
      </c>
      <c r="K266" s="73">
        <f t="shared" si="14"/>
        <v>126.05053308126844</v>
      </c>
      <c r="L266" s="74">
        <f t="shared" si="15"/>
        <v>2.5588590827789424</v>
      </c>
    </row>
    <row r="268" spans="1:13" s="37" customFormat="1" ht="15">
      <c r="A268" s="108" t="s">
        <v>420</v>
      </c>
      <c r="C268" s="136"/>
      <c r="K268" s="48"/>
      <c r="L268" s="105"/>
      <c r="M268" s="2"/>
    </row>
    <row r="270" spans="1:13" ht="15">
      <c r="B270" s="3" t="s">
        <v>463</v>
      </c>
    </row>
    <row r="272" spans="1:13">
      <c r="B272" s="1" t="s">
        <v>206</v>
      </c>
      <c r="C272" s="1">
        <f>C4</f>
        <v>2016</v>
      </c>
      <c r="D272" s="1">
        <f t="shared" ref="D272:I272" si="26">D4</f>
        <v>2017</v>
      </c>
      <c r="E272" s="1">
        <f t="shared" si="26"/>
        <v>2018</v>
      </c>
      <c r="F272" s="1">
        <f t="shared" si="26"/>
        <v>2019</v>
      </c>
      <c r="G272" s="1">
        <f t="shared" si="26"/>
        <v>2020</v>
      </c>
      <c r="H272" s="1">
        <f t="shared" si="26"/>
        <v>2021</v>
      </c>
      <c r="I272" s="1">
        <f t="shared" si="26"/>
        <v>2022</v>
      </c>
    </row>
    <row r="273" spans="2:9">
      <c r="B273" s="7" t="str">
        <f>B256</f>
        <v>Algemene Zaken</v>
      </c>
      <c r="C273" s="74">
        <f>C7</f>
        <v>0.52</v>
      </c>
      <c r="D273" s="74">
        <f t="shared" ref="D273:I273" si="27">D7</f>
        <v>0.59399999999999997</v>
      </c>
      <c r="E273" s="74">
        <f t="shared" si="27"/>
        <v>0.59399999999999997</v>
      </c>
      <c r="F273" s="74">
        <f t="shared" si="27"/>
        <v>0.59399999999999997</v>
      </c>
      <c r="G273" s="74">
        <f t="shared" si="27"/>
        <v>0.59399999999999997</v>
      </c>
      <c r="H273" s="74">
        <f t="shared" si="27"/>
        <v>0.59399999999999997</v>
      </c>
      <c r="I273" s="74">
        <f t="shared" si="27"/>
        <v>0.59399999999999997</v>
      </c>
    </row>
    <row r="274" spans="2:9">
      <c r="B274" s="7" t="str">
        <f t="shared" ref="B274:B282" si="28">B257</f>
        <v xml:space="preserve">Buitenlandse Zaken </v>
      </c>
      <c r="C274" s="74">
        <f>SUM(C12:C15)</f>
        <v>36.680999999999997</v>
      </c>
      <c r="D274" s="74">
        <f t="shared" ref="D274:I274" si="29">SUM(D12:D15)</f>
        <v>39.708999999999996</v>
      </c>
      <c r="E274" s="74">
        <f t="shared" si="29"/>
        <v>39.708999999999996</v>
      </c>
      <c r="F274" s="74">
        <f t="shared" si="29"/>
        <v>39.708999999999996</v>
      </c>
      <c r="G274" s="74">
        <f t="shared" si="29"/>
        <v>39.708999999999996</v>
      </c>
      <c r="H274" s="74">
        <f t="shared" si="29"/>
        <v>39.708999999999996</v>
      </c>
      <c r="I274" s="74">
        <f t="shared" si="29"/>
        <v>39.708999999999996</v>
      </c>
    </row>
    <row r="275" spans="2:9">
      <c r="B275" s="7" t="str">
        <f t="shared" si="28"/>
        <v>Justitie en Veiligheid</v>
      </c>
      <c r="C275" s="74">
        <f>SUM(C21:C22)</f>
        <v>4.9570000000000007</v>
      </c>
      <c r="D275" s="74">
        <f t="shared" ref="D275:I275" si="30">SUM(D21:D22)</f>
        <v>5.2450000000000001</v>
      </c>
      <c r="E275" s="74">
        <f t="shared" si="30"/>
        <v>5.12</v>
      </c>
      <c r="F275" s="74">
        <f t="shared" si="30"/>
        <v>4.9849999999999994</v>
      </c>
      <c r="G275" s="74">
        <f t="shared" si="30"/>
        <v>4.984</v>
      </c>
      <c r="H275" s="74">
        <f t="shared" si="30"/>
        <v>4.9849999999999994</v>
      </c>
      <c r="I275" s="74">
        <f t="shared" si="30"/>
        <v>4.9880000000000004</v>
      </c>
    </row>
    <row r="276" spans="2:9">
      <c r="B276" s="7" t="str">
        <f t="shared" si="28"/>
        <v>Binnenlandse Zaken en Koninkrijksrelaties</v>
      </c>
      <c r="C276" s="74">
        <f>SUM(C26:C28)</f>
        <v>10.089</v>
      </c>
      <c r="D276" s="74">
        <f t="shared" ref="D276:I276" si="31">SUM(D26:D28)</f>
        <v>10.596</v>
      </c>
      <c r="E276" s="74">
        <f t="shared" si="31"/>
        <v>10.298999999999999</v>
      </c>
      <c r="F276" s="74">
        <f t="shared" si="31"/>
        <v>8.786999999999999</v>
      </c>
      <c r="G276" s="74">
        <f t="shared" si="31"/>
        <v>8.6210000000000004</v>
      </c>
      <c r="H276" s="74">
        <f t="shared" si="31"/>
        <v>10.042</v>
      </c>
      <c r="I276" s="74">
        <f t="shared" si="31"/>
        <v>10.039999999999999</v>
      </c>
    </row>
    <row r="277" spans="2:9">
      <c r="B277" s="7" t="str">
        <f t="shared" si="28"/>
        <v>Onderwijs, Cultuur en Wetenschap</v>
      </c>
      <c r="C277" s="74">
        <f>SUM(C51:C63)</f>
        <v>700.50710228378739</v>
      </c>
      <c r="D277" s="74">
        <f t="shared" ref="D277:I277" si="32">SUM(D51:D63)</f>
        <v>672.71123608305652</v>
      </c>
      <c r="E277" s="74">
        <f t="shared" si="32"/>
        <v>684.41770833109183</v>
      </c>
      <c r="F277" s="74">
        <f t="shared" si="32"/>
        <v>680.89242642067279</v>
      </c>
      <c r="G277" s="74">
        <f t="shared" si="32"/>
        <v>632.79150412421825</v>
      </c>
      <c r="H277" s="74">
        <f t="shared" si="32"/>
        <v>674.62245361141152</v>
      </c>
      <c r="I277" s="74">
        <f t="shared" si="32"/>
        <v>675.89732315871345</v>
      </c>
    </row>
    <row r="278" spans="2:9">
      <c r="B278" s="7" t="str">
        <f t="shared" si="28"/>
        <v>Defensie</v>
      </c>
      <c r="C278" s="74">
        <f>SUM(C69:C71)</f>
        <v>23.533000000000001</v>
      </c>
      <c r="D278" s="74">
        <f t="shared" ref="D278:I278" si="33">SUM(D69:D71)</f>
        <v>24.619999999999997</v>
      </c>
      <c r="E278" s="74">
        <f t="shared" si="33"/>
        <v>23.864999999999998</v>
      </c>
      <c r="F278" s="74">
        <f t="shared" si="33"/>
        <v>23.866</v>
      </c>
      <c r="G278" s="74">
        <f t="shared" si="33"/>
        <v>23.866</v>
      </c>
      <c r="H278" s="74">
        <f t="shared" si="33"/>
        <v>23.866</v>
      </c>
      <c r="I278" s="74">
        <f t="shared" si="33"/>
        <v>23.866</v>
      </c>
    </row>
    <row r="279" spans="2:9">
      <c r="B279" s="7" t="str">
        <f t="shared" si="28"/>
        <v>Infrastructuur en Waterstaat</v>
      </c>
      <c r="C279" s="74">
        <f>SUM(C93:C104)</f>
        <v>23.064</v>
      </c>
      <c r="D279" s="74">
        <f t="shared" ref="D279:I279" si="34">SUM(D93:D104)</f>
        <v>27.658000000000005</v>
      </c>
      <c r="E279" s="74">
        <f t="shared" si="34"/>
        <v>31.067</v>
      </c>
      <c r="F279" s="74">
        <f t="shared" si="34"/>
        <v>20.207999999999998</v>
      </c>
      <c r="G279" s="74">
        <f t="shared" si="34"/>
        <v>21.449000000000002</v>
      </c>
      <c r="H279" s="74">
        <f t="shared" si="34"/>
        <v>23.099000000000004</v>
      </c>
      <c r="I279" s="74">
        <f t="shared" si="34"/>
        <v>20.944000000000003</v>
      </c>
    </row>
    <row r="280" spans="2:9">
      <c r="B280" s="7" t="str">
        <f t="shared" si="28"/>
        <v>Economische Zaken en Klimaat</v>
      </c>
      <c r="C280" s="74">
        <f>SUM(C126:C218)</f>
        <v>568.97199999999987</v>
      </c>
      <c r="D280" s="74">
        <f t="shared" ref="D280:I280" si="35">SUM(D126:D218)</f>
        <v>658.6259</v>
      </c>
      <c r="E280" s="74">
        <f t="shared" si="35"/>
        <v>618.08690000000001</v>
      </c>
      <c r="F280" s="74">
        <f t="shared" si="35"/>
        <v>618.54390000000001</v>
      </c>
      <c r="G280" s="74">
        <f t="shared" si="35"/>
        <v>619.6158999999999</v>
      </c>
      <c r="H280" s="74">
        <f t="shared" si="35"/>
        <v>607.13489999999979</v>
      </c>
      <c r="I280" s="74">
        <f t="shared" si="35"/>
        <v>589.37049999999977</v>
      </c>
    </row>
    <row r="281" spans="2:9">
      <c r="B281" s="7" t="str">
        <f t="shared" si="28"/>
        <v>Sociale Zaken en Werkgelegenheid</v>
      </c>
      <c r="C281" s="74">
        <f>SUM(C223:C226)</f>
        <v>4.1159999999999997</v>
      </c>
      <c r="D281" s="74">
        <f t="shared" ref="D281:I281" si="36">SUM(D223:D226)</f>
        <v>7.5629999999999997</v>
      </c>
      <c r="E281" s="74">
        <f t="shared" si="36"/>
        <v>4.7469999999999999</v>
      </c>
      <c r="F281" s="74">
        <f t="shared" si="36"/>
        <v>4.6120000000000001</v>
      </c>
      <c r="G281" s="74">
        <f t="shared" si="36"/>
        <v>4.774</v>
      </c>
      <c r="H281" s="74">
        <f t="shared" si="36"/>
        <v>4.774</v>
      </c>
      <c r="I281" s="74">
        <f t="shared" si="36"/>
        <v>4.774</v>
      </c>
    </row>
    <row r="282" spans="2:9">
      <c r="B282" s="7" t="str">
        <f t="shared" si="28"/>
        <v>Volksgezondheid, Welzijn en Sport</v>
      </c>
      <c r="C282" s="74">
        <f>SUM(C238:C249)</f>
        <v>143.458</v>
      </c>
      <c r="D282" s="74">
        <f t="shared" ref="D282:I282" si="37">SUM(D238:D249)</f>
        <v>151.25800000000004</v>
      </c>
      <c r="E282" s="74">
        <f t="shared" si="37"/>
        <v>151.29899999999995</v>
      </c>
      <c r="F282" s="74">
        <f t="shared" si="37"/>
        <v>144.916</v>
      </c>
      <c r="G282" s="74">
        <f t="shared" si="37"/>
        <v>137.53200000000001</v>
      </c>
      <c r="H282" s="74">
        <f t="shared" si="37"/>
        <v>123.26</v>
      </c>
      <c r="I282" s="74">
        <f t="shared" si="37"/>
        <v>112.46299999999999</v>
      </c>
    </row>
    <row r="283" spans="2:9">
      <c r="B283" s="1" t="s">
        <v>207</v>
      </c>
      <c r="C283" s="138">
        <f t="shared" ref="C283:I283" si="38">SUM(C273:C282)</f>
        <v>1515.8971022837873</v>
      </c>
      <c r="D283" s="138">
        <f t="shared" si="38"/>
        <v>1598.5801360830567</v>
      </c>
      <c r="E283" s="138">
        <f t="shared" si="38"/>
        <v>1569.2046083310918</v>
      </c>
      <c r="F283" s="138">
        <f t="shared" si="38"/>
        <v>1547.1133264206728</v>
      </c>
      <c r="G283" s="138">
        <f t="shared" si="38"/>
        <v>1493.9364041242179</v>
      </c>
      <c r="H283" s="138">
        <f t="shared" si="38"/>
        <v>1512.0863536114114</v>
      </c>
      <c r="I283" s="138">
        <f t="shared" si="38"/>
        <v>1482.645823158713</v>
      </c>
    </row>
    <row r="285" spans="2:9">
      <c r="B285" s="1" t="s">
        <v>208</v>
      </c>
      <c r="C285" s="1">
        <f>C272</f>
        <v>2016</v>
      </c>
      <c r="D285" s="1">
        <f t="shared" ref="D285:I285" si="39">D272</f>
        <v>2017</v>
      </c>
      <c r="E285" s="1">
        <f t="shared" si="39"/>
        <v>2018</v>
      </c>
      <c r="F285" s="1">
        <f t="shared" si="39"/>
        <v>2019</v>
      </c>
      <c r="G285" s="1">
        <f t="shared" si="39"/>
        <v>2020</v>
      </c>
      <c r="H285" s="1">
        <f t="shared" si="39"/>
        <v>2021</v>
      </c>
      <c r="I285" s="1">
        <f t="shared" si="39"/>
        <v>2022</v>
      </c>
    </row>
    <row r="286" spans="2:9">
      <c r="B286" s="7" t="str">
        <f>B273</f>
        <v>Algemene Zaken</v>
      </c>
      <c r="C286" s="74">
        <f>C256-C273</f>
        <v>0</v>
      </c>
      <c r="D286" s="74">
        <f t="shared" ref="D286:I286" si="40">D256-D273</f>
        <v>0</v>
      </c>
      <c r="E286" s="74">
        <f t="shared" si="40"/>
        <v>0</v>
      </c>
      <c r="F286" s="74">
        <f t="shared" si="40"/>
        <v>0</v>
      </c>
      <c r="G286" s="74">
        <f t="shared" si="40"/>
        <v>0</v>
      </c>
      <c r="H286" s="74">
        <f t="shared" si="40"/>
        <v>0</v>
      </c>
      <c r="I286" s="74">
        <f t="shared" si="40"/>
        <v>0</v>
      </c>
    </row>
    <row r="287" spans="2:9">
      <c r="B287" s="7" t="str">
        <f t="shared" ref="B287:B295" si="41">B274</f>
        <v xml:space="preserve">Buitenlandse Zaken </v>
      </c>
      <c r="C287" s="74">
        <f>SUM(C11)</f>
        <v>0.28000000000000003</v>
      </c>
      <c r="D287" s="74">
        <f t="shared" ref="D287:I287" si="42">SUM(D11)</f>
        <v>0.24199999999999999</v>
      </c>
      <c r="E287" s="74">
        <f t="shared" si="42"/>
        <v>0.24199999999999999</v>
      </c>
      <c r="F287" s="74">
        <f t="shared" si="42"/>
        <v>0.24199999999999999</v>
      </c>
      <c r="G287" s="74">
        <f t="shared" si="42"/>
        <v>0.24199999999999999</v>
      </c>
      <c r="H287" s="74">
        <f t="shared" si="42"/>
        <v>0.24199999999999999</v>
      </c>
      <c r="I287" s="74">
        <f t="shared" si="42"/>
        <v>0.24199999999999999</v>
      </c>
    </row>
    <row r="288" spans="2:9">
      <c r="B288" s="7" t="str">
        <f t="shared" si="41"/>
        <v>Justitie en Veiligheid</v>
      </c>
      <c r="C288" s="74">
        <f>SUM(C19:C20)</f>
        <v>19.336400000000001</v>
      </c>
      <c r="D288" s="74">
        <f t="shared" ref="D288:I288" si="43">SUM(D19:D20)</f>
        <v>16.767616</v>
      </c>
      <c r="E288" s="74">
        <f t="shared" si="43"/>
        <v>16.884688000000001</v>
      </c>
      <c r="F288" s="74">
        <f t="shared" si="43"/>
        <v>16.879504000000001</v>
      </c>
      <c r="G288" s="74">
        <f t="shared" si="43"/>
        <v>16.877344000000001</v>
      </c>
      <c r="H288" s="74">
        <f t="shared" si="43"/>
        <v>16.93552</v>
      </c>
      <c r="I288" s="74">
        <f t="shared" si="43"/>
        <v>16.93552</v>
      </c>
    </row>
    <row r="289" spans="2:9">
      <c r="B289" s="7" t="str">
        <f t="shared" si="41"/>
        <v>Binnenlandse Zaken en Koninkrijksrelaties</v>
      </c>
      <c r="C289" s="74">
        <f t="shared" ref="C289:I289" si="44">C259-C276</f>
        <v>0</v>
      </c>
      <c r="D289" s="74">
        <f t="shared" si="44"/>
        <v>0</v>
      </c>
      <c r="E289" s="74">
        <f t="shared" si="44"/>
        <v>0</v>
      </c>
      <c r="F289" s="74">
        <f t="shared" si="44"/>
        <v>0</v>
      </c>
      <c r="G289" s="74">
        <f t="shared" si="44"/>
        <v>0</v>
      </c>
      <c r="H289" s="74">
        <f t="shared" si="44"/>
        <v>0</v>
      </c>
      <c r="I289" s="74">
        <f t="shared" si="44"/>
        <v>0</v>
      </c>
    </row>
    <row r="290" spans="2:9">
      <c r="B290" s="7" t="str">
        <f t="shared" si="41"/>
        <v>Onderwijs, Cultuur en Wetenschap</v>
      </c>
      <c r="C290" s="74">
        <f>SUM(C32:C50)</f>
        <v>2977.3418402744023</v>
      </c>
      <c r="D290" s="74">
        <f t="shared" ref="D290:I290" si="45">SUM(D32:D50)</f>
        <v>3076.7339112291734</v>
      </c>
      <c r="E290" s="74">
        <f t="shared" si="45"/>
        <v>3073.9040277095646</v>
      </c>
      <c r="F290" s="74">
        <f t="shared" si="45"/>
        <v>3085.8638128788511</v>
      </c>
      <c r="G290" s="74">
        <f t="shared" si="45"/>
        <v>3110.3747038277929</v>
      </c>
      <c r="H290" s="74">
        <f t="shared" si="45"/>
        <v>3132.0379326039119</v>
      </c>
      <c r="I290" s="74">
        <f t="shared" si="45"/>
        <v>3153.5605324807443</v>
      </c>
    </row>
    <row r="291" spans="2:9">
      <c r="B291" s="7" t="str">
        <f t="shared" si="41"/>
        <v>Defensie</v>
      </c>
      <c r="C291" s="74">
        <f>SUM(C67:C68)</f>
        <v>37.545000000000002</v>
      </c>
      <c r="D291" s="74">
        <f t="shared" ref="D291:I291" si="46">SUM(D67:D68)</f>
        <v>37.841000000000001</v>
      </c>
      <c r="E291" s="74">
        <f t="shared" si="46"/>
        <v>37.325000000000003</v>
      </c>
      <c r="F291" s="74">
        <f t="shared" si="46"/>
        <v>37.325000000000003</v>
      </c>
      <c r="G291" s="74">
        <f t="shared" si="46"/>
        <v>37.325000000000003</v>
      </c>
      <c r="H291" s="74">
        <f t="shared" si="46"/>
        <v>37.325000000000003</v>
      </c>
      <c r="I291" s="74">
        <f t="shared" si="46"/>
        <v>37.325000000000003</v>
      </c>
    </row>
    <row r="292" spans="2:9">
      <c r="B292" s="7" t="str">
        <f t="shared" si="41"/>
        <v>Infrastructuur en Waterstaat</v>
      </c>
      <c r="C292" s="74">
        <f>SUM(C75:C92)</f>
        <v>47.457999999999998</v>
      </c>
      <c r="D292" s="74">
        <f t="shared" ref="D292:I292" si="47">SUM(D75:D92)</f>
        <v>48.61</v>
      </c>
      <c r="E292" s="74">
        <f t="shared" si="47"/>
        <v>47.451000000000015</v>
      </c>
      <c r="F292" s="74">
        <f t="shared" si="47"/>
        <v>42.201000000000001</v>
      </c>
      <c r="G292" s="74">
        <f t="shared" si="47"/>
        <v>42.128999999999998</v>
      </c>
      <c r="H292" s="74">
        <f t="shared" si="47"/>
        <v>41.653000000000006</v>
      </c>
      <c r="I292" s="74">
        <f t="shared" si="47"/>
        <v>41.238000000000007</v>
      </c>
    </row>
    <row r="293" spans="2:9">
      <c r="B293" s="7" t="str">
        <f t="shared" si="41"/>
        <v>Economische Zaken en Klimaat</v>
      </c>
      <c r="C293" s="74">
        <f>SUM(C109:C125)</f>
        <v>241.28800000000001</v>
      </c>
      <c r="D293" s="74">
        <f t="shared" ref="D293:I293" si="48">SUM(D109:D125)</f>
        <v>240.44199999999998</v>
      </c>
      <c r="E293" s="74">
        <f t="shared" si="48"/>
        <v>233.45199999999997</v>
      </c>
      <c r="F293" s="74">
        <f t="shared" si="48"/>
        <v>227.26399999999995</v>
      </c>
      <c r="G293" s="74">
        <f t="shared" si="48"/>
        <v>227.35799999999995</v>
      </c>
      <c r="H293" s="74">
        <f t="shared" si="48"/>
        <v>228.29099999999997</v>
      </c>
      <c r="I293" s="74">
        <f t="shared" si="48"/>
        <v>228.29099999999997</v>
      </c>
    </row>
    <row r="294" spans="2:9">
      <c r="B294" s="7" t="str">
        <f t="shared" si="41"/>
        <v>Sociale Zaken en Werkgelegenheid</v>
      </c>
      <c r="C294" s="74">
        <f>SUM(C222)</f>
        <v>3.8159999999999998</v>
      </c>
      <c r="D294" s="74">
        <f t="shared" ref="D294:I294" si="49">SUM(D222)</f>
        <v>3.831</v>
      </c>
      <c r="E294" s="74">
        <f t="shared" si="49"/>
        <v>3.831</v>
      </c>
      <c r="F294" s="74">
        <f t="shared" si="49"/>
        <v>7.5309999999999997</v>
      </c>
      <c r="G294" s="74">
        <f t="shared" si="49"/>
        <v>7.5309999999999997</v>
      </c>
      <c r="H294" s="74">
        <f t="shared" si="49"/>
        <v>7.5309999999999997</v>
      </c>
      <c r="I294" s="74">
        <f t="shared" si="49"/>
        <v>7.5309999999999997</v>
      </c>
    </row>
    <row r="295" spans="2:9">
      <c r="B295" s="7" t="str">
        <f t="shared" si="41"/>
        <v>Volksgezondheid, Welzijn en Sport</v>
      </c>
      <c r="C295" s="74">
        <f>SUM(C230:C237)</f>
        <v>83.081999999999994</v>
      </c>
      <c r="D295" s="74">
        <f t="shared" ref="D295:I295" si="50">SUM(D230:D237)</f>
        <v>84.32</v>
      </c>
      <c r="E295" s="74">
        <f t="shared" si="50"/>
        <v>83.984000000000009</v>
      </c>
      <c r="F295" s="74">
        <f t="shared" si="50"/>
        <v>83.969000000000008</v>
      </c>
      <c r="G295" s="74">
        <f t="shared" si="50"/>
        <v>84.086000000000013</v>
      </c>
      <c r="H295" s="74">
        <f t="shared" si="50"/>
        <v>84.205000000000013</v>
      </c>
      <c r="I295" s="74">
        <f t="shared" si="50"/>
        <v>84.326000000000008</v>
      </c>
    </row>
    <row r="296" spans="2:9">
      <c r="B296" s="1" t="s">
        <v>209</v>
      </c>
      <c r="C296" s="75">
        <f t="shared" ref="C296:I296" si="51">SUM(C286:C295)</f>
        <v>3410.1472402744021</v>
      </c>
      <c r="D296" s="75">
        <f t="shared" si="51"/>
        <v>3508.7875272291735</v>
      </c>
      <c r="E296" s="75">
        <f t="shared" si="51"/>
        <v>3497.0737157095641</v>
      </c>
      <c r="F296" s="75">
        <f t="shared" si="51"/>
        <v>3501.2753168788513</v>
      </c>
      <c r="G296" s="75">
        <f t="shared" si="51"/>
        <v>3525.9230478277932</v>
      </c>
      <c r="H296" s="75">
        <f t="shared" si="51"/>
        <v>3548.2204526039118</v>
      </c>
      <c r="I296" s="75">
        <f t="shared" si="51"/>
        <v>3569.4490524807443</v>
      </c>
    </row>
    <row r="297" spans="2:9">
      <c r="B297" s="123"/>
      <c r="C297" s="123"/>
      <c r="D297" s="123"/>
      <c r="E297" s="123"/>
      <c r="F297" s="123"/>
      <c r="G297" s="123"/>
      <c r="H297" s="123"/>
      <c r="I297" s="123"/>
    </row>
    <row r="298" spans="2:9">
      <c r="B298" s="1" t="s">
        <v>210</v>
      </c>
      <c r="C298" s="1">
        <f>C285</f>
        <v>2016</v>
      </c>
      <c r="D298" s="1">
        <f t="shared" ref="D298:I298" si="52">D285</f>
        <v>2017</v>
      </c>
      <c r="E298" s="1">
        <f t="shared" si="52"/>
        <v>2018</v>
      </c>
      <c r="F298" s="1">
        <f t="shared" si="52"/>
        <v>2019</v>
      </c>
      <c r="G298" s="1">
        <f t="shared" si="52"/>
        <v>2020</v>
      </c>
      <c r="H298" s="1">
        <f t="shared" si="52"/>
        <v>2021</v>
      </c>
      <c r="I298" s="1">
        <f t="shared" si="52"/>
        <v>2022</v>
      </c>
    </row>
    <row r="299" spans="2:9">
      <c r="B299" s="4" t="str">
        <f>B286</f>
        <v>Algemene Zaken</v>
      </c>
      <c r="C299" s="61">
        <f>SUM(C273,C286)</f>
        <v>0.52</v>
      </c>
      <c r="D299" s="61">
        <f t="shared" ref="D299:I299" si="53">SUM(D273,D286)</f>
        <v>0.59399999999999997</v>
      </c>
      <c r="E299" s="61">
        <f t="shared" si="53"/>
        <v>0.59399999999999997</v>
      </c>
      <c r="F299" s="61">
        <f t="shared" si="53"/>
        <v>0.59399999999999997</v>
      </c>
      <c r="G299" s="61">
        <f t="shared" si="53"/>
        <v>0.59399999999999997</v>
      </c>
      <c r="H299" s="61">
        <f t="shared" si="53"/>
        <v>0.59399999999999997</v>
      </c>
      <c r="I299" s="61">
        <f t="shared" si="53"/>
        <v>0.59399999999999997</v>
      </c>
    </row>
    <row r="300" spans="2:9">
      <c r="B300" s="4" t="str">
        <f t="shared" ref="B300:B308" si="54">B287</f>
        <v xml:space="preserve">Buitenlandse Zaken </v>
      </c>
      <c r="C300" s="61">
        <f t="shared" ref="C300:I308" si="55">SUM(C274,C287)</f>
        <v>36.960999999999999</v>
      </c>
      <c r="D300" s="61">
        <f t="shared" si="55"/>
        <v>39.950999999999993</v>
      </c>
      <c r="E300" s="61">
        <f t="shared" si="55"/>
        <v>39.950999999999993</v>
      </c>
      <c r="F300" s="61">
        <f t="shared" si="55"/>
        <v>39.950999999999993</v>
      </c>
      <c r="G300" s="61">
        <f t="shared" si="55"/>
        <v>39.950999999999993</v>
      </c>
      <c r="H300" s="61">
        <f t="shared" si="55"/>
        <v>39.950999999999993</v>
      </c>
      <c r="I300" s="61">
        <f t="shared" si="55"/>
        <v>39.950999999999993</v>
      </c>
    </row>
    <row r="301" spans="2:9">
      <c r="B301" s="4" t="str">
        <f t="shared" si="54"/>
        <v>Justitie en Veiligheid</v>
      </c>
      <c r="C301" s="61">
        <f t="shared" si="55"/>
        <v>24.293400000000002</v>
      </c>
      <c r="D301" s="61">
        <f t="shared" si="55"/>
        <v>22.012616000000001</v>
      </c>
      <c r="E301" s="61">
        <f t="shared" si="55"/>
        <v>22.004688000000002</v>
      </c>
      <c r="F301" s="61">
        <f t="shared" si="55"/>
        <v>21.864504</v>
      </c>
      <c r="G301" s="61">
        <f t="shared" si="55"/>
        <v>21.861344000000003</v>
      </c>
      <c r="H301" s="61">
        <f t="shared" si="55"/>
        <v>21.92052</v>
      </c>
      <c r="I301" s="61">
        <f t="shared" si="55"/>
        <v>21.92352</v>
      </c>
    </row>
    <row r="302" spans="2:9">
      <c r="B302" s="4" t="str">
        <f t="shared" si="54"/>
        <v>Binnenlandse Zaken en Koninkrijksrelaties</v>
      </c>
      <c r="C302" s="61">
        <f t="shared" si="55"/>
        <v>10.089</v>
      </c>
      <c r="D302" s="61">
        <f t="shared" si="55"/>
        <v>10.596</v>
      </c>
      <c r="E302" s="61">
        <f t="shared" si="55"/>
        <v>10.298999999999999</v>
      </c>
      <c r="F302" s="61">
        <f t="shared" si="55"/>
        <v>8.786999999999999</v>
      </c>
      <c r="G302" s="61">
        <f t="shared" si="55"/>
        <v>8.6210000000000004</v>
      </c>
      <c r="H302" s="61">
        <f t="shared" si="55"/>
        <v>10.042</v>
      </c>
      <c r="I302" s="61">
        <f t="shared" si="55"/>
        <v>10.039999999999999</v>
      </c>
    </row>
    <row r="303" spans="2:9">
      <c r="B303" s="4" t="str">
        <f t="shared" si="54"/>
        <v>Onderwijs, Cultuur en Wetenschap</v>
      </c>
      <c r="C303" s="61">
        <f t="shared" si="55"/>
        <v>3677.8489425581897</v>
      </c>
      <c r="D303" s="61">
        <f t="shared" si="55"/>
        <v>3749.4451473122299</v>
      </c>
      <c r="E303" s="61">
        <f t="shared" si="55"/>
        <v>3758.3217360406566</v>
      </c>
      <c r="F303" s="61">
        <f t="shared" si="55"/>
        <v>3766.7562392995242</v>
      </c>
      <c r="G303" s="61">
        <f t="shared" si="55"/>
        <v>3743.1662079520111</v>
      </c>
      <c r="H303" s="61">
        <f t="shared" si="55"/>
        <v>3806.6603862153233</v>
      </c>
      <c r="I303" s="61">
        <f t="shared" si="55"/>
        <v>3829.4578556394576</v>
      </c>
    </row>
    <row r="304" spans="2:9">
      <c r="B304" s="4" t="str">
        <f t="shared" si="54"/>
        <v>Defensie</v>
      </c>
      <c r="C304" s="61">
        <f t="shared" si="55"/>
        <v>61.078000000000003</v>
      </c>
      <c r="D304" s="61">
        <f t="shared" si="55"/>
        <v>62.460999999999999</v>
      </c>
      <c r="E304" s="61">
        <f t="shared" si="55"/>
        <v>61.19</v>
      </c>
      <c r="F304" s="61">
        <f t="shared" si="55"/>
        <v>61.191000000000003</v>
      </c>
      <c r="G304" s="61">
        <f t="shared" si="55"/>
        <v>61.191000000000003</v>
      </c>
      <c r="H304" s="61">
        <f t="shared" si="55"/>
        <v>61.191000000000003</v>
      </c>
      <c r="I304" s="61">
        <f t="shared" si="55"/>
        <v>61.191000000000003</v>
      </c>
    </row>
    <row r="305" spans="2:9">
      <c r="B305" s="4" t="str">
        <f t="shared" si="54"/>
        <v>Infrastructuur en Waterstaat</v>
      </c>
      <c r="C305" s="61">
        <f t="shared" si="55"/>
        <v>70.521999999999991</v>
      </c>
      <c r="D305" s="61">
        <f t="shared" si="55"/>
        <v>76.268000000000001</v>
      </c>
      <c r="E305" s="61">
        <f t="shared" si="55"/>
        <v>78.518000000000015</v>
      </c>
      <c r="F305" s="61">
        <f t="shared" si="55"/>
        <v>62.408999999999999</v>
      </c>
      <c r="G305" s="61">
        <f t="shared" si="55"/>
        <v>63.578000000000003</v>
      </c>
      <c r="H305" s="61">
        <f t="shared" si="55"/>
        <v>64.75200000000001</v>
      </c>
      <c r="I305" s="61">
        <f t="shared" si="55"/>
        <v>62.182000000000009</v>
      </c>
    </row>
    <row r="306" spans="2:9">
      <c r="B306" s="4" t="str">
        <f t="shared" si="54"/>
        <v>Economische Zaken en Klimaat</v>
      </c>
      <c r="C306" s="61">
        <f t="shared" si="55"/>
        <v>810.25999999999988</v>
      </c>
      <c r="D306" s="61">
        <f t="shared" si="55"/>
        <v>899.06790000000001</v>
      </c>
      <c r="E306" s="61">
        <f t="shared" si="55"/>
        <v>851.53890000000001</v>
      </c>
      <c r="F306" s="61">
        <f t="shared" si="55"/>
        <v>845.80790000000002</v>
      </c>
      <c r="G306" s="61">
        <f t="shared" si="55"/>
        <v>846.97389999999984</v>
      </c>
      <c r="H306" s="61">
        <f t="shared" si="55"/>
        <v>835.42589999999973</v>
      </c>
      <c r="I306" s="61">
        <f t="shared" si="55"/>
        <v>817.66149999999971</v>
      </c>
    </row>
    <row r="307" spans="2:9">
      <c r="B307" s="4" t="str">
        <f t="shared" si="54"/>
        <v>Sociale Zaken en Werkgelegenheid</v>
      </c>
      <c r="C307" s="61">
        <f t="shared" si="55"/>
        <v>7.9319999999999995</v>
      </c>
      <c r="D307" s="61">
        <f t="shared" si="55"/>
        <v>11.394</v>
      </c>
      <c r="E307" s="61">
        <f t="shared" si="55"/>
        <v>8.5779999999999994</v>
      </c>
      <c r="F307" s="61">
        <f t="shared" si="55"/>
        <v>12.143000000000001</v>
      </c>
      <c r="G307" s="61">
        <f t="shared" si="55"/>
        <v>12.305</v>
      </c>
      <c r="H307" s="61">
        <f t="shared" si="55"/>
        <v>12.305</v>
      </c>
      <c r="I307" s="61">
        <f t="shared" si="55"/>
        <v>12.305</v>
      </c>
    </row>
    <row r="308" spans="2:9">
      <c r="B308" s="4" t="str">
        <f t="shared" si="54"/>
        <v>Volksgezondheid, Welzijn en Sport</v>
      </c>
      <c r="C308" s="61">
        <f t="shared" si="55"/>
        <v>226.54</v>
      </c>
      <c r="D308" s="61">
        <f t="shared" si="55"/>
        <v>235.57800000000003</v>
      </c>
      <c r="E308" s="61">
        <f t="shared" si="55"/>
        <v>235.28299999999996</v>
      </c>
      <c r="F308" s="61">
        <f t="shared" si="55"/>
        <v>228.88499999999999</v>
      </c>
      <c r="G308" s="61">
        <f t="shared" si="55"/>
        <v>221.61800000000002</v>
      </c>
      <c r="H308" s="61">
        <f t="shared" si="55"/>
        <v>207.46500000000003</v>
      </c>
      <c r="I308" s="61">
        <f t="shared" si="55"/>
        <v>196.78899999999999</v>
      </c>
    </row>
    <row r="309" spans="2:9">
      <c r="B309" s="1" t="s">
        <v>54</v>
      </c>
      <c r="C309" s="58">
        <f t="shared" ref="C309:I309" si="56">SUM(C299:C308)</f>
        <v>4926.0443425581898</v>
      </c>
      <c r="D309" s="58">
        <f t="shared" si="56"/>
        <v>5107.3676633122304</v>
      </c>
      <c r="E309" s="58">
        <f t="shared" si="56"/>
        <v>5066.278324040657</v>
      </c>
      <c r="F309" s="58">
        <f t="shared" si="56"/>
        <v>5048.3886432995241</v>
      </c>
      <c r="G309" s="58">
        <f t="shared" si="56"/>
        <v>5019.8594519520111</v>
      </c>
      <c r="H309" s="58">
        <f t="shared" si="56"/>
        <v>5060.3068062153234</v>
      </c>
      <c r="I309" s="58">
        <f t="shared" si="56"/>
        <v>5052.0948756394564</v>
      </c>
    </row>
    <row r="310" spans="2:9">
      <c r="B310" s="123"/>
      <c r="C310" s="123"/>
      <c r="D310" s="123"/>
      <c r="E310" s="123"/>
      <c r="F310" s="123"/>
      <c r="G310" s="123"/>
      <c r="H310" s="123"/>
      <c r="I310" s="123"/>
    </row>
    <row r="311" spans="2:9">
      <c r="B311" s="1" t="s">
        <v>211</v>
      </c>
      <c r="C311" s="1">
        <f>C298</f>
        <v>2016</v>
      </c>
      <c r="D311" s="1">
        <f t="shared" ref="D311:I311" si="57">D298</f>
        <v>2017</v>
      </c>
      <c r="E311" s="1">
        <f t="shared" si="57"/>
        <v>2018</v>
      </c>
      <c r="F311" s="1">
        <f t="shared" si="57"/>
        <v>2019</v>
      </c>
      <c r="G311" s="1">
        <f t="shared" si="57"/>
        <v>2020</v>
      </c>
      <c r="H311" s="1">
        <f t="shared" si="57"/>
        <v>2021</v>
      </c>
      <c r="I311" s="1">
        <f t="shared" si="57"/>
        <v>2022</v>
      </c>
    </row>
    <row r="312" spans="2:9">
      <c r="B312" s="4" t="str">
        <f>B299</f>
        <v>Algemene Zaken</v>
      </c>
      <c r="C312" s="74">
        <f t="shared" ref="C312:I322" si="58">+C273/C299*100</f>
        <v>100</v>
      </c>
      <c r="D312" s="74">
        <f t="shared" si="58"/>
        <v>100</v>
      </c>
      <c r="E312" s="74">
        <f t="shared" si="58"/>
        <v>100</v>
      </c>
      <c r="F312" s="74">
        <f t="shared" si="58"/>
        <v>100</v>
      </c>
      <c r="G312" s="74">
        <f t="shared" si="58"/>
        <v>100</v>
      </c>
      <c r="H312" s="74">
        <f t="shared" si="58"/>
        <v>100</v>
      </c>
      <c r="I312" s="74">
        <f t="shared" si="58"/>
        <v>100</v>
      </c>
    </row>
    <row r="313" spans="2:9">
      <c r="B313" s="4" t="str">
        <f t="shared" ref="B313:B321" si="59">B300</f>
        <v xml:space="preserve">Buitenlandse Zaken </v>
      </c>
      <c r="C313" s="74">
        <f t="shared" si="58"/>
        <v>99.242444739049262</v>
      </c>
      <c r="D313" s="74">
        <f t="shared" si="58"/>
        <v>99.394257966008368</v>
      </c>
      <c r="E313" s="74">
        <f t="shared" si="58"/>
        <v>99.394257966008368</v>
      </c>
      <c r="F313" s="74">
        <f t="shared" si="58"/>
        <v>99.394257966008368</v>
      </c>
      <c r="G313" s="74">
        <f t="shared" si="58"/>
        <v>99.394257966008368</v>
      </c>
      <c r="H313" s="74">
        <f t="shared" si="58"/>
        <v>99.394257966008368</v>
      </c>
      <c r="I313" s="74">
        <f t="shared" si="58"/>
        <v>99.394257966008368</v>
      </c>
    </row>
    <row r="314" spans="2:9">
      <c r="B314" s="4" t="str">
        <f t="shared" si="59"/>
        <v>Justitie en Veiligheid</v>
      </c>
      <c r="C314" s="74">
        <f t="shared" si="58"/>
        <v>20.404718977170756</v>
      </c>
      <c r="D314" s="74">
        <f t="shared" si="58"/>
        <v>23.827245248815494</v>
      </c>
      <c r="E314" s="74">
        <f t="shared" si="58"/>
        <v>23.267769122652407</v>
      </c>
      <c r="F314" s="74">
        <f t="shared" si="58"/>
        <v>22.799511024809892</v>
      </c>
      <c r="G314" s="74">
        <f t="shared" si="58"/>
        <v>22.798232350215976</v>
      </c>
      <c r="H314" s="74">
        <f t="shared" si="58"/>
        <v>22.741248838987392</v>
      </c>
      <c r="I314" s="74">
        <f t="shared" si="58"/>
        <v>22.751820875479854</v>
      </c>
    </row>
    <row r="315" spans="2:9">
      <c r="B315" s="4" t="str">
        <f t="shared" si="59"/>
        <v>Binnenlandse Zaken en Koninkrijksrelaties</v>
      </c>
      <c r="C315" s="74">
        <f t="shared" si="58"/>
        <v>100</v>
      </c>
      <c r="D315" s="74">
        <f t="shared" si="58"/>
        <v>100</v>
      </c>
      <c r="E315" s="74">
        <f t="shared" si="58"/>
        <v>100</v>
      </c>
      <c r="F315" s="74">
        <f t="shared" si="58"/>
        <v>100</v>
      </c>
      <c r="G315" s="74">
        <f t="shared" si="58"/>
        <v>100</v>
      </c>
      <c r="H315" s="74">
        <f t="shared" si="58"/>
        <v>100</v>
      </c>
      <c r="I315" s="74">
        <f t="shared" si="58"/>
        <v>100</v>
      </c>
    </row>
    <row r="316" spans="2:9">
      <c r="B316" s="4" t="str">
        <f t="shared" si="59"/>
        <v>Onderwijs, Cultuur en Wetenschap</v>
      </c>
      <c r="C316" s="74">
        <f t="shared" si="58"/>
        <v>19.046652356432507</v>
      </c>
      <c r="D316" s="74">
        <f t="shared" si="58"/>
        <v>17.941620950643486</v>
      </c>
      <c r="E316" s="74">
        <f t="shared" si="58"/>
        <v>18.210726925473843</v>
      </c>
      <c r="F316" s="74">
        <f t="shared" si="58"/>
        <v>18.076360219882275</v>
      </c>
      <c r="G316" s="74">
        <f t="shared" si="58"/>
        <v>16.905247295188524</v>
      </c>
      <c r="H316" s="74">
        <f t="shared" si="58"/>
        <v>17.722160244563817</v>
      </c>
      <c r="I316" s="74">
        <f t="shared" si="58"/>
        <v>17.649948077202417</v>
      </c>
    </row>
    <row r="317" spans="2:9">
      <c r="B317" s="4" t="str">
        <f t="shared" si="59"/>
        <v>Defensie</v>
      </c>
      <c r="C317" s="74">
        <f t="shared" si="58"/>
        <v>38.529421395592522</v>
      </c>
      <c r="D317" s="74">
        <f t="shared" si="58"/>
        <v>39.416595955876467</v>
      </c>
      <c r="E317" s="74">
        <f t="shared" si="58"/>
        <v>39.00147082856676</v>
      </c>
      <c r="F317" s="74">
        <f t="shared" si="58"/>
        <v>39.00246768315602</v>
      </c>
      <c r="G317" s="74">
        <f t="shared" si="58"/>
        <v>39.00246768315602</v>
      </c>
      <c r="H317" s="74">
        <f t="shared" si="58"/>
        <v>39.00246768315602</v>
      </c>
      <c r="I317" s="74">
        <f t="shared" si="58"/>
        <v>39.00246768315602</v>
      </c>
    </row>
    <row r="318" spans="2:9">
      <c r="B318" s="4" t="str">
        <f t="shared" si="59"/>
        <v>Infrastructuur en Waterstaat</v>
      </c>
      <c r="C318" s="74">
        <f t="shared" si="58"/>
        <v>32.704687898811727</v>
      </c>
      <c r="D318" s="74">
        <f t="shared" si="58"/>
        <v>36.264226149892494</v>
      </c>
      <c r="E318" s="74">
        <f t="shared" si="58"/>
        <v>39.566723553834784</v>
      </c>
      <c r="F318" s="74">
        <f t="shared" si="58"/>
        <v>32.379945200211509</v>
      </c>
      <c r="G318" s="74">
        <f t="shared" si="58"/>
        <v>33.736512630155083</v>
      </c>
      <c r="H318" s="74">
        <f t="shared" si="58"/>
        <v>35.673029404497157</v>
      </c>
      <c r="I318" s="74">
        <f t="shared" si="58"/>
        <v>33.681772860313274</v>
      </c>
    </row>
    <row r="319" spans="2:9">
      <c r="B319" s="4" t="str">
        <f t="shared" si="59"/>
        <v>Economische Zaken en Klimaat</v>
      </c>
      <c r="C319" s="74">
        <f t="shared" si="58"/>
        <v>70.220916742773923</v>
      </c>
      <c r="D319" s="74">
        <f t="shared" si="58"/>
        <v>73.256524896506704</v>
      </c>
      <c r="E319" s="74">
        <f t="shared" si="58"/>
        <v>72.584693429742316</v>
      </c>
      <c r="F319" s="74">
        <f t="shared" si="58"/>
        <v>73.13054181688301</v>
      </c>
      <c r="G319" s="74">
        <f t="shared" si="58"/>
        <v>73.156433746069396</v>
      </c>
      <c r="H319" s="74">
        <f t="shared" si="58"/>
        <v>72.67369852909755</v>
      </c>
      <c r="I319" s="74">
        <f t="shared" si="58"/>
        <v>72.080011104839841</v>
      </c>
    </row>
    <row r="320" spans="2:9">
      <c r="B320" s="4" t="str">
        <f t="shared" si="59"/>
        <v>Sociale Zaken en Werkgelegenheid</v>
      </c>
      <c r="C320" s="74">
        <f t="shared" si="58"/>
        <v>51.891074130105899</v>
      </c>
      <c r="D320" s="74">
        <f t="shared" si="58"/>
        <v>66.377040547656662</v>
      </c>
      <c r="E320" s="74">
        <f t="shared" si="58"/>
        <v>55.339239916064351</v>
      </c>
      <c r="F320" s="74">
        <f t="shared" si="58"/>
        <v>37.980729638474841</v>
      </c>
      <c r="G320" s="74">
        <f t="shared" si="58"/>
        <v>38.797236895570904</v>
      </c>
      <c r="H320" s="74">
        <f t="shared" si="58"/>
        <v>38.797236895570904</v>
      </c>
      <c r="I320" s="74">
        <f t="shared" si="58"/>
        <v>38.797236895570904</v>
      </c>
    </row>
    <row r="321" spans="2:9">
      <c r="B321" s="4" t="str">
        <f t="shared" si="59"/>
        <v>Volksgezondheid, Welzijn en Sport</v>
      </c>
      <c r="C321" s="74">
        <f t="shared" si="58"/>
        <v>63.325681998764018</v>
      </c>
      <c r="D321" s="74">
        <f t="shared" si="58"/>
        <v>64.207184032464838</v>
      </c>
      <c r="E321" s="74">
        <f t="shared" si="58"/>
        <v>64.305113416608933</v>
      </c>
      <c r="F321" s="74">
        <f t="shared" si="58"/>
        <v>63.313891255433951</v>
      </c>
      <c r="G321" s="74">
        <f t="shared" si="58"/>
        <v>62.05813607197971</v>
      </c>
      <c r="H321" s="74">
        <f t="shared" si="58"/>
        <v>59.412431012459919</v>
      </c>
      <c r="I321" s="74">
        <f t="shared" si="58"/>
        <v>57.149027638739966</v>
      </c>
    </row>
    <row r="322" spans="2:9">
      <c r="B322" s="1" t="s">
        <v>54</v>
      </c>
      <c r="C322" s="138">
        <f t="shared" si="58"/>
        <v>30.773111179436778</v>
      </c>
      <c r="D322" s="138">
        <f t="shared" si="58"/>
        <v>31.299492056664381</v>
      </c>
      <c r="E322" s="138">
        <f t="shared" si="58"/>
        <v>30.973517599395489</v>
      </c>
      <c r="F322" s="138">
        <f t="shared" si="58"/>
        <v>30.645685895718021</v>
      </c>
      <c r="G322" s="138">
        <f t="shared" si="58"/>
        <v>29.7605225489588</v>
      </c>
      <c r="H322" s="138">
        <f t="shared" si="58"/>
        <v>29.881317704969803</v>
      </c>
      <c r="I322" s="138">
        <f t="shared" si="58"/>
        <v>29.347149245114895</v>
      </c>
    </row>
  </sheetData>
  <pageMargins left="0.70866141732283472" right="0.70866141732283472" top="0.74803149606299213" bottom="0.74803149606299213" header="0.31496062992125984" footer="0.31496062992125984"/>
  <pageSetup paperSize="9" scale="80" orientation="landscape" verticalDpi="0" r:id="rId1"/>
  <rowBreaks count="6" manualBreakCount="6">
    <brk id="30" max="16383" man="1"/>
    <brk id="73" max="16383" man="1"/>
    <brk id="106" max="16383" man="1"/>
    <brk id="228" max="16383" man="1"/>
    <brk id="269" max="16383" man="1"/>
    <brk id="310" max="16383" man="1"/>
  </rowBreaks>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heetViews>
  <sheetFormatPr defaultRowHeight="15" customHeight="1"/>
  <cols>
    <col min="1" max="1" width="4.85546875" style="137" customWidth="1"/>
    <col min="2" max="2" width="100.5703125" style="137" customWidth="1"/>
    <col min="3" max="9" width="11.7109375" style="137" customWidth="1"/>
    <col min="10" max="16384" width="9.140625" style="137"/>
  </cols>
  <sheetData>
    <row r="1" spans="1:17" ht="15" customHeight="1">
      <c r="A1" s="179" t="s">
        <v>308</v>
      </c>
      <c r="B1" s="176"/>
      <c r="C1" s="109"/>
      <c r="D1" s="109"/>
      <c r="E1" s="109"/>
      <c r="F1" s="109"/>
      <c r="G1" s="109"/>
      <c r="H1" s="109"/>
      <c r="I1" s="109"/>
    </row>
    <row r="2" spans="1:17" ht="15" customHeight="1">
      <c r="A2" s="179"/>
      <c r="B2" s="176"/>
      <c r="C2" s="109"/>
      <c r="D2" s="109"/>
      <c r="E2" s="109"/>
      <c r="F2" s="109"/>
      <c r="G2" s="109"/>
      <c r="H2" s="109"/>
      <c r="I2" s="109"/>
    </row>
    <row r="3" spans="1:17" ht="15" customHeight="1">
      <c r="A3" s="181"/>
      <c r="B3" s="181"/>
      <c r="C3" s="38">
        <f>Type!C4</f>
        <v>2016</v>
      </c>
      <c r="D3" s="38">
        <f>Type!D4</f>
        <v>2017</v>
      </c>
      <c r="E3" s="38">
        <f>Type!E4</f>
        <v>2018</v>
      </c>
      <c r="F3" s="38">
        <f>Type!F4</f>
        <v>2019</v>
      </c>
      <c r="G3" s="38">
        <f>Type!G4</f>
        <v>2020</v>
      </c>
      <c r="H3" s="38">
        <f>Type!H4</f>
        <v>2021</v>
      </c>
      <c r="I3" s="38">
        <f>Type!I4</f>
        <v>2022</v>
      </c>
    </row>
    <row r="4" spans="1:17" ht="15" customHeight="1">
      <c r="A4" s="109">
        <v>1</v>
      </c>
      <c r="B4" s="109" t="s">
        <v>117</v>
      </c>
      <c r="C4" s="188">
        <v>46</v>
      </c>
      <c r="D4" s="188">
        <v>49.522000000000006</v>
      </c>
      <c r="E4" s="188">
        <v>49.707000000000001</v>
      </c>
      <c r="F4" s="188">
        <v>48.393999999999998</v>
      </c>
      <c r="G4" s="188">
        <v>48.756999999999998</v>
      </c>
      <c r="H4" s="188">
        <v>50.184000000000005</v>
      </c>
      <c r="I4" s="188">
        <v>50.182000000000002</v>
      </c>
      <c r="K4" s="180"/>
      <c r="L4" s="180"/>
      <c r="M4" s="180"/>
      <c r="N4" s="180"/>
      <c r="O4" s="180"/>
      <c r="P4" s="180"/>
      <c r="Q4" s="180"/>
    </row>
    <row r="5" spans="1:17" ht="15" customHeight="1">
      <c r="A5" s="109">
        <v>2</v>
      </c>
      <c r="B5" s="109" t="s">
        <v>131</v>
      </c>
      <c r="C5" s="188">
        <v>29.039000000000001</v>
      </c>
      <c r="D5" s="188">
        <v>30.269000000000002</v>
      </c>
      <c r="E5" s="188">
        <v>29.108000000000001</v>
      </c>
      <c r="F5" s="188">
        <v>24.262999999999998</v>
      </c>
      <c r="G5" s="188">
        <v>24.271999999999998</v>
      </c>
      <c r="H5" s="188">
        <v>24.435000000000002</v>
      </c>
      <c r="I5" s="188">
        <v>24.270000000000003</v>
      </c>
      <c r="K5" s="180"/>
      <c r="L5" s="180"/>
      <c r="M5" s="180"/>
      <c r="N5" s="180"/>
      <c r="O5" s="180"/>
      <c r="P5" s="180"/>
      <c r="Q5" s="180"/>
    </row>
    <row r="6" spans="1:17" ht="15" customHeight="1">
      <c r="A6" s="109">
        <v>3</v>
      </c>
      <c r="B6" s="109" t="s">
        <v>103</v>
      </c>
      <c r="C6" s="188">
        <v>142.702</v>
      </c>
      <c r="D6" s="188">
        <v>103.29400000000001</v>
      </c>
      <c r="E6" s="188">
        <v>116.71299999999999</v>
      </c>
      <c r="F6" s="188">
        <v>117.21300000000001</v>
      </c>
      <c r="G6" s="188">
        <v>117.36000000000001</v>
      </c>
      <c r="H6" s="188">
        <v>117.02000000000001</v>
      </c>
      <c r="I6" s="188">
        <v>117.02000000000001</v>
      </c>
      <c r="K6" s="180"/>
      <c r="L6" s="180"/>
      <c r="M6" s="180"/>
      <c r="N6" s="180"/>
      <c r="O6" s="180"/>
      <c r="P6" s="180"/>
      <c r="Q6" s="180"/>
    </row>
    <row r="7" spans="1:17" ht="15" customHeight="1">
      <c r="A7" s="109">
        <v>4</v>
      </c>
      <c r="B7" s="109" t="s">
        <v>363</v>
      </c>
      <c r="C7" s="188">
        <v>75.991</v>
      </c>
      <c r="D7" s="188">
        <v>77.636999999999986</v>
      </c>
      <c r="E7" s="188">
        <v>81.003999999999976</v>
      </c>
      <c r="F7" s="188">
        <v>68.646000000000001</v>
      </c>
      <c r="G7" s="188">
        <v>69.986999999999981</v>
      </c>
      <c r="H7" s="188">
        <v>71.211999999999989</v>
      </c>
      <c r="I7" s="188">
        <v>68.686999999999998</v>
      </c>
      <c r="K7" s="180"/>
      <c r="L7" s="180"/>
      <c r="M7" s="180"/>
      <c r="N7" s="180"/>
      <c r="O7" s="180"/>
      <c r="P7" s="180"/>
      <c r="Q7" s="180"/>
    </row>
    <row r="8" spans="1:17" ht="15" customHeight="1">
      <c r="A8" s="109">
        <v>5</v>
      </c>
      <c r="B8" s="109" t="s">
        <v>185</v>
      </c>
      <c r="C8" s="188">
        <v>104.732</v>
      </c>
      <c r="D8" s="188">
        <v>142.43800000000002</v>
      </c>
      <c r="E8" s="188">
        <v>126.25900000000003</v>
      </c>
      <c r="F8" s="188">
        <v>123.68699999999998</v>
      </c>
      <c r="G8" s="188">
        <v>129.40800000000002</v>
      </c>
      <c r="H8" s="188">
        <v>118.88500000000002</v>
      </c>
      <c r="I8" s="188">
        <v>114.76000000000002</v>
      </c>
      <c r="K8" s="180"/>
      <c r="L8" s="180"/>
      <c r="M8" s="180"/>
      <c r="N8" s="180"/>
      <c r="O8" s="180"/>
      <c r="P8" s="180"/>
      <c r="Q8" s="180"/>
    </row>
    <row r="9" spans="1:17" ht="15" customHeight="1">
      <c r="A9" s="109">
        <v>6</v>
      </c>
      <c r="B9" s="109" t="s">
        <v>186</v>
      </c>
      <c r="C9" s="188">
        <v>293.37799999999993</v>
      </c>
      <c r="D9" s="188">
        <v>360.56300000000005</v>
      </c>
      <c r="E9" s="188">
        <v>334.37199999999996</v>
      </c>
      <c r="F9" s="188">
        <v>338.05399999999992</v>
      </c>
      <c r="G9" s="188">
        <v>339.06900000000002</v>
      </c>
      <c r="H9" s="188">
        <v>338.44499999999994</v>
      </c>
      <c r="I9" s="188">
        <v>330.96199999999999</v>
      </c>
      <c r="K9" s="180"/>
      <c r="L9" s="180"/>
      <c r="M9" s="180"/>
      <c r="N9" s="180"/>
      <c r="O9" s="180"/>
      <c r="P9" s="180"/>
      <c r="Q9" s="180"/>
    </row>
    <row r="10" spans="1:17" ht="15" customHeight="1">
      <c r="A10" s="109">
        <v>7</v>
      </c>
      <c r="B10" s="109" t="s">
        <v>107</v>
      </c>
      <c r="C10" s="188">
        <v>216.70400000000001</v>
      </c>
      <c r="D10" s="188">
        <v>230.24299999999997</v>
      </c>
      <c r="E10" s="188">
        <v>232.28200000000001</v>
      </c>
      <c r="F10" s="188">
        <v>230.41200000000001</v>
      </c>
      <c r="G10" s="188">
        <v>223.679</v>
      </c>
      <c r="H10" s="188">
        <v>209.40799999999999</v>
      </c>
      <c r="I10" s="188">
        <v>198.61099999999999</v>
      </c>
      <c r="K10" s="180"/>
      <c r="L10" s="180"/>
      <c r="M10" s="180"/>
      <c r="N10" s="180"/>
      <c r="O10" s="180"/>
      <c r="P10" s="180"/>
      <c r="Q10" s="180"/>
    </row>
    <row r="11" spans="1:17" ht="15" customHeight="1">
      <c r="A11" s="109">
        <v>8</v>
      </c>
      <c r="B11" s="109" t="s">
        <v>238</v>
      </c>
      <c r="C11" s="188">
        <v>104.84</v>
      </c>
      <c r="D11" s="188">
        <v>105.12299999999998</v>
      </c>
      <c r="E11" s="188">
        <v>92.742999999999981</v>
      </c>
      <c r="F11" s="188">
        <v>92.625999999999991</v>
      </c>
      <c r="G11" s="188">
        <v>93.548999999999978</v>
      </c>
      <c r="H11" s="188">
        <v>94.267999999999986</v>
      </c>
      <c r="I11" s="188">
        <v>85.740000000000009</v>
      </c>
      <c r="K11" s="180"/>
      <c r="L11" s="180"/>
      <c r="M11" s="180"/>
      <c r="N11" s="180"/>
      <c r="O11" s="180"/>
      <c r="P11" s="180"/>
      <c r="Q11" s="180"/>
    </row>
    <row r="12" spans="1:17" ht="15" customHeight="1">
      <c r="A12" s="109">
        <v>9</v>
      </c>
      <c r="B12" s="109" t="s">
        <v>114</v>
      </c>
      <c r="C12" s="188">
        <v>25.858000000000001</v>
      </c>
      <c r="D12" s="188">
        <v>26.957000000000001</v>
      </c>
      <c r="E12" s="188">
        <v>25.101000000000003</v>
      </c>
      <c r="F12" s="188">
        <v>23.398</v>
      </c>
      <c r="G12" s="188">
        <v>22.592000000000002</v>
      </c>
      <c r="H12" s="188">
        <v>19.682000000000002</v>
      </c>
      <c r="I12" s="188">
        <v>19.682000000000002</v>
      </c>
      <c r="K12" s="180"/>
      <c r="L12" s="180"/>
      <c r="M12" s="180"/>
      <c r="N12" s="180"/>
      <c r="O12" s="180"/>
      <c r="P12" s="180"/>
      <c r="Q12" s="180"/>
    </row>
    <row r="13" spans="1:17" ht="15" customHeight="1">
      <c r="A13" s="109">
        <v>10</v>
      </c>
      <c r="B13" s="109" t="s">
        <v>71</v>
      </c>
      <c r="C13" s="188">
        <v>22.846</v>
      </c>
      <c r="D13" s="188">
        <v>21.326000000000001</v>
      </c>
      <c r="E13" s="188">
        <v>21.108000000000001</v>
      </c>
      <c r="F13" s="188">
        <v>20.818000000000001</v>
      </c>
      <c r="G13" s="188">
        <v>20.979000000000003</v>
      </c>
      <c r="H13" s="188">
        <v>20.979000000000003</v>
      </c>
      <c r="I13" s="188">
        <v>19.938000000000002</v>
      </c>
      <c r="K13" s="180"/>
      <c r="L13" s="180"/>
      <c r="M13" s="180"/>
      <c r="N13" s="180"/>
      <c r="O13" s="180"/>
      <c r="P13" s="180"/>
      <c r="Q13" s="180"/>
    </row>
    <row r="14" spans="1:17" ht="15" customHeight="1">
      <c r="A14" s="109">
        <v>11</v>
      </c>
      <c r="B14" s="109" t="s">
        <v>239</v>
      </c>
      <c r="C14" s="188">
        <v>83.075000000000017</v>
      </c>
      <c r="D14" s="188">
        <v>87.044000000000025</v>
      </c>
      <c r="E14" s="188">
        <v>82.08</v>
      </c>
      <c r="F14" s="188">
        <v>81.019000000000005</v>
      </c>
      <c r="G14" s="188">
        <v>81.293999999999997</v>
      </c>
      <c r="H14" s="188">
        <v>81.472999999999999</v>
      </c>
      <c r="I14" s="188">
        <v>81.597000000000008</v>
      </c>
      <c r="K14" s="180"/>
      <c r="L14" s="180"/>
      <c r="M14" s="180"/>
      <c r="N14" s="180"/>
      <c r="O14" s="180"/>
      <c r="P14" s="180"/>
      <c r="Q14" s="180"/>
    </row>
    <row r="15" spans="1:17" ht="15" customHeight="1">
      <c r="A15" s="109">
        <v>12</v>
      </c>
      <c r="B15" s="183" t="s">
        <v>240</v>
      </c>
      <c r="C15" s="188">
        <v>2768.2069999999999</v>
      </c>
      <c r="D15" s="188">
        <v>2844.5950000000003</v>
      </c>
      <c r="E15" s="188">
        <v>2835.9459999999999</v>
      </c>
      <c r="F15" s="188">
        <v>2848.3729999999996</v>
      </c>
      <c r="G15" s="188">
        <v>2869.9459999999995</v>
      </c>
      <c r="H15" s="188">
        <v>2894.61</v>
      </c>
      <c r="I15" s="188">
        <v>2917.1309999999999</v>
      </c>
      <c r="K15" s="180"/>
      <c r="L15" s="180"/>
      <c r="M15" s="180"/>
      <c r="N15" s="180"/>
      <c r="O15" s="180"/>
      <c r="P15" s="180"/>
      <c r="Q15" s="180"/>
    </row>
    <row r="16" spans="1:17">
      <c r="A16" s="109">
        <v>13</v>
      </c>
      <c r="B16" s="183" t="s">
        <v>242</v>
      </c>
      <c r="C16" s="188">
        <v>951.59400000000005</v>
      </c>
      <c r="D16" s="188">
        <v>965.89499999999975</v>
      </c>
      <c r="E16" s="188">
        <v>978.6629999999999</v>
      </c>
      <c r="F16" s="188">
        <v>970.29500000000007</v>
      </c>
      <c r="G16" s="188">
        <v>917.77599999999995</v>
      </c>
      <c r="H16" s="188">
        <v>958.51699999999983</v>
      </c>
      <c r="I16" s="188">
        <v>962.32599999999979</v>
      </c>
      <c r="K16" s="180"/>
      <c r="L16" s="180"/>
      <c r="M16" s="180"/>
      <c r="N16" s="180"/>
      <c r="O16" s="180"/>
      <c r="P16" s="180"/>
      <c r="Q16" s="180"/>
    </row>
    <row r="17" spans="1:17" ht="15" customHeight="1">
      <c r="A17" s="109">
        <v>14</v>
      </c>
      <c r="B17" s="109" t="s">
        <v>57</v>
      </c>
      <c r="C17" s="188">
        <v>61.078000000000003</v>
      </c>
      <c r="D17" s="188">
        <v>62.460999999999999</v>
      </c>
      <c r="E17" s="188">
        <v>61.190000000000005</v>
      </c>
      <c r="F17" s="188">
        <v>61.191000000000003</v>
      </c>
      <c r="G17" s="188">
        <v>61.191000000000003</v>
      </c>
      <c r="H17" s="188">
        <v>61.191000000000003</v>
      </c>
      <c r="I17" s="188">
        <v>61.191000000000003</v>
      </c>
      <c r="K17" s="180"/>
      <c r="L17" s="180"/>
      <c r="M17" s="180"/>
      <c r="N17" s="180"/>
      <c r="O17" s="180"/>
      <c r="P17" s="180"/>
      <c r="Q17" s="180"/>
    </row>
    <row r="18" spans="1:17" s="124" customFormat="1" ht="15" customHeight="1">
      <c r="A18" s="38"/>
      <c r="B18" s="38" t="s">
        <v>157</v>
      </c>
      <c r="C18" s="185">
        <f t="shared" ref="C18:I18" si="0">SUM(C4:C17)</f>
        <v>4926.0440000000008</v>
      </c>
      <c r="D18" s="185">
        <f t="shared" si="0"/>
        <v>5107.3670000000002</v>
      </c>
      <c r="E18" s="185">
        <f t="shared" si="0"/>
        <v>5066.2759999999989</v>
      </c>
      <c r="F18" s="185">
        <f t="shared" si="0"/>
        <v>5048.3889999999992</v>
      </c>
      <c r="G18" s="185">
        <f t="shared" si="0"/>
        <v>5019.8589999999995</v>
      </c>
      <c r="H18" s="185">
        <f t="shared" si="0"/>
        <v>5060.3090000000002</v>
      </c>
      <c r="I18" s="185">
        <f t="shared" si="0"/>
        <v>5052.0969999999998</v>
      </c>
    </row>
    <row r="19" spans="1:17" ht="15" customHeight="1">
      <c r="C19" s="189"/>
      <c r="D19" s="189"/>
      <c r="E19" s="189"/>
      <c r="F19" s="189"/>
      <c r="G19" s="189"/>
      <c r="H19" s="189"/>
      <c r="I19" s="189"/>
      <c r="K19" s="186"/>
      <c r="L19" s="186"/>
      <c r="M19" s="186"/>
      <c r="N19" s="186"/>
      <c r="O19" s="186"/>
      <c r="P19" s="186"/>
      <c r="Q19" s="186"/>
    </row>
    <row r="20" spans="1:17" s="109" customFormat="1" ht="15" customHeight="1">
      <c r="B20" s="38" t="s">
        <v>356</v>
      </c>
      <c r="C20" s="38">
        <f>C3</f>
        <v>2016</v>
      </c>
      <c r="D20" s="38">
        <f t="shared" ref="D20:I20" si="1">D3</f>
        <v>2017</v>
      </c>
      <c r="E20" s="38">
        <f t="shared" si="1"/>
        <v>2018</v>
      </c>
      <c r="F20" s="38">
        <f t="shared" si="1"/>
        <v>2019</v>
      </c>
      <c r="G20" s="38">
        <f t="shared" si="1"/>
        <v>2020</v>
      </c>
      <c r="H20" s="38">
        <f t="shared" si="1"/>
        <v>2021</v>
      </c>
      <c r="I20" s="38">
        <f t="shared" si="1"/>
        <v>2022</v>
      </c>
    </row>
    <row r="21" spans="1:17" s="109" customFormat="1" ht="15" customHeight="1">
      <c r="A21" s="109">
        <v>1</v>
      </c>
      <c r="B21" s="109" t="s">
        <v>117</v>
      </c>
      <c r="C21" s="182">
        <f>+C4/C$18*100</f>
        <v>0.93381220305786949</v>
      </c>
      <c r="D21" s="182">
        <f t="shared" ref="D21:I21" si="2">+D4/D$18*100</f>
        <v>0.96961898371509236</v>
      </c>
      <c r="E21" s="182">
        <f t="shared" si="2"/>
        <v>0.98113486118798132</v>
      </c>
      <c r="F21" s="182">
        <f t="shared" si="2"/>
        <v>0.95860283349797348</v>
      </c>
      <c r="G21" s="182">
        <f t="shared" si="2"/>
        <v>0.97128226111530236</v>
      </c>
      <c r="H21" s="182">
        <f t="shared" si="2"/>
        <v>0.99171809468552219</v>
      </c>
      <c r="I21" s="182">
        <f t="shared" si="2"/>
        <v>0.99329050887186054</v>
      </c>
    </row>
    <row r="22" spans="1:17" s="109" customFormat="1" ht="15" customHeight="1">
      <c r="A22" s="109">
        <v>2</v>
      </c>
      <c r="B22" s="109" t="s">
        <v>131</v>
      </c>
      <c r="C22" s="182">
        <f t="shared" ref="C22:I22" si="3">+C5/C$18*100</f>
        <v>0.58949940357820596</v>
      </c>
      <c r="D22" s="182">
        <f t="shared" si="3"/>
        <v>0.59265370982739241</v>
      </c>
      <c r="E22" s="182">
        <f t="shared" si="3"/>
        <v>0.57454430038947757</v>
      </c>
      <c r="F22" s="182">
        <f t="shared" si="3"/>
        <v>0.48060876449893231</v>
      </c>
      <c r="G22" s="182">
        <f t="shared" si="3"/>
        <v>0.48351955702341443</v>
      </c>
      <c r="H22" s="182">
        <f t="shared" si="3"/>
        <v>0.48287565047905173</v>
      </c>
      <c r="I22" s="182">
        <f t="shared" si="3"/>
        <v>0.48039457674704195</v>
      </c>
    </row>
    <row r="23" spans="1:17" s="109" customFormat="1" ht="15" customHeight="1">
      <c r="A23" s="109">
        <v>3</v>
      </c>
      <c r="B23" s="109" t="s">
        <v>103</v>
      </c>
      <c r="C23" s="182">
        <f t="shared" ref="C23:I23" si="4">+C6/C$18*100</f>
        <v>2.8968884565383495</v>
      </c>
      <c r="D23" s="182">
        <f t="shared" si="4"/>
        <v>2.0224510985797575</v>
      </c>
      <c r="E23" s="182">
        <f t="shared" si="4"/>
        <v>2.3037236818523117</v>
      </c>
      <c r="F23" s="182">
        <f t="shared" si="4"/>
        <v>2.3217901790056201</v>
      </c>
      <c r="G23" s="182">
        <f t="shared" si="4"/>
        <v>2.3379142720940971</v>
      </c>
      <c r="H23" s="182">
        <f t="shared" si="4"/>
        <v>2.3125070030308428</v>
      </c>
      <c r="I23" s="182">
        <f t="shared" si="4"/>
        <v>2.3162658990910114</v>
      </c>
    </row>
    <row r="24" spans="1:17" s="109" customFormat="1" ht="15" customHeight="1">
      <c r="A24" s="109">
        <v>4</v>
      </c>
      <c r="B24" s="109" t="s">
        <v>363</v>
      </c>
      <c r="C24" s="182">
        <f t="shared" ref="C24:I24" si="5">+C7/C$18*100</f>
        <v>1.5426374591863163</v>
      </c>
      <c r="D24" s="182">
        <f t="shared" si="5"/>
        <v>1.520098320719854</v>
      </c>
      <c r="E24" s="182">
        <f t="shared" si="5"/>
        <v>1.5988864404544876</v>
      </c>
      <c r="F24" s="182">
        <f t="shared" si="5"/>
        <v>1.3597605097388494</v>
      </c>
      <c r="G24" s="182">
        <f t="shared" si="5"/>
        <v>1.3942025064847436</v>
      </c>
      <c r="H24" s="182">
        <f t="shared" si="5"/>
        <v>1.4072658408804677</v>
      </c>
      <c r="I24" s="182">
        <f t="shared" si="5"/>
        <v>1.3595740541007031</v>
      </c>
    </row>
    <row r="25" spans="1:17" s="109" customFormat="1" ht="15" customHeight="1">
      <c r="A25" s="109">
        <v>5</v>
      </c>
      <c r="B25" s="109" t="s">
        <v>185</v>
      </c>
      <c r="C25" s="182">
        <f t="shared" ref="C25:I25" si="6">+C8/C$18*100</f>
        <v>2.1260873837099301</v>
      </c>
      <c r="D25" s="182">
        <f t="shared" si="6"/>
        <v>2.7888734058077285</v>
      </c>
      <c r="E25" s="182">
        <f t="shared" si="6"/>
        <v>2.492146104949672</v>
      </c>
      <c r="F25" s="182">
        <f t="shared" si="6"/>
        <v>2.4500291082957357</v>
      </c>
      <c r="G25" s="182">
        <f t="shared" si="6"/>
        <v>2.5779210133192989</v>
      </c>
      <c r="H25" s="182">
        <f t="shared" si="6"/>
        <v>2.3493624598814029</v>
      </c>
      <c r="I25" s="182">
        <f t="shared" si="6"/>
        <v>2.2715319994845711</v>
      </c>
    </row>
    <row r="26" spans="1:17" s="109" customFormat="1" ht="15" customHeight="1">
      <c r="A26" s="109">
        <v>6</v>
      </c>
      <c r="B26" s="109" t="s">
        <v>186</v>
      </c>
      <c r="C26" s="182">
        <f t="shared" ref="C26:I26" si="7">+C9/C$18*100</f>
        <v>5.9556512284502512</v>
      </c>
      <c r="D26" s="182">
        <f t="shared" si="7"/>
        <v>7.0596649898078612</v>
      </c>
      <c r="E26" s="182">
        <f t="shared" si="7"/>
        <v>6.5999562597852943</v>
      </c>
      <c r="F26" s="182">
        <f t="shared" si="7"/>
        <v>6.696274791819727</v>
      </c>
      <c r="G26" s="182">
        <f t="shared" si="7"/>
        <v>6.7545522692968083</v>
      </c>
      <c r="H26" s="182">
        <f t="shared" si="7"/>
        <v>6.6882279323258702</v>
      </c>
      <c r="I26" s="182">
        <f t="shared" si="7"/>
        <v>6.5509826909499163</v>
      </c>
    </row>
    <row r="27" spans="1:17" s="109" customFormat="1" ht="15" customHeight="1">
      <c r="A27" s="109">
        <v>7</v>
      </c>
      <c r="B27" s="109" t="s">
        <v>107</v>
      </c>
      <c r="C27" s="182">
        <f t="shared" ref="C27:I27" si="8">+C10/C$18*100</f>
        <v>4.399148688075055</v>
      </c>
      <c r="D27" s="182">
        <f t="shared" si="8"/>
        <v>4.5080566953579009</v>
      </c>
      <c r="E27" s="182">
        <f t="shared" si="8"/>
        <v>4.5848666752462766</v>
      </c>
      <c r="F27" s="182">
        <f t="shared" si="8"/>
        <v>4.5640698448554593</v>
      </c>
      <c r="G27" s="182">
        <f t="shared" si="8"/>
        <v>4.4558821273665261</v>
      </c>
      <c r="H27" s="182">
        <f t="shared" si="8"/>
        <v>4.1382453126874257</v>
      </c>
      <c r="I27" s="182">
        <f t="shared" si="8"/>
        <v>3.9312586436879577</v>
      </c>
    </row>
    <row r="28" spans="1:17" s="109" customFormat="1" ht="15" customHeight="1">
      <c r="A28" s="109">
        <v>8</v>
      </c>
      <c r="B28" s="109" t="s">
        <v>238</v>
      </c>
      <c r="C28" s="182">
        <f t="shared" ref="C28:I28" si="9">+C11/C$18*100</f>
        <v>2.1282798123605877</v>
      </c>
      <c r="D28" s="182">
        <f t="shared" si="9"/>
        <v>2.0582621143144788</v>
      </c>
      <c r="E28" s="182">
        <f t="shared" si="9"/>
        <v>1.8305950958850248</v>
      </c>
      <c r="F28" s="182">
        <f t="shared" si="9"/>
        <v>1.8347635255524088</v>
      </c>
      <c r="G28" s="182">
        <f t="shared" si="9"/>
        <v>1.8635782399465801</v>
      </c>
      <c r="H28" s="182">
        <f t="shared" si="9"/>
        <v>1.8628901910930733</v>
      </c>
      <c r="I28" s="182">
        <f t="shared" si="9"/>
        <v>1.697117058520452</v>
      </c>
    </row>
    <row r="29" spans="1:17" s="109" customFormat="1" ht="15" customHeight="1">
      <c r="A29" s="109">
        <v>9</v>
      </c>
      <c r="B29" s="109" t="s">
        <v>114</v>
      </c>
      <c r="C29" s="182">
        <f t="shared" ref="C29:I29" si="10">+C12/C$18*100</f>
        <v>0.52492425971022583</v>
      </c>
      <c r="D29" s="182">
        <f t="shared" si="10"/>
        <v>0.52780620621153718</v>
      </c>
      <c r="E29" s="182">
        <f t="shared" si="10"/>
        <v>0.49545267569315227</v>
      </c>
      <c r="F29" s="182">
        <f t="shared" si="10"/>
        <v>0.46347458565494859</v>
      </c>
      <c r="G29" s="182">
        <f t="shared" si="10"/>
        <v>0.45005248155376482</v>
      </c>
      <c r="H29" s="182">
        <f t="shared" si="10"/>
        <v>0.3889485800175444</v>
      </c>
      <c r="I29" s="182">
        <f t="shared" si="10"/>
        <v>0.38958080179378984</v>
      </c>
    </row>
    <row r="30" spans="1:17" s="109" customFormat="1" ht="15" customHeight="1">
      <c r="A30" s="109">
        <v>10</v>
      </c>
      <c r="B30" s="109" t="s">
        <v>71</v>
      </c>
      <c r="C30" s="182">
        <f t="shared" ref="C30:I30" si="11">+C13/C$18*100</f>
        <v>0.4637798606752192</v>
      </c>
      <c r="D30" s="182">
        <f t="shared" si="11"/>
        <v>0.41755370232842087</v>
      </c>
      <c r="E30" s="182">
        <f t="shared" si="11"/>
        <v>0.41663738809334522</v>
      </c>
      <c r="F30" s="182">
        <f t="shared" si="11"/>
        <v>0.41236917361162151</v>
      </c>
      <c r="G30" s="182">
        <f t="shared" si="11"/>
        <v>0.41792010492725007</v>
      </c>
      <c r="H30" s="182">
        <f t="shared" si="11"/>
        <v>0.41457942588090968</v>
      </c>
      <c r="I30" s="182">
        <f t="shared" si="11"/>
        <v>0.39464800458106813</v>
      </c>
    </row>
    <row r="31" spans="1:17" s="109" customFormat="1" ht="15" customHeight="1">
      <c r="A31" s="109">
        <v>11</v>
      </c>
      <c r="B31" s="109" t="s">
        <v>239</v>
      </c>
      <c r="C31" s="182">
        <f t="shared" ref="C31:I31" si="12">+C14/C$18*100</f>
        <v>1.6864445384572286</v>
      </c>
      <c r="D31" s="182">
        <f t="shared" si="12"/>
        <v>1.7042832441843327</v>
      </c>
      <c r="E31" s="182">
        <f t="shared" si="12"/>
        <v>1.6201249201583179</v>
      </c>
      <c r="F31" s="182">
        <f t="shared" si="12"/>
        <v>1.6048485962551622</v>
      </c>
      <c r="G31" s="182">
        <f t="shared" si="12"/>
        <v>1.6194478769224394</v>
      </c>
      <c r="H31" s="182">
        <f t="shared" si="12"/>
        <v>1.6100400192952644</v>
      </c>
      <c r="I31" s="182">
        <f t="shared" si="12"/>
        <v>1.6151115071622737</v>
      </c>
    </row>
    <row r="32" spans="1:17" s="109" customFormat="1" ht="15" customHeight="1">
      <c r="A32" s="109">
        <v>12</v>
      </c>
      <c r="B32" s="183" t="s">
        <v>240</v>
      </c>
      <c r="C32" s="182">
        <f t="shared" ref="C32:I32" si="13">+C15/C$18*100</f>
        <v>56.195336460656854</v>
      </c>
      <c r="D32" s="182">
        <f t="shared" si="13"/>
        <v>55.695919247627991</v>
      </c>
      <c r="E32" s="182">
        <f t="shared" si="13"/>
        <v>55.976934537320908</v>
      </c>
      <c r="F32" s="182">
        <f t="shared" si="13"/>
        <v>56.421424735692916</v>
      </c>
      <c r="G32" s="182">
        <f t="shared" si="13"/>
        <v>57.171844866558999</v>
      </c>
      <c r="H32" s="182">
        <f t="shared" si="13"/>
        <v>57.202238045147048</v>
      </c>
      <c r="I32" s="182">
        <f t="shared" si="13"/>
        <v>57.740993492405238</v>
      </c>
    </row>
    <row r="33" spans="1:9" s="109" customFormat="1" ht="15" customHeight="1">
      <c r="A33" s="109">
        <v>13</v>
      </c>
      <c r="B33" s="183" t="s">
        <v>242</v>
      </c>
      <c r="C33" s="182">
        <f t="shared" ref="C33:I33" si="14">+C16/C$18*100</f>
        <v>19.317610642535872</v>
      </c>
      <c r="D33" s="182">
        <f t="shared" si="14"/>
        <v>18.91179936746272</v>
      </c>
      <c r="E33" s="182">
        <f t="shared" si="14"/>
        <v>19.31720656355872</v>
      </c>
      <c r="F33" s="182">
        <f t="shared" si="14"/>
        <v>19.219893712627933</v>
      </c>
      <c r="G33" s="182">
        <f t="shared" si="14"/>
        <v>18.282903962043555</v>
      </c>
      <c r="H33" s="182">
        <f t="shared" si="14"/>
        <v>18.941866988755031</v>
      </c>
      <c r="I33" s="182">
        <f t="shared" si="14"/>
        <v>19.048050740118409</v>
      </c>
    </row>
    <row r="34" spans="1:9" s="109" customFormat="1" ht="15" customHeight="1">
      <c r="A34" s="109">
        <v>14</v>
      </c>
      <c r="B34" s="109" t="s">
        <v>57</v>
      </c>
      <c r="C34" s="182">
        <f t="shared" ref="C34:I34" si="15">+C17/C$18*100</f>
        <v>1.2398996030080121</v>
      </c>
      <c r="D34" s="182">
        <f t="shared" si="15"/>
        <v>1.2229589140549328</v>
      </c>
      <c r="E34" s="182">
        <f t="shared" si="15"/>
        <v>1.2077904954250425</v>
      </c>
      <c r="F34" s="182">
        <f t="shared" si="15"/>
        <v>1.2120896388927243</v>
      </c>
      <c r="G34" s="182">
        <f t="shared" si="15"/>
        <v>1.2189784613472212</v>
      </c>
      <c r="H34" s="182">
        <f t="shared" si="15"/>
        <v>1.2092344558405426</v>
      </c>
      <c r="I34" s="182">
        <f t="shared" si="15"/>
        <v>1.2112000224857125</v>
      </c>
    </row>
    <row r="35" spans="1:9" s="38" customFormat="1" ht="15" customHeight="1">
      <c r="B35" s="38" t="s">
        <v>157</v>
      </c>
      <c r="C35" s="184">
        <f t="shared" ref="C35:I35" si="16">SUM(C21:C34)</f>
        <v>99.999999999999972</v>
      </c>
      <c r="D35" s="184">
        <f t="shared" si="16"/>
        <v>99.999999999999986</v>
      </c>
      <c r="E35" s="184">
        <f t="shared" si="16"/>
        <v>100.00000000000001</v>
      </c>
      <c r="F35" s="184">
        <f t="shared" si="16"/>
        <v>100.00000000000001</v>
      </c>
      <c r="G35" s="184">
        <f t="shared" si="16"/>
        <v>99.999999999999986</v>
      </c>
      <c r="H35" s="184">
        <f t="shared" si="16"/>
        <v>100</v>
      </c>
      <c r="I35" s="184">
        <f t="shared" si="16"/>
        <v>100</v>
      </c>
    </row>
    <row r="36" spans="1:9" s="109" customFormat="1" ht="15" customHeight="1"/>
    <row r="37" spans="1:9" s="109"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Inhoud</vt:lpstr>
      <vt:lpstr>Toelichting</vt:lpstr>
      <vt:lpstr>Totaal</vt:lpstr>
      <vt:lpstr>R&amp;D</vt:lpstr>
      <vt:lpstr>Innovatie</vt:lpstr>
      <vt:lpstr>R&amp;D + Innovatie</vt:lpstr>
      <vt:lpstr>Fiscaal</vt:lpstr>
      <vt:lpstr>Type</vt:lpstr>
      <vt:lpstr>NABS 2007</vt:lpstr>
      <vt:lpstr>Fiscaal!Print_Area</vt:lpstr>
      <vt:lpstr>Inhoud!Print_Area</vt:lpstr>
      <vt:lpstr>Innovatie!Print_Area</vt:lpstr>
      <vt:lpstr>'R&amp;D'!Print_Area</vt:lpstr>
      <vt:lpstr>Toelichting!Print_Area</vt:lpstr>
      <vt:lpstr>Innovatie!Print_Titles</vt:lpstr>
      <vt:lpstr>'R&amp;D'!Print_Titles</vt:lpstr>
      <vt:lpstr>Type!Print_Titles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Alexandra Vennekens</cp:lastModifiedBy>
  <cp:lastPrinted>2017-05-18T14:31:41Z</cp:lastPrinted>
  <dcterms:created xsi:type="dcterms:W3CDTF">2013-11-20T12:43:27Z</dcterms:created>
  <dcterms:modified xsi:type="dcterms:W3CDTF">2018-04-09T12:01:49Z</dcterms:modified>
</cp:coreProperties>
</file>